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d.docs.live.net/cc49a6f129e4d962/เอกสาร/"/>
    </mc:Choice>
  </mc:AlternateContent>
  <xr:revisionPtr revIDLastSave="115" documentId="11_8B2A7B4381BE8D0132467955405369DE162CAC2D" xr6:coauthVersionLast="47" xr6:coauthVersionMax="47" xr10:uidLastSave="{FE8B0839-D9C2-45C3-8940-57A681878227}"/>
  <bookViews>
    <workbookView xWindow="-110" yWindow="-110" windowWidth="19420" windowHeight="10420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104" i="10" l="1"/>
  <c r="I563" i="15"/>
  <c r="I562" i="15"/>
  <c r="I563" i="14"/>
  <c r="I562" i="14"/>
  <c r="I563" i="13"/>
  <c r="I562" i="13"/>
  <c r="I563" i="12"/>
  <c r="I562" i="12"/>
  <c r="I563" i="11"/>
  <c r="I562" i="11"/>
  <c r="I563" i="10"/>
  <c r="I562" i="10"/>
  <c r="I563" i="9"/>
  <c r="I562" i="9"/>
  <c r="I563" i="8"/>
  <c r="I562" i="8"/>
  <c r="I563" i="7"/>
  <c r="I562" i="7"/>
  <c r="I563" i="6"/>
  <c r="I562" i="6"/>
  <c r="I563" i="5"/>
  <c r="I562" i="5"/>
  <c r="I563" i="4"/>
  <c r="I562" i="4"/>
  <c r="I563" i="3"/>
  <c r="I562" i="3"/>
  <c r="I563" i="2"/>
  <c r="I562" i="2"/>
  <c r="J422" i="2" l="1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3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3" i="15"/>
  <c r="J562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K432" i="15" s="1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K425" i="15" s="1"/>
  <c r="J424" i="15"/>
  <c r="I424" i="15"/>
  <c r="K424" i="15" s="1"/>
  <c r="J423" i="15"/>
  <c r="I423" i="15"/>
  <c r="K423" i="15" s="1"/>
  <c r="J422" i="15"/>
  <c r="I422" i="15"/>
  <c r="K422" i="15" s="1"/>
  <c r="J421" i="15"/>
  <c r="I421" i="15"/>
  <c r="K421" i="15" s="1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P330" i="15"/>
  <c r="O330" i="15"/>
  <c r="N330" i="15"/>
  <c r="M330" i="15"/>
  <c r="L330" i="15"/>
  <c r="J328" i="15"/>
  <c r="I328" i="15"/>
  <c r="J326" i="15"/>
  <c r="J325" i="15"/>
  <c r="J324" i="15"/>
  <c r="I324" i="15"/>
  <c r="J323" i="15"/>
  <c r="J322" i="15"/>
  <c r="J321" i="15"/>
  <c r="J320" i="15"/>
  <c r="N318" i="15"/>
  <c r="L318" i="15"/>
  <c r="O318" i="15" s="1"/>
  <c r="L316" i="15"/>
  <c r="L315" i="15"/>
  <c r="N314" i="15"/>
  <c r="M314" i="15"/>
  <c r="M312" i="15" s="1"/>
  <c r="O313" i="15"/>
  <c r="N311" i="15"/>
  <c r="M311" i="15"/>
  <c r="P311" i="15" s="1"/>
  <c r="L311" i="15"/>
  <c r="O311" i="15" s="1"/>
  <c r="J309" i="15"/>
  <c r="I309" i="15"/>
  <c r="J308" i="15"/>
  <c r="J307" i="15"/>
  <c r="J306" i="15"/>
  <c r="I306" i="15"/>
  <c r="J304" i="15"/>
  <c r="I304" i="15"/>
  <c r="J303" i="15"/>
  <c r="J302" i="15"/>
  <c r="J301" i="15"/>
  <c r="J300" i="15"/>
  <c r="N298" i="15"/>
  <c r="L298" i="15"/>
  <c r="M298" i="15" s="1"/>
  <c r="L296" i="15"/>
  <c r="L295" i="15"/>
  <c r="N294" i="15"/>
  <c r="M294" i="15"/>
  <c r="O293" i="15"/>
  <c r="P291" i="15"/>
  <c r="N291" i="15"/>
  <c r="M291" i="15"/>
  <c r="L291" i="15"/>
  <c r="J289" i="15"/>
  <c r="I289" i="15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O272" i="15"/>
  <c r="N272" i="15"/>
  <c r="M272" i="15"/>
  <c r="P272" i="15" s="1"/>
  <c r="L272" i="15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N251" i="15"/>
  <c r="M251" i="15"/>
  <c r="P251" i="15" s="1"/>
  <c r="L251" i="15"/>
  <c r="O251" i="15" s="1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P221" i="15"/>
  <c r="O221" i="15"/>
  <c r="N221" i="15"/>
  <c r="M221" i="15"/>
  <c r="L221" i="15"/>
  <c r="J219" i="15"/>
  <c r="I219" i="15"/>
  <c r="J218" i="15"/>
  <c r="J217" i="15"/>
  <c r="J216" i="15"/>
  <c r="I216" i="15"/>
  <c r="K216" i="15" s="1"/>
  <c r="J215" i="15"/>
  <c r="I215" i="15"/>
  <c r="K215" i="15" s="1"/>
  <c r="J213" i="15"/>
  <c r="I213" i="15"/>
  <c r="K213" i="15" s="1"/>
  <c r="J212" i="15"/>
  <c r="J211" i="15"/>
  <c r="J210" i="15"/>
  <c r="J209" i="15"/>
  <c r="J204" i="15"/>
  <c r="I204" i="15"/>
  <c r="K204" i="15" s="1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O143" i="15"/>
  <c r="N141" i="15"/>
  <c r="M141" i="15"/>
  <c r="P141" i="15" s="1"/>
  <c r="L141" i="15"/>
  <c r="O141" i="15" s="1"/>
  <c r="J138" i="15"/>
  <c r="I138" i="15"/>
  <c r="K138" i="15" s="1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O119" i="15"/>
  <c r="N119" i="15"/>
  <c r="M119" i="15"/>
  <c r="P119" i="15" s="1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O97" i="15"/>
  <c r="P95" i="15"/>
  <c r="O95" i="15"/>
  <c r="N95" i="15"/>
  <c r="M95" i="15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P67" i="15"/>
  <c r="N67" i="15"/>
  <c r="M67" i="15"/>
  <c r="L67" i="15"/>
  <c r="O67" i="15" s="1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P54" i="15"/>
  <c r="O54" i="15"/>
  <c r="N54" i="15"/>
  <c r="M54" i="15"/>
  <c r="L54" i="15"/>
  <c r="N49" i="15"/>
  <c r="L49" i="15"/>
  <c r="O49" i="15" s="1"/>
  <c r="L47" i="15"/>
  <c r="L46" i="15"/>
  <c r="N45" i="15"/>
  <c r="M45" i="15"/>
  <c r="P42" i="15"/>
  <c r="N42" i="15"/>
  <c r="M42" i="15"/>
  <c r="L42" i="15"/>
  <c r="O42" i="15" s="1"/>
  <c r="P36" i="15"/>
  <c r="O36" i="15"/>
  <c r="P35" i="15"/>
  <c r="O35" i="15"/>
  <c r="P34" i="15"/>
  <c r="M34" i="15"/>
  <c r="P33" i="15"/>
  <c r="M33" i="15"/>
  <c r="M32" i="15"/>
  <c r="M31" i="15"/>
  <c r="P31" i="15" s="1"/>
  <c r="P29" i="15"/>
  <c r="M29" i="15"/>
  <c r="P25" i="15"/>
  <c r="O25" i="15"/>
  <c r="N25" i="15"/>
  <c r="M25" i="15"/>
  <c r="L25" i="15"/>
  <c r="P24" i="15"/>
  <c r="N24" i="15"/>
  <c r="M24" i="15"/>
  <c r="N23" i="15"/>
  <c r="M23" i="15"/>
  <c r="P21" i="15"/>
  <c r="O21" i="15"/>
  <c r="N21" i="15"/>
  <c r="M21" i="15"/>
  <c r="L21" i="15"/>
  <c r="L19" i="15" s="1"/>
  <c r="N19" i="15"/>
  <c r="M19" i="15"/>
  <c r="P19" i="15" s="1"/>
  <c r="P15" i="15"/>
  <c r="N15" i="15"/>
  <c r="M15" i="15"/>
  <c r="L15" i="15"/>
  <c r="O15" i="15" s="1"/>
  <c r="M14" i="15"/>
  <c r="P14" i="15" s="1"/>
  <c r="P11" i="15"/>
  <c r="M11" i="15"/>
  <c r="M9" i="15" s="1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3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3" i="14"/>
  <c r="J562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K499" i="14" s="1"/>
  <c r="J498" i="14"/>
  <c r="I498" i="14"/>
  <c r="K498" i="14" s="1"/>
  <c r="J497" i="14"/>
  <c r="I497" i="14"/>
  <c r="K497" i="14" s="1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K432" i="14" s="1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K425" i="14" s="1"/>
  <c r="J424" i="14"/>
  <c r="I424" i="14"/>
  <c r="K424" i="14" s="1"/>
  <c r="J423" i="14"/>
  <c r="I423" i="14"/>
  <c r="K423" i="14" s="1"/>
  <c r="J422" i="14"/>
  <c r="I422" i="14"/>
  <c r="K422" i="14" s="1"/>
  <c r="J421" i="14"/>
  <c r="I421" i="14"/>
  <c r="K421" i="14" s="1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J369" i="14"/>
  <c r="I369" i="14"/>
  <c r="K369" i="14" s="1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N352" i="14"/>
  <c r="L352" i="14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M337" i="14" s="1"/>
  <c r="L335" i="14"/>
  <c r="L334" i="14"/>
  <c r="N333" i="14"/>
  <c r="M333" i="14"/>
  <c r="O332" i="14"/>
  <c r="N330" i="14"/>
  <c r="M330" i="14"/>
  <c r="P330" i="14" s="1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L316" i="14"/>
  <c r="L315" i="14"/>
  <c r="N314" i="14"/>
  <c r="M314" i="14"/>
  <c r="O313" i="14"/>
  <c r="P311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L296" i="14"/>
  <c r="L295" i="14"/>
  <c r="N294" i="14"/>
  <c r="M294" i="14"/>
  <c r="P294" i="14" s="1"/>
  <c r="O293" i="14"/>
  <c r="P291" i="14"/>
  <c r="N291" i="14"/>
  <c r="M291" i="14"/>
  <c r="L291" i="14"/>
  <c r="O291" i="14" s="1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P272" i="14"/>
  <c r="O272" i="14"/>
  <c r="N272" i="14"/>
  <c r="M272" i="14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P254" i="14" s="1"/>
  <c r="O253" i="14"/>
  <c r="O251" i="14"/>
  <c r="N251" i="14"/>
  <c r="M251" i="14"/>
  <c r="P251" i="14" s="1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P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O141" i="14"/>
  <c r="N141" i="14"/>
  <c r="M141" i="14"/>
  <c r="P141" i="14" s="1"/>
  <c r="L141" i="14"/>
  <c r="J138" i="14"/>
  <c r="I138" i="14"/>
  <c r="K138" i="14" s="1"/>
  <c r="J135" i="14"/>
  <c r="J134" i="14"/>
  <c r="J133" i="14"/>
  <c r="I133" i="14"/>
  <c r="J132" i="14"/>
  <c r="I132" i="14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P119" i="14"/>
  <c r="O119" i="14"/>
  <c r="N119" i="14"/>
  <c r="M119" i="14"/>
  <c r="L119" i="14"/>
  <c r="J117" i="14"/>
  <c r="I117" i="14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P98" i="14" s="1"/>
  <c r="O97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P70" i="14" s="1"/>
  <c r="O69" i="14"/>
  <c r="N67" i="14"/>
  <c r="M67" i="14"/>
  <c r="L67" i="14"/>
  <c r="O67" i="14" s="1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N54" i="14"/>
  <c r="M54" i="14"/>
  <c r="L54" i="14"/>
  <c r="N49" i="14"/>
  <c r="L49" i="14"/>
  <c r="O49" i="14" s="1"/>
  <c r="L47" i="14"/>
  <c r="L46" i="14"/>
  <c r="N45" i="14"/>
  <c r="M45" i="14"/>
  <c r="N42" i="14"/>
  <c r="M42" i="14"/>
  <c r="L42" i="14"/>
  <c r="O42" i="14" s="1"/>
  <c r="P36" i="14"/>
  <c r="O36" i="14"/>
  <c r="P35" i="14"/>
  <c r="O35" i="14"/>
  <c r="P34" i="14"/>
  <c r="M34" i="14"/>
  <c r="M33" i="14"/>
  <c r="P33" i="14" s="1"/>
  <c r="M32" i="14"/>
  <c r="P32" i="14" s="1"/>
  <c r="P31" i="14"/>
  <c r="M31" i="14"/>
  <c r="M29" i="14" s="1"/>
  <c r="M30" i="14"/>
  <c r="P30" i="14" s="1"/>
  <c r="P25" i="14"/>
  <c r="O25" i="14"/>
  <c r="N25" i="14"/>
  <c r="M25" i="14"/>
  <c r="L25" i="14"/>
  <c r="N24" i="14"/>
  <c r="M24" i="14"/>
  <c r="N23" i="14"/>
  <c r="M23" i="14"/>
  <c r="P23" i="14" s="1"/>
  <c r="N21" i="14"/>
  <c r="M21" i="14"/>
  <c r="L21" i="14"/>
  <c r="N19" i="14"/>
  <c r="N15" i="14"/>
  <c r="M15" i="14"/>
  <c r="P15" i="14" s="1"/>
  <c r="L15" i="14"/>
  <c r="O15" i="14" s="1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3" i="13"/>
  <c r="J562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M337" i="13" s="1"/>
  <c r="L335" i="13"/>
  <c r="L334" i="13"/>
  <c r="N333" i="13"/>
  <c r="M333" i="13"/>
  <c r="O332" i="13"/>
  <c r="N330" i="13"/>
  <c r="M330" i="13"/>
  <c r="P330" i="13" s="1"/>
  <c r="L330" i="13"/>
  <c r="O330" i="13" s="1"/>
  <c r="J328" i="13"/>
  <c r="I328" i="13"/>
  <c r="J326" i="13"/>
  <c r="J325" i="13"/>
  <c r="J324" i="13"/>
  <c r="I324" i="13"/>
  <c r="J323" i="13"/>
  <c r="J322" i="13"/>
  <c r="J321" i="13"/>
  <c r="J320" i="13"/>
  <c r="N318" i="13"/>
  <c r="L318" i="13"/>
  <c r="M318" i="13" s="1"/>
  <c r="L316" i="13"/>
  <c r="L315" i="13"/>
  <c r="N314" i="13"/>
  <c r="M314" i="13"/>
  <c r="O313" i="13"/>
  <c r="N311" i="13"/>
  <c r="M311" i="13"/>
  <c r="P311" i="13" s="1"/>
  <c r="L311" i="13"/>
  <c r="O311" i="13" s="1"/>
  <c r="J309" i="13"/>
  <c r="I309" i="13"/>
  <c r="J308" i="13"/>
  <c r="J307" i="13"/>
  <c r="J306" i="13"/>
  <c r="I306" i="13"/>
  <c r="J304" i="13"/>
  <c r="I304" i="13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N291" i="13"/>
  <c r="M291" i="13"/>
  <c r="P291" i="13" s="1"/>
  <c r="L291" i="13"/>
  <c r="J289" i="13"/>
  <c r="I289" i="13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P272" i="13"/>
  <c r="N272" i="13"/>
  <c r="M272" i="13"/>
  <c r="L272" i="13"/>
  <c r="O272" i="13" s="1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P251" i="13"/>
  <c r="O251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O221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P141" i="13"/>
  <c r="O141" i="13"/>
  <c r="N141" i="13"/>
  <c r="M141" i="13"/>
  <c r="L141" i="13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M120" i="13" s="1"/>
  <c r="O121" i="13"/>
  <c r="P119" i="13"/>
  <c r="N119" i="13"/>
  <c r="M119" i="13"/>
  <c r="L119" i="13"/>
  <c r="O119" i="13" s="1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L100" i="13"/>
  <c r="L99" i="13"/>
  <c r="N98" i="13"/>
  <c r="M98" i="13"/>
  <c r="P98" i="13" s="1"/>
  <c r="O97" i="13"/>
  <c r="P95" i="13"/>
  <c r="O95" i="13"/>
  <c r="N95" i="13"/>
  <c r="M95" i="13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O69" i="13"/>
  <c r="P67" i="13"/>
  <c r="O67" i="13"/>
  <c r="N67" i="13"/>
  <c r="M67" i="13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P54" i="13"/>
  <c r="O54" i="13"/>
  <c r="N54" i="13"/>
  <c r="M54" i="13"/>
  <c r="L54" i="13"/>
  <c r="N49" i="13"/>
  <c r="L49" i="13"/>
  <c r="O49" i="13" s="1"/>
  <c r="L47" i="13"/>
  <c r="L46" i="13"/>
  <c r="N45" i="13"/>
  <c r="M45" i="13"/>
  <c r="P42" i="13"/>
  <c r="O42" i="13"/>
  <c r="N42" i="13"/>
  <c r="M42" i="13"/>
  <c r="L42" i="13"/>
  <c r="P36" i="13"/>
  <c r="O36" i="13"/>
  <c r="P35" i="13"/>
  <c r="O35" i="13"/>
  <c r="M34" i="13"/>
  <c r="P34" i="13" s="1"/>
  <c r="P33" i="13"/>
  <c r="M33" i="13"/>
  <c r="M32" i="13"/>
  <c r="P31" i="13"/>
  <c r="M31" i="13"/>
  <c r="M29" i="13"/>
  <c r="P29" i="13" s="1"/>
  <c r="N25" i="13"/>
  <c r="M25" i="13"/>
  <c r="P25" i="13" s="1"/>
  <c r="L25" i="13"/>
  <c r="O25" i="13" s="1"/>
  <c r="P24" i="13"/>
  <c r="N24" i="13"/>
  <c r="M24" i="13"/>
  <c r="N23" i="13"/>
  <c r="M23" i="13"/>
  <c r="P21" i="13"/>
  <c r="O21" i="13"/>
  <c r="N21" i="13"/>
  <c r="M21" i="13"/>
  <c r="M19" i="13" s="1"/>
  <c r="L21" i="13"/>
  <c r="L19" i="13" s="1"/>
  <c r="P15" i="13"/>
  <c r="N15" i="13"/>
  <c r="M15" i="13"/>
  <c r="M14" i="13"/>
  <c r="P14" i="13" s="1"/>
  <c r="M11" i="13"/>
  <c r="P11" i="13" s="1"/>
  <c r="M9" i="13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3" i="12"/>
  <c r="J562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K482" i="12" s="1"/>
  <c r="J481" i="12"/>
  <c r="I481" i="12"/>
  <c r="K481" i="12" s="1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K474" i="12" s="1"/>
  <c r="J473" i="12"/>
  <c r="I473" i="12"/>
  <c r="K473" i="12" s="1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K466" i="12" s="1"/>
  <c r="J465" i="12"/>
  <c r="I465" i="12"/>
  <c r="K465" i="12" s="1"/>
  <c r="J464" i="12"/>
  <c r="I464" i="12"/>
  <c r="K464" i="12" s="1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K455" i="12" s="1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M331" i="12" s="1"/>
  <c r="O332" i="12"/>
  <c r="N330" i="12"/>
  <c r="M330" i="12"/>
  <c r="P330" i="12" s="1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M312" i="12" s="1"/>
  <c r="M310" i="12" s="1"/>
  <c r="P310" i="12" s="1"/>
  <c r="O313" i="12"/>
  <c r="P311" i="12"/>
  <c r="N311" i="12"/>
  <c r="M311" i="12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M292" i="12" s="1"/>
  <c r="P292" i="12" s="1"/>
  <c r="O293" i="12"/>
  <c r="N291" i="12"/>
  <c r="M291" i="12"/>
  <c r="P291" i="12" s="1"/>
  <c r="L291" i="12"/>
  <c r="O291" i="12" s="1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L277" i="12"/>
  <c r="L276" i="12"/>
  <c r="N275" i="12"/>
  <c r="M275" i="12"/>
  <c r="O274" i="12"/>
  <c r="P272" i="12"/>
  <c r="O272" i="12"/>
  <c r="N272" i="12"/>
  <c r="M272" i="12"/>
  <c r="L272" i="12"/>
  <c r="J270" i="12"/>
  <c r="I270" i="12"/>
  <c r="K270" i="12" s="1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P254" i="12" s="1"/>
  <c r="O253" i="12"/>
  <c r="P251" i="12"/>
  <c r="O251" i="12"/>
  <c r="N251" i="12"/>
  <c r="M251" i="12"/>
  <c r="L251" i="12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N221" i="12"/>
  <c r="M221" i="12"/>
  <c r="P221" i="12" s="1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P141" i="12"/>
  <c r="O141" i="12"/>
  <c r="N141" i="12"/>
  <c r="M141" i="12"/>
  <c r="L141" i="12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P119" i="12"/>
  <c r="N119" i="12"/>
  <c r="M119" i="12"/>
  <c r="L119" i="12"/>
  <c r="O119" i="12" s="1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P95" i="12"/>
  <c r="O95" i="12"/>
  <c r="N95" i="12"/>
  <c r="M95" i="12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O69" i="12"/>
  <c r="P67" i="12"/>
  <c r="O67" i="12"/>
  <c r="N67" i="12"/>
  <c r="M67" i="12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P54" i="12"/>
  <c r="O54" i="12"/>
  <c r="N54" i="12"/>
  <c r="M54" i="12"/>
  <c r="L54" i="12"/>
  <c r="N49" i="12"/>
  <c r="L49" i="12"/>
  <c r="L47" i="12"/>
  <c r="L46" i="12"/>
  <c r="N45" i="12"/>
  <c r="M45" i="12"/>
  <c r="P42" i="12"/>
  <c r="O42" i="12"/>
  <c r="N42" i="12"/>
  <c r="M42" i="12"/>
  <c r="L42" i="12"/>
  <c r="P36" i="12"/>
  <c r="O36" i="12"/>
  <c r="P35" i="12"/>
  <c r="O35" i="12"/>
  <c r="M34" i="12"/>
  <c r="P33" i="12"/>
  <c r="M33" i="12"/>
  <c r="P32" i="12"/>
  <c r="M32" i="12"/>
  <c r="M30" i="12" s="1"/>
  <c r="P30" i="12" s="1"/>
  <c r="M31" i="12"/>
  <c r="M29" i="12" s="1"/>
  <c r="N25" i="12"/>
  <c r="N15" i="12" s="1"/>
  <c r="M25" i="12"/>
  <c r="L25" i="12"/>
  <c r="O25" i="12" s="1"/>
  <c r="P24" i="12"/>
  <c r="N24" i="12"/>
  <c r="M24" i="12"/>
  <c r="P23" i="12"/>
  <c r="N23" i="12"/>
  <c r="M23" i="12"/>
  <c r="P21" i="12"/>
  <c r="O21" i="12"/>
  <c r="N21" i="12"/>
  <c r="N19" i="12" s="1"/>
  <c r="M21" i="12"/>
  <c r="L21" i="12"/>
  <c r="L19" i="12"/>
  <c r="O19" i="12" s="1"/>
  <c r="M13" i="12"/>
  <c r="P13" i="12" s="1"/>
  <c r="J635" i="11"/>
  <c r="I635" i="11"/>
  <c r="K635" i="11" s="1"/>
  <c r="J634" i="11"/>
  <c r="I634" i="11"/>
  <c r="K634" i="11" s="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6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3" i="11"/>
  <c r="J562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K499" i="11" s="1"/>
  <c r="J498" i="11"/>
  <c r="I498" i="11"/>
  <c r="K498" i="11" s="1"/>
  <c r="J497" i="11"/>
  <c r="I497" i="11"/>
  <c r="K497" i="11" s="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K369" i="11" s="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O354" i="11" s="1"/>
  <c r="N353" i="11"/>
  <c r="L353" i="11"/>
  <c r="O353" i="11" s="1"/>
  <c r="N352" i="11"/>
  <c r="L352" i="11"/>
  <c r="O352" i="11" s="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L335" i="11"/>
  <c r="L334" i="11"/>
  <c r="N333" i="11"/>
  <c r="M333" i="11"/>
  <c r="O332" i="11"/>
  <c r="P330" i="11"/>
  <c r="N330" i="11"/>
  <c r="M330" i="1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O313" i="11"/>
  <c r="P311" i="11"/>
  <c r="O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O293" i="11"/>
  <c r="P291" i="11"/>
  <c r="O291" i="11"/>
  <c r="N291" i="11"/>
  <c r="M291" i="11"/>
  <c r="L291" i="1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O274" i="11"/>
  <c r="P272" i="11"/>
  <c r="O272" i="11"/>
  <c r="N272" i="11"/>
  <c r="M272" i="11"/>
  <c r="L272" i="1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P254" i="11" s="1"/>
  <c r="O253" i="11"/>
  <c r="O251" i="11"/>
  <c r="N251" i="11"/>
  <c r="M251" i="1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O221" i="11"/>
  <c r="N221" i="11"/>
  <c r="M221" i="11"/>
  <c r="P221" i="11" s="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O143" i="11"/>
  <c r="O141" i="11"/>
  <c r="N141" i="11"/>
  <c r="M141" i="11"/>
  <c r="L141" i="1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O121" i="11"/>
  <c r="P119" i="11"/>
  <c r="O119" i="11"/>
  <c r="N119" i="11"/>
  <c r="M119" i="1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M96" i="11" s="1"/>
  <c r="O97" i="11"/>
  <c r="P95" i="11"/>
  <c r="N95" i="11"/>
  <c r="M95" i="11"/>
  <c r="L95" i="1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P70" i="11" s="1"/>
  <c r="O69" i="11"/>
  <c r="N67" i="11"/>
  <c r="M67" i="11"/>
  <c r="L67" i="1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P54" i="11"/>
  <c r="N54" i="11"/>
  <c r="M54" i="11"/>
  <c r="L54" i="11"/>
  <c r="N49" i="11"/>
  <c r="L49" i="11"/>
  <c r="M49" i="11" s="1"/>
  <c r="L47" i="11"/>
  <c r="L46" i="11"/>
  <c r="N45" i="11"/>
  <c r="M45" i="11"/>
  <c r="P42" i="11"/>
  <c r="O42" i="11"/>
  <c r="N42" i="11"/>
  <c r="M42" i="11"/>
  <c r="L42" i="11"/>
  <c r="P36" i="11"/>
  <c r="O36" i="11"/>
  <c r="P35" i="11"/>
  <c r="O35" i="11"/>
  <c r="M34" i="11"/>
  <c r="P34" i="11" s="1"/>
  <c r="P33" i="11"/>
  <c r="M33" i="11"/>
  <c r="P32" i="11"/>
  <c r="M32" i="11"/>
  <c r="P31" i="11"/>
  <c r="M31" i="11"/>
  <c r="M29" i="11" s="1"/>
  <c r="M30" i="11"/>
  <c r="P30" i="11" s="1"/>
  <c r="N25" i="11"/>
  <c r="M25" i="11"/>
  <c r="P25" i="11" s="1"/>
  <c r="L25" i="11"/>
  <c r="O25" i="11" s="1"/>
  <c r="P24" i="11"/>
  <c r="N24" i="11"/>
  <c r="M24" i="11"/>
  <c r="P23" i="11"/>
  <c r="N23" i="11"/>
  <c r="M23" i="11"/>
  <c r="O21" i="11"/>
  <c r="N21" i="11"/>
  <c r="M21" i="11"/>
  <c r="L21" i="11"/>
  <c r="L19" i="11"/>
  <c r="O19" i="11" s="1"/>
  <c r="P15" i="11"/>
  <c r="O15" i="11"/>
  <c r="N15" i="11"/>
  <c r="M15" i="11"/>
  <c r="L15" i="11"/>
  <c r="P14" i="11"/>
  <c r="M14" i="11"/>
  <c r="M13" i="11"/>
  <c r="P13" i="11" s="1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K631" i="10" s="1"/>
  <c r="J630" i="10"/>
  <c r="I630" i="10"/>
  <c r="K630" i="10" s="1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5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3" i="10"/>
  <c r="J562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K376" i="10" s="1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P330" i="10"/>
  <c r="O330" i="10"/>
  <c r="N330" i="10"/>
  <c r="M330" i="10"/>
  <c r="L330" i="10"/>
  <c r="J328" i="10"/>
  <c r="I328" i="10"/>
  <c r="J326" i="10"/>
  <c r="J325" i="10"/>
  <c r="J324" i="10"/>
  <c r="I324" i="10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O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J303" i="10"/>
  <c r="J302" i="10"/>
  <c r="J301" i="10"/>
  <c r="J300" i="10"/>
  <c r="N298" i="10"/>
  <c r="L298" i="10"/>
  <c r="L296" i="10"/>
  <c r="L295" i="10"/>
  <c r="N294" i="10"/>
  <c r="M294" i="10"/>
  <c r="P294" i="10" s="1"/>
  <c r="O293" i="10"/>
  <c r="P291" i="10"/>
  <c r="O291" i="10"/>
  <c r="N291" i="10"/>
  <c r="M291" i="10"/>
  <c r="L291" i="10"/>
  <c r="J289" i="10"/>
  <c r="I289" i="10"/>
  <c r="K289" i="10" s="1"/>
  <c r="J287" i="10"/>
  <c r="J286" i="10"/>
  <c r="J285" i="10"/>
  <c r="I285" i="10"/>
  <c r="K285" i="10" s="1"/>
  <c r="J284" i="10"/>
  <c r="J283" i="10"/>
  <c r="J282" i="10"/>
  <c r="J281" i="10"/>
  <c r="N279" i="10"/>
  <c r="L279" i="10"/>
  <c r="O279" i="10" s="1"/>
  <c r="L277" i="10"/>
  <c r="L276" i="10"/>
  <c r="N275" i="10"/>
  <c r="M275" i="10"/>
  <c r="P275" i="10" s="1"/>
  <c r="O274" i="10"/>
  <c r="N272" i="10"/>
  <c r="M272" i="10"/>
  <c r="P272" i="10" s="1"/>
  <c r="L272" i="10"/>
  <c r="J270" i="10"/>
  <c r="I270" i="10"/>
  <c r="K270" i="10" s="1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O253" i="10"/>
  <c r="N251" i="10"/>
  <c r="M251" i="10"/>
  <c r="P251" i="10" s="1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O223" i="10"/>
  <c r="P221" i="10"/>
  <c r="N221" i="10"/>
  <c r="M221" i="10"/>
  <c r="L221" i="10"/>
  <c r="O221" i="10" s="1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K201" i="10" s="1"/>
  <c r="J200" i="10"/>
  <c r="I200" i="10"/>
  <c r="K200" i="10" s="1"/>
  <c r="J199" i="10"/>
  <c r="I199" i="10"/>
  <c r="K199" i="10" s="1"/>
  <c r="J197" i="10"/>
  <c r="J196" i="10"/>
  <c r="J195" i="10"/>
  <c r="J194" i="10"/>
  <c r="J189" i="10"/>
  <c r="I189" i="10"/>
  <c r="K189" i="10" s="1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O143" i="10"/>
  <c r="N141" i="10"/>
  <c r="M141" i="10"/>
  <c r="P141" i="10" s="1"/>
  <c r="L141" i="10"/>
  <c r="O141" i="10" s="1"/>
  <c r="J138" i="10"/>
  <c r="I138" i="10"/>
  <c r="K138" i="10" s="1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N119" i="10"/>
  <c r="M119" i="10"/>
  <c r="P119" i="10" s="1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N102" i="10"/>
  <c r="L102" i="10"/>
  <c r="O102" i="10" s="1"/>
  <c r="L100" i="10"/>
  <c r="L99" i="10"/>
  <c r="N98" i="10"/>
  <c r="M98" i="10"/>
  <c r="O97" i="10"/>
  <c r="N95" i="10"/>
  <c r="M95" i="10"/>
  <c r="P95" i="10" s="1"/>
  <c r="L95" i="10"/>
  <c r="O95" i="10" s="1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P70" i="10" s="1"/>
  <c r="O69" i="10"/>
  <c r="N67" i="10"/>
  <c r="M67" i="10"/>
  <c r="P67" i="10" s="1"/>
  <c r="L67" i="10"/>
  <c r="O67" i="10" s="1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M55" i="10" s="1"/>
  <c r="N54" i="10"/>
  <c r="M54" i="10"/>
  <c r="P54" i="10" s="1"/>
  <c r="L54" i="10"/>
  <c r="O54" i="10" s="1"/>
  <c r="N49" i="10"/>
  <c r="L49" i="10"/>
  <c r="L47" i="10"/>
  <c r="L46" i="10"/>
  <c r="N45" i="10"/>
  <c r="M45" i="10"/>
  <c r="N42" i="10"/>
  <c r="M42" i="10"/>
  <c r="P42" i="10" s="1"/>
  <c r="L42" i="10"/>
  <c r="P36" i="10"/>
  <c r="O36" i="10"/>
  <c r="P35" i="10"/>
  <c r="O35" i="10"/>
  <c r="P34" i="10"/>
  <c r="M34" i="10"/>
  <c r="M33" i="10"/>
  <c r="P33" i="10" s="1"/>
  <c r="M32" i="10"/>
  <c r="P32" i="10" s="1"/>
  <c r="P31" i="10"/>
  <c r="M31" i="10"/>
  <c r="P29" i="10"/>
  <c r="M29" i="10"/>
  <c r="P25" i="10"/>
  <c r="O25" i="10"/>
  <c r="N25" i="10"/>
  <c r="M25" i="10"/>
  <c r="L25" i="10"/>
  <c r="N24" i="10"/>
  <c r="M24" i="10"/>
  <c r="P24" i="10" s="1"/>
  <c r="N23" i="10"/>
  <c r="M23" i="10"/>
  <c r="P23" i="10" s="1"/>
  <c r="N21" i="10"/>
  <c r="M21" i="10"/>
  <c r="P21" i="10" s="1"/>
  <c r="L21" i="10"/>
  <c r="L19" i="10" s="1"/>
  <c r="M19" i="10"/>
  <c r="N15" i="10"/>
  <c r="M15" i="10"/>
  <c r="P15" i="10" s="1"/>
  <c r="L15" i="10"/>
  <c r="O15" i="10" s="1"/>
  <c r="M14" i="10"/>
  <c r="P14" i="10" s="1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2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3" i="9"/>
  <c r="J562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M337" i="9" s="1"/>
  <c r="L335" i="9"/>
  <c r="L334" i="9"/>
  <c r="N333" i="9"/>
  <c r="M333" i="9"/>
  <c r="O332" i="9"/>
  <c r="O330" i="9"/>
  <c r="N330" i="9"/>
  <c r="M330" i="9"/>
  <c r="P330" i="9" s="1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O313" i="9"/>
  <c r="P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O293" i="9"/>
  <c r="N291" i="9"/>
  <c r="M291" i="9"/>
  <c r="L291" i="9"/>
  <c r="O291" i="9" s="1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M273" i="9" s="1"/>
  <c r="P273" i="9" s="1"/>
  <c r="O274" i="9"/>
  <c r="P272" i="9"/>
  <c r="O272" i="9"/>
  <c r="N272" i="9"/>
  <c r="M272" i="9"/>
  <c r="L272" i="9"/>
  <c r="J270" i="9"/>
  <c r="I270" i="9"/>
  <c r="K270" i="9" s="1"/>
  <c r="J269" i="9"/>
  <c r="J268" i="9"/>
  <c r="J267" i="9"/>
  <c r="I267" i="9"/>
  <c r="J266" i="9"/>
  <c r="I266" i="9"/>
  <c r="J265" i="9"/>
  <c r="I265" i="9"/>
  <c r="J264" i="9"/>
  <c r="I264" i="9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O251" i="9"/>
  <c r="N251" i="9"/>
  <c r="M251" i="9"/>
  <c r="P251" i="9" s="1"/>
  <c r="L251" i="9"/>
  <c r="J249" i="9"/>
  <c r="I249" i="9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P221" i="9"/>
  <c r="O221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O141" i="9"/>
  <c r="N141" i="9"/>
  <c r="M141" i="9"/>
  <c r="P141" i="9" s="1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M120" i="9" s="1"/>
  <c r="P120" i="9" s="1"/>
  <c r="O121" i="9"/>
  <c r="P119" i="9"/>
  <c r="O119" i="9"/>
  <c r="N119" i="9"/>
  <c r="M119" i="9"/>
  <c r="L119" i="9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M102" i="9" s="1"/>
  <c r="L100" i="9"/>
  <c r="L99" i="9"/>
  <c r="N98" i="9"/>
  <c r="M98" i="9"/>
  <c r="O97" i="9"/>
  <c r="O95" i="9"/>
  <c r="N95" i="9"/>
  <c r="M95" i="9"/>
  <c r="P95" i="9" s="1"/>
  <c r="L95" i="9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O74" i="9" s="1"/>
  <c r="L72" i="9"/>
  <c r="L71" i="9"/>
  <c r="N70" i="9"/>
  <c r="M70" i="9"/>
  <c r="M68" i="9" s="1"/>
  <c r="O69" i="9"/>
  <c r="P67" i="9"/>
  <c r="O67" i="9"/>
  <c r="N67" i="9"/>
  <c r="M67" i="9"/>
  <c r="L67" i="9"/>
  <c r="J65" i="9"/>
  <c r="I65" i="9"/>
  <c r="J64" i="9"/>
  <c r="I64" i="9"/>
  <c r="N61" i="9"/>
  <c r="L61" i="9"/>
  <c r="O61" i="9" s="1"/>
  <c r="L59" i="9"/>
  <c r="L58" i="9"/>
  <c r="N57" i="9"/>
  <c r="M57" i="9"/>
  <c r="O54" i="9"/>
  <c r="N54" i="9"/>
  <c r="M54" i="9"/>
  <c r="P54" i="9" s="1"/>
  <c r="L54" i="9"/>
  <c r="N49" i="9"/>
  <c r="L49" i="9"/>
  <c r="O49" i="9" s="1"/>
  <c r="L47" i="9"/>
  <c r="L46" i="9"/>
  <c r="N45" i="9"/>
  <c r="M45" i="9"/>
  <c r="P42" i="9"/>
  <c r="O42" i="9"/>
  <c r="N42" i="9"/>
  <c r="M42" i="9"/>
  <c r="L42" i="9"/>
  <c r="P36" i="9"/>
  <c r="O36" i="9"/>
  <c r="P35" i="9"/>
  <c r="O35" i="9"/>
  <c r="M34" i="9"/>
  <c r="P34" i="9" s="1"/>
  <c r="P33" i="9"/>
  <c r="M33" i="9"/>
  <c r="P32" i="9"/>
  <c r="M32" i="9"/>
  <c r="M30" i="9" s="1"/>
  <c r="P30" i="9" s="1"/>
  <c r="M31" i="9"/>
  <c r="O25" i="9"/>
  <c r="N25" i="9"/>
  <c r="N15" i="9" s="1"/>
  <c r="M25" i="9"/>
  <c r="P25" i="9" s="1"/>
  <c r="L25" i="9"/>
  <c r="P24" i="9"/>
  <c r="N24" i="9"/>
  <c r="M24" i="9"/>
  <c r="N23" i="9"/>
  <c r="M23" i="9"/>
  <c r="O21" i="9"/>
  <c r="N21" i="9"/>
  <c r="M21" i="9"/>
  <c r="P21" i="9" s="1"/>
  <c r="L21" i="9"/>
  <c r="P19" i="9"/>
  <c r="M19" i="9"/>
  <c r="L19" i="9"/>
  <c r="P15" i="9"/>
  <c r="O15" i="9"/>
  <c r="M15" i="9"/>
  <c r="L15" i="9"/>
  <c r="P14" i="9"/>
  <c r="M14" i="9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0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3" i="8"/>
  <c r="J562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P330" i="8"/>
  <c r="O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M312" i="8" s="1"/>
  <c r="P312" i="8" s="1"/>
  <c r="O313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N291" i="8"/>
  <c r="M291" i="8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P272" i="8"/>
  <c r="O272" i="8"/>
  <c r="N272" i="8"/>
  <c r="M272" i="8"/>
  <c r="L272" i="8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P251" i="8"/>
  <c r="O251" i="8"/>
  <c r="N251" i="8"/>
  <c r="M251" i="8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L226" i="8"/>
  <c r="L225" i="8"/>
  <c r="N224" i="8"/>
  <c r="M224" i="8"/>
  <c r="O223" i="8"/>
  <c r="O221" i="8"/>
  <c r="N221" i="8"/>
  <c r="M221" i="8"/>
  <c r="P221" i="8" s="1"/>
  <c r="L221" i="8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P141" i="8"/>
  <c r="O141" i="8"/>
  <c r="N141" i="8"/>
  <c r="M141" i="8"/>
  <c r="L141" i="8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P119" i="8"/>
  <c r="O119" i="8"/>
  <c r="N119" i="8"/>
  <c r="M119" i="8"/>
  <c r="L119" i="8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O97" i="8"/>
  <c r="P95" i="8"/>
  <c r="O95" i="8"/>
  <c r="N95" i="8"/>
  <c r="M95" i="8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O69" i="8"/>
  <c r="P67" i="8"/>
  <c r="O67" i="8"/>
  <c r="N67" i="8"/>
  <c r="M67" i="8"/>
  <c r="L67" i="8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P54" i="8"/>
  <c r="O54" i="8"/>
  <c r="N54" i="8"/>
  <c r="M54" i="8"/>
  <c r="L54" i="8"/>
  <c r="N49" i="8"/>
  <c r="L49" i="8"/>
  <c r="O49" i="8" s="1"/>
  <c r="L47" i="8"/>
  <c r="L46" i="8"/>
  <c r="N45" i="8"/>
  <c r="M45" i="8"/>
  <c r="P42" i="8"/>
  <c r="O42" i="8"/>
  <c r="N42" i="8"/>
  <c r="M42" i="8"/>
  <c r="L42" i="8"/>
  <c r="P36" i="8"/>
  <c r="O36" i="8"/>
  <c r="P35" i="8"/>
  <c r="O35" i="8"/>
  <c r="P34" i="8"/>
  <c r="M34" i="8"/>
  <c r="P33" i="8"/>
  <c r="M33" i="8"/>
  <c r="M32" i="8"/>
  <c r="P31" i="8"/>
  <c r="M31" i="8"/>
  <c r="M29" i="8"/>
  <c r="P25" i="8"/>
  <c r="N25" i="8"/>
  <c r="M25" i="8"/>
  <c r="L25" i="8"/>
  <c r="P24" i="8"/>
  <c r="N24" i="8"/>
  <c r="M24" i="8"/>
  <c r="N23" i="8"/>
  <c r="M23" i="8"/>
  <c r="P21" i="8"/>
  <c r="O21" i="8"/>
  <c r="N21" i="8"/>
  <c r="M21" i="8"/>
  <c r="M19" i="8" s="1"/>
  <c r="L21" i="8"/>
  <c r="L19" i="8" s="1"/>
  <c r="N19" i="8"/>
  <c r="P15" i="8"/>
  <c r="N15" i="8"/>
  <c r="M15" i="8"/>
  <c r="M14" i="8"/>
  <c r="P14" i="8" s="1"/>
  <c r="M11" i="8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N566" i="7"/>
  <c r="L566" i="7"/>
  <c r="N565" i="7"/>
  <c r="L565" i="7"/>
  <c r="O565" i="7" s="1"/>
  <c r="N564" i="7"/>
  <c r="L564" i="7"/>
  <c r="J564" i="7"/>
  <c r="I564" i="7"/>
  <c r="J563" i="7"/>
  <c r="J562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K499" i="7" s="1"/>
  <c r="J498" i="7"/>
  <c r="I498" i="7"/>
  <c r="K498" i="7" s="1"/>
  <c r="J497" i="7"/>
  <c r="I497" i="7"/>
  <c r="K497" i="7" s="1"/>
  <c r="J496" i="7"/>
  <c r="I496" i="7"/>
  <c r="K496" i="7" s="1"/>
  <c r="J495" i="7"/>
  <c r="I495" i="7"/>
  <c r="K495" i="7" s="1"/>
  <c r="J494" i="7"/>
  <c r="I494" i="7"/>
  <c r="K494" i="7" s="1"/>
  <c r="J493" i="7"/>
  <c r="I493" i="7"/>
  <c r="J492" i="7"/>
  <c r="I492" i="7"/>
  <c r="K492" i="7" s="1"/>
  <c r="J491" i="7"/>
  <c r="I491" i="7"/>
  <c r="K491" i="7" s="1"/>
  <c r="J490" i="7"/>
  <c r="I490" i="7"/>
  <c r="K490" i="7" s="1"/>
  <c r="J489" i="7"/>
  <c r="I489" i="7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M337" i="7" s="1"/>
  <c r="L335" i="7"/>
  <c r="L334" i="7"/>
  <c r="N333" i="7"/>
  <c r="M333" i="7"/>
  <c r="O332" i="7"/>
  <c r="P330" i="7"/>
  <c r="N330" i="7"/>
  <c r="M330" i="7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O311" i="7"/>
  <c r="N311" i="7"/>
  <c r="M311" i="7"/>
  <c r="P311" i="7" s="1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P291" i="7"/>
  <c r="O291" i="7"/>
  <c r="N291" i="7"/>
  <c r="M291" i="7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O274" i="7"/>
  <c r="P272" i="7"/>
  <c r="N272" i="7"/>
  <c r="M272" i="7"/>
  <c r="L272" i="7"/>
  <c r="O272" i="7" s="1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O253" i="7"/>
  <c r="P251" i="7"/>
  <c r="O251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N221" i="7"/>
  <c r="M221" i="7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P141" i="7"/>
  <c r="O141" i="7"/>
  <c r="N141" i="7"/>
  <c r="M141" i="7"/>
  <c r="L141" i="7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O121" i="7"/>
  <c r="P119" i="7"/>
  <c r="N119" i="7"/>
  <c r="M119" i="7"/>
  <c r="L119" i="7"/>
  <c r="O119" i="7" s="1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P98" i="7" s="1"/>
  <c r="O97" i="7"/>
  <c r="N95" i="7"/>
  <c r="M95" i="7"/>
  <c r="L95" i="7"/>
  <c r="O95" i="7" s="1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O69" i="7"/>
  <c r="O67" i="7"/>
  <c r="N67" i="7"/>
  <c r="M67" i="7"/>
  <c r="P67" i="7" s="1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M55" i="7" s="1"/>
  <c r="N54" i="7"/>
  <c r="M54" i="7"/>
  <c r="L54" i="7"/>
  <c r="O54" i="7" s="1"/>
  <c r="N49" i="7"/>
  <c r="L49" i="7"/>
  <c r="O49" i="7" s="1"/>
  <c r="L47" i="7"/>
  <c r="L46" i="7"/>
  <c r="N45" i="7"/>
  <c r="M45" i="7"/>
  <c r="O42" i="7"/>
  <c r="N42" i="7"/>
  <c r="M42" i="7"/>
  <c r="P42" i="7" s="1"/>
  <c r="L42" i="7"/>
  <c r="P36" i="7"/>
  <c r="O36" i="7"/>
  <c r="P35" i="7"/>
  <c r="O35" i="7"/>
  <c r="M34" i="7"/>
  <c r="P34" i="7" s="1"/>
  <c r="M33" i="7"/>
  <c r="P33" i="7" s="1"/>
  <c r="P32" i="7"/>
  <c r="M32" i="7"/>
  <c r="P31" i="7"/>
  <c r="M31" i="7"/>
  <c r="M29" i="7" s="1"/>
  <c r="M30" i="7"/>
  <c r="P30" i="7" s="1"/>
  <c r="O25" i="7"/>
  <c r="N25" i="7"/>
  <c r="M25" i="7"/>
  <c r="P25" i="7" s="1"/>
  <c r="L25" i="7"/>
  <c r="N24" i="7"/>
  <c r="M24" i="7"/>
  <c r="P24" i="7" s="1"/>
  <c r="P23" i="7"/>
  <c r="N23" i="7"/>
  <c r="M23" i="7"/>
  <c r="N21" i="7"/>
  <c r="M21" i="7"/>
  <c r="L21" i="7"/>
  <c r="O21" i="7" s="1"/>
  <c r="O19" i="7"/>
  <c r="L19" i="7"/>
  <c r="O15" i="7"/>
  <c r="N15" i="7"/>
  <c r="M15" i="7"/>
  <c r="P15" i="7" s="1"/>
  <c r="L15" i="7"/>
  <c r="P14" i="7"/>
  <c r="M14" i="7"/>
  <c r="P13" i="7"/>
  <c r="M13" i="7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3" i="6"/>
  <c r="J562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K499" i="6" s="1"/>
  <c r="J498" i="6"/>
  <c r="I498" i="6"/>
  <c r="K498" i="6" s="1"/>
  <c r="J497" i="6"/>
  <c r="I497" i="6"/>
  <c r="K497" i="6" s="1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J482" i="6"/>
  <c r="I482" i="6"/>
  <c r="J481" i="6"/>
  <c r="I481" i="6"/>
  <c r="J480" i="6"/>
  <c r="I480" i="6"/>
  <c r="K480" i="6" s="1"/>
  <c r="J479" i="6"/>
  <c r="I479" i="6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K376" i="6" s="1"/>
  <c r="J375" i="6"/>
  <c r="I375" i="6"/>
  <c r="K375" i="6" s="1"/>
  <c r="J374" i="6"/>
  <c r="I374" i="6"/>
  <c r="J373" i="6"/>
  <c r="I373" i="6"/>
  <c r="J372" i="6"/>
  <c r="I372" i="6"/>
  <c r="K372" i="6" s="1"/>
  <c r="J371" i="6"/>
  <c r="I371" i="6"/>
  <c r="K371" i="6" s="1"/>
  <c r="J370" i="6"/>
  <c r="I370" i="6"/>
  <c r="K370" i="6" s="1"/>
  <c r="J369" i="6"/>
  <c r="I369" i="6"/>
  <c r="J368" i="6"/>
  <c r="I368" i="6"/>
  <c r="K368" i="6" s="1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O354" i="6" s="1"/>
  <c r="N353" i="6"/>
  <c r="L353" i="6"/>
  <c r="O353" i="6" s="1"/>
  <c r="N352" i="6"/>
  <c r="L352" i="6"/>
  <c r="N351" i="6"/>
  <c r="L351" i="6"/>
  <c r="O351" i="6" s="1"/>
  <c r="J350" i="6"/>
  <c r="I350" i="6"/>
  <c r="K350" i="6" s="1"/>
  <c r="N349" i="6"/>
  <c r="L349" i="6"/>
  <c r="O349" i="6" s="1"/>
  <c r="J349" i="6"/>
  <c r="I349" i="6"/>
  <c r="K349" i="6" s="1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N337" i="6"/>
  <c r="L337" i="6"/>
  <c r="O337" i="6" s="1"/>
  <c r="L335" i="6"/>
  <c r="L334" i="6"/>
  <c r="N333" i="6"/>
  <c r="M333" i="6"/>
  <c r="O332" i="6"/>
  <c r="P330" i="6"/>
  <c r="O330" i="6"/>
  <c r="N330" i="6"/>
  <c r="M330" i="6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M312" i="6" s="1"/>
  <c r="P312" i="6" s="1"/>
  <c r="O313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O293" i="6"/>
  <c r="N291" i="6"/>
  <c r="M291" i="6"/>
  <c r="L291" i="6"/>
  <c r="J289" i="6"/>
  <c r="I289" i="6"/>
  <c r="K289" i="6" s="1"/>
  <c r="J287" i="6"/>
  <c r="J286" i="6"/>
  <c r="J285" i="6"/>
  <c r="I285" i="6"/>
  <c r="K285" i="6" s="1"/>
  <c r="J284" i="6"/>
  <c r="J283" i="6"/>
  <c r="J282" i="6"/>
  <c r="J281" i="6"/>
  <c r="N279" i="6"/>
  <c r="L279" i="6"/>
  <c r="O279" i="6" s="1"/>
  <c r="L277" i="6"/>
  <c r="L276" i="6"/>
  <c r="N275" i="6"/>
  <c r="M275" i="6"/>
  <c r="P275" i="6" s="1"/>
  <c r="O274" i="6"/>
  <c r="N272" i="6"/>
  <c r="M272" i="6"/>
  <c r="P272" i="6" s="1"/>
  <c r="L272" i="6"/>
  <c r="O272" i="6" s="1"/>
  <c r="J270" i="6"/>
  <c r="I270" i="6"/>
  <c r="K270" i="6" s="1"/>
  <c r="J269" i="6"/>
  <c r="J268" i="6"/>
  <c r="J267" i="6"/>
  <c r="I267" i="6"/>
  <c r="K267" i="6" s="1"/>
  <c r="J266" i="6"/>
  <c r="I266" i="6"/>
  <c r="K266" i="6" s="1"/>
  <c r="J265" i="6"/>
  <c r="I265" i="6"/>
  <c r="K265" i="6" s="1"/>
  <c r="J264" i="6"/>
  <c r="I264" i="6"/>
  <c r="K264" i="6" s="1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P251" i="6"/>
  <c r="N251" i="6"/>
  <c r="M251" i="6"/>
  <c r="L251" i="6"/>
  <c r="O251" i="6" s="1"/>
  <c r="J249" i="6"/>
  <c r="I249" i="6"/>
  <c r="K249" i="6" s="1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P221" i="6"/>
  <c r="O221" i="6"/>
  <c r="N221" i="6"/>
  <c r="M221" i="6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P141" i="6"/>
  <c r="N141" i="6"/>
  <c r="M141" i="6"/>
  <c r="L141" i="6"/>
  <c r="O141" i="6" s="1"/>
  <c r="J138" i="6"/>
  <c r="I138" i="6"/>
  <c r="K138" i="6" s="1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O121" i="6"/>
  <c r="N119" i="6"/>
  <c r="M119" i="6"/>
  <c r="P119" i="6" s="1"/>
  <c r="L119" i="6"/>
  <c r="O119" i="6" s="1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O97" i="6"/>
  <c r="P95" i="6"/>
  <c r="O95" i="6"/>
  <c r="N95" i="6"/>
  <c r="M95" i="6"/>
  <c r="L95" i="6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O69" i="6"/>
  <c r="P67" i="6"/>
  <c r="O67" i="6"/>
  <c r="N67" i="6"/>
  <c r="M67" i="6"/>
  <c r="L67" i="6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P54" i="6"/>
  <c r="O54" i="6"/>
  <c r="N54" i="6"/>
  <c r="M54" i="6"/>
  <c r="L54" i="6"/>
  <c r="N49" i="6"/>
  <c r="L49" i="6"/>
  <c r="L47" i="6"/>
  <c r="L46" i="6"/>
  <c r="N45" i="6"/>
  <c r="M45" i="6"/>
  <c r="N42" i="6"/>
  <c r="M42" i="6"/>
  <c r="P42" i="6" s="1"/>
  <c r="L42" i="6"/>
  <c r="O42" i="6" s="1"/>
  <c r="P36" i="6"/>
  <c r="O36" i="6"/>
  <c r="P35" i="6"/>
  <c r="O35" i="6"/>
  <c r="M34" i="6"/>
  <c r="P34" i="6" s="1"/>
  <c r="M33" i="6"/>
  <c r="P33" i="6" s="1"/>
  <c r="P32" i="6"/>
  <c r="M32" i="6"/>
  <c r="M31" i="6"/>
  <c r="P30" i="6"/>
  <c r="M30" i="6"/>
  <c r="O25" i="6"/>
  <c r="N25" i="6"/>
  <c r="M25" i="6"/>
  <c r="L25" i="6"/>
  <c r="N24" i="6"/>
  <c r="M24" i="6"/>
  <c r="P24" i="6" s="1"/>
  <c r="P23" i="6"/>
  <c r="N23" i="6"/>
  <c r="M23" i="6"/>
  <c r="P21" i="6"/>
  <c r="N21" i="6"/>
  <c r="M21" i="6"/>
  <c r="L21" i="6"/>
  <c r="O21" i="6" s="1"/>
  <c r="L19" i="6"/>
  <c r="L15" i="6"/>
  <c r="O15" i="6" s="1"/>
  <c r="M13" i="6"/>
  <c r="P13" i="6" s="1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1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3" i="5"/>
  <c r="J562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J511" i="5"/>
  <c r="I511" i="5"/>
  <c r="K511" i="5" s="1"/>
  <c r="J510" i="5"/>
  <c r="I510" i="5"/>
  <c r="K510" i="5" s="1"/>
  <c r="J509" i="5"/>
  <c r="I509" i="5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K499" i="5" s="1"/>
  <c r="J498" i="5"/>
  <c r="I498" i="5"/>
  <c r="K498" i="5" s="1"/>
  <c r="J497" i="5"/>
  <c r="I497" i="5"/>
  <c r="K497" i="5" s="1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N352" i="5"/>
  <c r="L352" i="5"/>
  <c r="O352" i="5" s="1"/>
  <c r="N351" i="5"/>
  <c r="L351" i="5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O330" i="5"/>
  <c r="N330" i="5"/>
  <c r="M330" i="5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M312" i="5" s="1"/>
  <c r="P312" i="5" s="1"/>
  <c r="O313" i="5"/>
  <c r="N311" i="5"/>
  <c r="M311" i="5"/>
  <c r="P311" i="5" s="1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N291" i="5"/>
  <c r="M291" i="5"/>
  <c r="L291" i="5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P275" i="5" s="1"/>
  <c r="O274" i="5"/>
  <c r="N272" i="5"/>
  <c r="M272" i="5"/>
  <c r="P272" i="5" s="1"/>
  <c r="L272" i="5"/>
  <c r="O272" i="5" s="1"/>
  <c r="J270" i="5"/>
  <c r="I270" i="5"/>
  <c r="K270" i="5" s="1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P251" i="5"/>
  <c r="N251" i="5"/>
  <c r="M251" i="5"/>
  <c r="L251" i="5"/>
  <c r="O251" i="5" s="1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P221" i="5"/>
  <c r="O221" i="5"/>
  <c r="N221" i="5"/>
  <c r="M221" i="5"/>
  <c r="L221" i="5"/>
  <c r="J219" i="5"/>
  <c r="I219" i="5"/>
  <c r="J218" i="5"/>
  <c r="J217" i="5"/>
  <c r="J216" i="5"/>
  <c r="I216" i="5"/>
  <c r="J215" i="5"/>
  <c r="I215" i="5"/>
  <c r="K215" i="5" s="1"/>
  <c r="J213" i="5"/>
  <c r="I213" i="5"/>
  <c r="J212" i="5"/>
  <c r="J211" i="5"/>
  <c r="J210" i="5"/>
  <c r="J209" i="5"/>
  <c r="J204" i="5"/>
  <c r="I204" i="5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P141" i="5"/>
  <c r="N141" i="5"/>
  <c r="M141" i="5"/>
  <c r="L141" i="5"/>
  <c r="O141" i="5" s="1"/>
  <c r="J138" i="5"/>
  <c r="I138" i="5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P122" i="5" s="1"/>
  <c r="O121" i="5"/>
  <c r="N119" i="5"/>
  <c r="M119" i="5"/>
  <c r="P119" i="5" s="1"/>
  <c r="L119" i="5"/>
  <c r="O119" i="5" s="1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P95" i="5"/>
  <c r="N95" i="5"/>
  <c r="M95" i="5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P70" i="5" s="1"/>
  <c r="O69" i="5"/>
  <c r="N67" i="5"/>
  <c r="M67" i="5"/>
  <c r="P67" i="5" s="1"/>
  <c r="L67" i="5"/>
  <c r="O67" i="5" s="1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P54" i="5"/>
  <c r="N54" i="5"/>
  <c r="M54" i="5"/>
  <c r="L54" i="5"/>
  <c r="O54" i="5" s="1"/>
  <c r="N49" i="5"/>
  <c r="L49" i="5"/>
  <c r="O49" i="5" s="1"/>
  <c r="L47" i="5"/>
  <c r="L46" i="5"/>
  <c r="N45" i="5"/>
  <c r="M45" i="5"/>
  <c r="M43" i="5" s="1"/>
  <c r="N42" i="5"/>
  <c r="M42" i="5"/>
  <c r="P42" i="5" s="1"/>
  <c r="L42" i="5"/>
  <c r="O42" i="5" s="1"/>
  <c r="P36" i="5"/>
  <c r="O36" i="5"/>
  <c r="P35" i="5"/>
  <c r="O35" i="5"/>
  <c r="M34" i="5"/>
  <c r="P34" i="5" s="1"/>
  <c r="M33" i="5"/>
  <c r="P33" i="5" s="1"/>
  <c r="P32" i="5"/>
  <c r="M32" i="5"/>
  <c r="M30" i="5" s="1"/>
  <c r="P30" i="5" s="1"/>
  <c r="M31" i="5"/>
  <c r="N25" i="5"/>
  <c r="M25" i="5"/>
  <c r="L25" i="5"/>
  <c r="O25" i="5" s="1"/>
  <c r="N24" i="5"/>
  <c r="M24" i="5"/>
  <c r="P24" i="5" s="1"/>
  <c r="P23" i="5"/>
  <c r="N23" i="5"/>
  <c r="M23" i="5"/>
  <c r="P21" i="5"/>
  <c r="N21" i="5"/>
  <c r="M21" i="5"/>
  <c r="L21" i="5"/>
  <c r="O21" i="5" s="1"/>
  <c r="L19" i="5"/>
  <c r="L15" i="5"/>
  <c r="O15" i="5" s="1"/>
  <c r="M13" i="5"/>
  <c r="P13" i="5" s="1"/>
  <c r="J635" i="4"/>
  <c r="I635" i="4"/>
  <c r="J634" i="4"/>
  <c r="I634" i="4"/>
  <c r="J633" i="4"/>
  <c r="I633" i="4"/>
  <c r="K633" i="4" s="1"/>
  <c r="J632" i="4"/>
  <c r="I632" i="4"/>
  <c r="K632" i="4" s="1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1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3" i="4"/>
  <c r="J562" i="4"/>
  <c r="J561" i="4"/>
  <c r="I561" i="4"/>
  <c r="J560" i="4"/>
  <c r="I560" i="4"/>
  <c r="K560" i="4" s="1"/>
  <c r="N559" i="4"/>
  <c r="N558" i="4"/>
  <c r="N557" i="4"/>
  <c r="N556" i="4"/>
  <c r="N555" i="4"/>
  <c r="L555" i="4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J468" i="4"/>
  <c r="I468" i="4"/>
  <c r="K468" i="4" s="1"/>
  <c r="J467" i="4"/>
  <c r="I467" i="4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N455" i="4"/>
  <c r="L455" i="4"/>
  <c r="J455" i="4"/>
  <c r="I455" i="4"/>
  <c r="J454" i="4"/>
  <c r="J453" i="4"/>
  <c r="J452" i="4"/>
  <c r="I452" i="4"/>
  <c r="K452" i="4" s="1"/>
  <c r="J451" i="4"/>
  <c r="I451" i="4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K376" i="4" s="1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N330" i="4"/>
  <c r="M330" i="4"/>
  <c r="L330" i="4"/>
  <c r="O330" i="4" s="1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N311" i="4"/>
  <c r="M311" i="4"/>
  <c r="P311" i="4" s="1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M292" i="4" s="1"/>
  <c r="P292" i="4" s="1"/>
  <c r="O293" i="4"/>
  <c r="N291" i="4"/>
  <c r="M291" i="4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N272" i="4"/>
  <c r="M272" i="4"/>
  <c r="P272" i="4" s="1"/>
  <c r="L272" i="4"/>
  <c r="O272" i="4" s="1"/>
  <c r="J270" i="4"/>
  <c r="I270" i="4"/>
  <c r="K270" i="4" s="1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O253" i="4"/>
  <c r="N251" i="4"/>
  <c r="M251" i="4"/>
  <c r="P251" i="4" s="1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P221" i="4"/>
  <c r="O221" i="4"/>
  <c r="N221" i="4"/>
  <c r="M221" i="4"/>
  <c r="L221" i="4"/>
  <c r="J219" i="4"/>
  <c r="I219" i="4"/>
  <c r="J218" i="4"/>
  <c r="J217" i="4"/>
  <c r="J216" i="4"/>
  <c r="I216" i="4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N141" i="4"/>
  <c r="M141" i="4"/>
  <c r="P141" i="4" s="1"/>
  <c r="L141" i="4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M120" i="4" s="1"/>
  <c r="P120" i="4" s="1"/>
  <c r="O121" i="4"/>
  <c r="N119" i="4"/>
  <c r="M119" i="4"/>
  <c r="L119" i="4"/>
  <c r="O119" i="4" s="1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N95" i="4"/>
  <c r="M95" i="4"/>
  <c r="P95" i="4" s="1"/>
  <c r="L95" i="4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P70" i="4" s="1"/>
  <c r="O69" i="4"/>
  <c r="N67" i="4"/>
  <c r="M67" i="4"/>
  <c r="L67" i="4"/>
  <c r="O67" i="4" s="1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M55" i="4" s="1"/>
  <c r="N54" i="4"/>
  <c r="M54" i="4"/>
  <c r="P54" i="4" s="1"/>
  <c r="L54" i="4"/>
  <c r="N49" i="4"/>
  <c r="L49" i="4"/>
  <c r="L47" i="4"/>
  <c r="L46" i="4"/>
  <c r="N45" i="4"/>
  <c r="M45" i="4"/>
  <c r="N42" i="4"/>
  <c r="M42" i="4"/>
  <c r="L42" i="4"/>
  <c r="O42" i="4" s="1"/>
  <c r="P36" i="4"/>
  <c r="O36" i="4"/>
  <c r="P35" i="4"/>
  <c r="O35" i="4"/>
  <c r="P34" i="4"/>
  <c r="M34" i="4"/>
  <c r="M33" i="4"/>
  <c r="P32" i="4"/>
  <c r="M32" i="4"/>
  <c r="M31" i="4"/>
  <c r="M29" i="4" s="1"/>
  <c r="M30" i="4"/>
  <c r="P30" i="4" s="1"/>
  <c r="P25" i="4"/>
  <c r="O25" i="4"/>
  <c r="N25" i="4"/>
  <c r="N15" i="4" s="1"/>
  <c r="M25" i="4"/>
  <c r="L25" i="4"/>
  <c r="N24" i="4"/>
  <c r="M24" i="4"/>
  <c r="P23" i="4"/>
  <c r="N23" i="4"/>
  <c r="M23" i="4"/>
  <c r="N21" i="4"/>
  <c r="M21" i="4"/>
  <c r="P21" i="4" s="1"/>
  <c r="L21" i="4"/>
  <c r="N19" i="4"/>
  <c r="M19" i="4"/>
  <c r="P19" i="4" s="1"/>
  <c r="M15" i="4"/>
  <c r="P15" i="4" s="1"/>
  <c r="L15" i="4"/>
  <c r="O15" i="4" s="1"/>
  <c r="J635" i="3"/>
  <c r="I635" i="3"/>
  <c r="J634" i="3"/>
  <c r="I634" i="3"/>
  <c r="J633" i="3"/>
  <c r="I633" i="3"/>
  <c r="K633" i="3" s="1"/>
  <c r="J632" i="3"/>
  <c r="I632" i="3"/>
  <c r="K632" i="3" s="1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N588" i="3"/>
  <c r="N587" i="3"/>
  <c r="N586" i="3"/>
  <c r="N585" i="3"/>
  <c r="N584" i="3"/>
  <c r="L584" i="3"/>
  <c r="O584" i="3" s="1"/>
  <c r="N583" i="3"/>
  <c r="L583" i="3"/>
  <c r="N582" i="3"/>
  <c r="L582" i="3"/>
  <c r="O582" i="3" s="1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J577" i="3"/>
  <c r="I577" i="3"/>
  <c r="K577" i="3" s="1"/>
  <c r="J576" i="3"/>
  <c r="I576" i="3"/>
  <c r="K576" i="3" s="1"/>
  <c r="J575" i="3"/>
  <c r="I575" i="3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3" i="3"/>
  <c r="J562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N551" i="3"/>
  <c r="L551" i="3"/>
  <c r="O551" i="3" s="1"/>
  <c r="J551" i="3"/>
  <c r="I551" i="3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L335" i="3"/>
  <c r="L334" i="3"/>
  <c r="N333" i="3"/>
  <c r="M333" i="3"/>
  <c r="M331" i="3" s="1"/>
  <c r="O332" i="3"/>
  <c r="N330" i="3"/>
  <c r="M330" i="3"/>
  <c r="P330" i="3" s="1"/>
  <c r="L330" i="3"/>
  <c r="O330" i="3" s="1"/>
  <c r="J328" i="3"/>
  <c r="I328" i="3"/>
  <c r="J326" i="3"/>
  <c r="J325" i="3"/>
  <c r="J324" i="3"/>
  <c r="I324" i="3"/>
  <c r="J323" i="3"/>
  <c r="J322" i="3"/>
  <c r="J321" i="3"/>
  <c r="J320" i="3"/>
  <c r="N318" i="3"/>
  <c r="L318" i="3"/>
  <c r="O318" i="3" s="1"/>
  <c r="L316" i="3"/>
  <c r="L315" i="3"/>
  <c r="N314" i="3"/>
  <c r="M314" i="3"/>
  <c r="O313" i="3"/>
  <c r="N311" i="3"/>
  <c r="M311" i="3"/>
  <c r="P311" i="3" s="1"/>
  <c r="L311" i="3"/>
  <c r="J309" i="3"/>
  <c r="I309" i="3"/>
  <c r="J308" i="3"/>
  <c r="J307" i="3"/>
  <c r="J306" i="3"/>
  <c r="I306" i="3"/>
  <c r="J304" i="3"/>
  <c r="I304" i="3"/>
  <c r="J303" i="3"/>
  <c r="J302" i="3"/>
  <c r="J301" i="3"/>
  <c r="J300" i="3"/>
  <c r="N298" i="3"/>
  <c r="L298" i="3"/>
  <c r="O298" i="3" s="1"/>
  <c r="L296" i="3"/>
  <c r="L295" i="3"/>
  <c r="N294" i="3"/>
  <c r="M294" i="3"/>
  <c r="M292" i="3" s="1"/>
  <c r="O293" i="3"/>
  <c r="N291" i="3"/>
  <c r="M291" i="3"/>
  <c r="L291" i="3"/>
  <c r="O291" i="3" s="1"/>
  <c r="J289" i="3"/>
  <c r="I289" i="3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M271" i="3" s="1"/>
  <c r="O274" i="3"/>
  <c r="P272" i="3"/>
  <c r="N272" i="3"/>
  <c r="M272" i="3"/>
  <c r="L272" i="3"/>
  <c r="O272" i="3" s="1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P251" i="3"/>
  <c r="O251" i="3"/>
  <c r="N251" i="3"/>
  <c r="M251" i="3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K235" i="3" s="1"/>
  <c r="J234" i="3"/>
  <c r="J233" i="3"/>
  <c r="J232" i="3"/>
  <c r="J231" i="3"/>
  <c r="J229" i="3"/>
  <c r="I229" i="3"/>
  <c r="K229" i="3" s="1"/>
  <c r="N228" i="3"/>
  <c r="L228" i="3"/>
  <c r="O228" i="3" s="1"/>
  <c r="L226" i="3"/>
  <c r="L225" i="3"/>
  <c r="N224" i="3"/>
  <c r="M224" i="3"/>
  <c r="O223" i="3"/>
  <c r="O221" i="3"/>
  <c r="N221" i="3"/>
  <c r="M221" i="3"/>
  <c r="P221" i="3" s="1"/>
  <c r="L221" i="3"/>
  <c r="J219" i="3"/>
  <c r="I219" i="3"/>
  <c r="K219" i="3" s="1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O143" i="3"/>
  <c r="P141" i="3"/>
  <c r="O141" i="3"/>
  <c r="N141" i="3"/>
  <c r="M141" i="3"/>
  <c r="L141" i="3"/>
  <c r="J138" i="3"/>
  <c r="I138" i="3"/>
  <c r="J135" i="3"/>
  <c r="J134" i="3"/>
  <c r="J133" i="3"/>
  <c r="I133" i="3"/>
  <c r="J132" i="3"/>
  <c r="I132" i="3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M118" i="3" s="1"/>
  <c r="O121" i="3"/>
  <c r="P119" i="3"/>
  <c r="N119" i="3"/>
  <c r="M119" i="3"/>
  <c r="L119" i="3"/>
  <c r="O119" i="3" s="1"/>
  <c r="J117" i="3"/>
  <c r="I117" i="3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P95" i="3"/>
  <c r="O95" i="3"/>
  <c r="N95" i="3"/>
  <c r="M95" i="3"/>
  <c r="L95" i="3"/>
  <c r="J93" i="3"/>
  <c r="I93" i="3"/>
  <c r="J92" i="3"/>
  <c r="I92" i="3"/>
  <c r="J90" i="3"/>
  <c r="J89" i="3"/>
  <c r="J88" i="3"/>
  <c r="I88" i="3"/>
  <c r="K88" i="3" s="1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O69" i="3"/>
  <c r="P67" i="3"/>
  <c r="N67" i="3"/>
  <c r="M67" i="3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M55" i="3" s="1"/>
  <c r="P54" i="3"/>
  <c r="O54" i="3"/>
  <c r="N54" i="3"/>
  <c r="M54" i="3"/>
  <c r="L54" i="3"/>
  <c r="N49" i="3"/>
  <c r="L49" i="3"/>
  <c r="O49" i="3" s="1"/>
  <c r="L47" i="3"/>
  <c r="L46" i="3"/>
  <c r="N45" i="3"/>
  <c r="M45" i="3"/>
  <c r="M43" i="3" s="1"/>
  <c r="M41" i="3" s="1"/>
  <c r="P42" i="3"/>
  <c r="O42" i="3"/>
  <c r="N42" i="3"/>
  <c r="M42" i="3"/>
  <c r="L42" i="3"/>
  <c r="P36" i="3"/>
  <c r="O36" i="3"/>
  <c r="P35" i="3"/>
  <c r="O35" i="3"/>
  <c r="M34" i="3"/>
  <c r="P34" i="3" s="1"/>
  <c r="P33" i="3"/>
  <c r="M33" i="3"/>
  <c r="P32" i="3"/>
  <c r="M32" i="3"/>
  <c r="M30" i="3" s="1"/>
  <c r="P30" i="3" s="1"/>
  <c r="M31" i="3"/>
  <c r="N25" i="3"/>
  <c r="M25" i="3"/>
  <c r="P25" i="3" s="1"/>
  <c r="L25" i="3"/>
  <c r="O25" i="3" s="1"/>
  <c r="P24" i="3"/>
  <c r="N24" i="3"/>
  <c r="M24" i="3"/>
  <c r="P23" i="3"/>
  <c r="N23" i="3"/>
  <c r="M23" i="3"/>
  <c r="P21" i="3"/>
  <c r="O21" i="3"/>
  <c r="N21" i="3"/>
  <c r="M21" i="3"/>
  <c r="M19" i="3" s="1"/>
  <c r="L21" i="3"/>
  <c r="L19" i="3"/>
  <c r="P14" i="3"/>
  <c r="M14" i="3"/>
  <c r="M13" i="3"/>
  <c r="P13" i="3" s="1"/>
  <c r="J635" i="2"/>
  <c r="I635" i="2"/>
  <c r="J634" i="2"/>
  <c r="I634" i="2"/>
  <c r="J633" i="2"/>
  <c r="I633" i="2"/>
  <c r="J632" i="2"/>
  <c r="I632" i="2"/>
  <c r="K632" i="2" s="1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J594" i="2"/>
  <c r="I594" i="2"/>
  <c r="J593" i="2"/>
  <c r="I593" i="2"/>
  <c r="K593" i="2" s="1"/>
  <c r="J592" i="2"/>
  <c r="I592" i="2"/>
  <c r="J591" i="2"/>
  <c r="I591" i="2"/>
  <c r="K591" i="2" s="1"/>
  <c r="J590" i="2"/>
  <c r="I590" i="2"/>
  <c r="K590" i="2" s="1"/>
  <c r="J589" i="2"/>
  <c r="I589" i="2"/>
  <c r="K589" i="2" s="1"/>
  <c r="N588" i="2"/>
  <c r="N587" i="2"/>
  <c r="N586" i="2"/>
  <c r="N585" i="2"/>
  <c r="N584" i="2"/>
  <c r="L584" i="2"/>
  <c r="O584" i="2" s="1"/>
  <c r="N583" i="2"/>
  <c r="L583" i="2"/>
  <c r="O583" i="2" s="1"/>
  <c r="N582" i="2"/>
  <c r="L582" i="2"/>
  <c r="O582" i="2" s="1"/>
  <c r="N581" i="2"/>
  <c r="L581" i="2"/>
  <c r="O581" i="2" s="1"/>
  <c r="N580" i="2"/>
  <c r="L580" i="2"/>
  <c r="O580" i="2" s="1"/>
  <c r="J580" i="2"/>
  <c r="I580" i="2"/>
  <c r="K580" i="2" s="1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3" i="2"/>
  <c r="J562" i="2"/>
  <c r="J561" i="2"/>
  <c r="I561" i="2"/>
  <c r="K561" i="2" s="1"/>
  <c r="J560" i="2"/>
  <c r="I560" i="2"/>
  <c r="K560" i="2" s="1"/>
  <c r="N559" i="2"/>
  <c r="N558" i="2"/>
  <c r="N557" i="2"/>
  <c r="N556" i="2"/>
  <c r="N555" i="2"/>
  <c r="L555" i="2"/>
  <c r="O555" i="2" s="1"/>
  <c r="N554" i="2"/>
  <c r="L554" i="2"/>
  <c r="O554" i="2" s="1"/>
  <c r="N553" i="2"/>
  <c r="L553" i="2"/>
  <c r="O553" i="2" s="1"/>
  <c r="N552" i="2"/>
  <c r="L552" i="2"/>
  <c r="O552" i="2" s="1"/>
  <c r="N551" i="2"/>
  <c r="L551" i="2"/>
  <c r="O551" i="2" s="1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N455" i="2"/>
  <c r="L455" i="2"/>
  <c r="J455" i="2"/>
  <c r="I455" i="2"/>
  <c r="J454" i="2"/>
  <c r="J453" i="2"/>
  <c r="J452" i="2"/>
  <c r="I452" i="2"/>
  <c r="K452" i="2" s="1"/>
  <c r="J451" i="2"/>
  <c r="I451" i="2"/>
  <c r="K451" i="2" s="1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K375" i="2" s="1"/>
  <c r="J374" i="2"/>
  <c r="I374" i="2"/>
  <c r="J373" i="2"/>
  <c r="I373" i="2"/>
  <c r="K373" i="2" s="1"/>
  <c r="J372" i="2"/>
  <c r="I372" i="2"/>
  <c r="K372" i="2" s="1"/>
  <c r="J371" i="2"/>
  <c r="I371" i="2"/>
  <c r="K371" i="2" s="1"/>
  <c r="J370" i="2"/>
  <c r="I370" i="2"/>
  <c r="K370" i="2" s="1"/>
  <c r="J369" i="2"/>
  <c r="I369" i="2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O354" i="2" s="1"/>
  <c r="N353" i="2"/>
  <c r="L353" i="2"/>
  <c r="O353" i="2" s="1"/>
  <c r="N352" i="2"/>
  <c r="L352" i="2"/>
  <c r="N351" i="2"/>
  <c r="L351" i="2"/>
  <c r="J350" i="2"/>
  <c r="I350" i="2"/>
  <c r="K350" i="2" s="1"/>
  <c r="N349" i="2"/>
  <c r="L349" i="2"/>
  <c r="O349" i="2" s="1"/>
  <c r="J349" i="2"/>
  <c r="I349" i="2"/>
  <c r="N347" i="2"/>
  <c r="L347" i="2"/>
  <c r="J346" i="2"/>
  <c r="I346" i="2"/>
  <c r="K346" i="2" s="1"/>
  <c r="J345" i="2"/>
  <c r="I345" i="2"/>
  <c r="J344" i="2"/>
  <c r="I344" i="2"/>
  <c r="J343" i="2"/>
  <c r="I343" i="2"/>
  <c r="J342" i="2"/>
  <c r="I342" i="2"/>
  <c r="J341" i="2"/>
  <c r="I341" i="2"/>
  <c r="J340" i="2"/>
  <c r="I340" i="2"/>
  <c r="J339" i="2"/>
  <c r="I339" i="2"/>
  <c r="K339" i="2" s="1"/>
  <c r="N337" i="2"/>
  <c r="L337" i="2"/>
  <c r="L335" i="2"/>
  <c r="L334" i="2"/>
  <c r="N333" i="2"/>
  <c r="M333" i="2"/>
  <c r="O332" i="2"/>
  <c r="O330" i="2"/>
  <c r="N330" i="2"/>
  <c r="M330" i="2"/>
  <c r="P330" i="2" s="1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L316" i="2"/>
  <c r="L315" i="2"/>
  <c r="N314" i="2"/>
  <c r="M314" i="2"/>
  <c r="O313" i="2"/>
  <c r="O311" i="2"/>
  <c r="N311" i="2"/>
  <c r="M311" i="2"/>
  <c r="P311" i="2" s="1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L296" i="2"/>
  <c r="L295" i="2"/>
  <c r="N294" i="2"/>
  <c r="M294" i="2"/>
  <c r="O293" i="2"/>
  <c r="O291" i="2"/>
  <c r="N291" i="2"/>
  <c r="M291" i="2"/>
  <c r="P291" i="2" s="1"/>
  <c r="L291" i="2"/>
  <c r="J289" i="2"/>
  <c r="I289" i="2"/>
  <c r="J287" i="2"/>
  <c r="J286" i="2"/>
  <c r="J285" i="2"/>
  <c r="I285" i="2"/>
  <c r="K285" i="2" s="1"/>
  <c r="J284" i="2"/>
  <c r="J283" i="2"/>
  <c r="J282" i="2"/>
  <c r="J281" i="2"/>
  <c r="N279" i="2"/>
  <c r="L279" i="2"/>
  <c r="O279" i="2" s="1"/>
  <c r="L277" i="2"/>
  <c r="L276" i="2"/>
  <c r="N275" i="2"/>
  <c r="M275" i="2"/>
  <c r="O274" i="2"/>
  <c r="O272" i="2"/>
  <c r="N272" i="2"/>
  <c r="M272" i="2"/>
  <c r="P272" i="2" s="1"/>
  <c r="L272" i="2"/>
  <c r="J270" i="2"/>
  <c r="I270" i="2"/>
  <c r="K270" i="2" s="1"/>
  <c r="J269" i="2"/>
  <c r="J268" i="2"/>
  <c r="J267" i="2"/>
  <c r="I267" i="2"/>
  <c r="K267" i="2" s="1"/>
  <c r="J266" i="2"/>
  <c r="I266" i="2"/>
  <c r="K266" i="2" s="1"/>
  <c r="J265" i="2"/>
  <c r="I265" i="2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M252" i="2" s="1"/>
  <c r="P252" i="2" s="1"/>
  <c r="O253" i="2"/>
  <c r="N251" i="2"/>
  <c r="M251" i="2"/>
  <c r="P251" i="2" s="1"/>
  <c r="L251" i="2"/>
  <c r="O251" i="2" s="1"/>
  <c r="J249" i="2"/>
  <c r="I249" i="2"/>
  <c r="K249" i="2" s="1"/>
  <c r="J246" i="2"/>
  <c r="J245" i="2"/>
  <c r="J244" i="2"/>
  <c r="I244" i="2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L226" i="2"/>
  <c r="L225" i="2"/>
  <c r="N224" i="2"/>
  <c r="M224" i="2"/>
  <c r="O223" i="2"/>
  <c r="P221" i="2"/>
  <c r="O221" i="2"/>
  <c r="N221" i="2"/>
  <c r="M221" i="2"/>
  <c r="L221" i="2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N141" i="2"/>
  <c r="M141" i="2"/>
  <c r="P141" i="2" s="1"/>
  <c r="L141" i="2"/>
  <c r="O141" i="2" s="1"/>
  <c r="J138" i="2"/>
  <c r="I138" i="2"/>
  <c r="J135" i="2"/>
  <c r="J134" i="2"/>
  <c r="J133" i="2"/>
  <c r="I133" i="2"/>
  <c r="K133" i="2" s="1"/>
  <c r="J132" i="2"/>
  <c r="I132" i="2"/>
  <c r="K132" i="2" s="1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N119" i="2"/>
  <c r="M119" i="2"/>
  <c r="L119" i="2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J108" i="2"/>
  <c r="I108" i="2"/>
  <c r="K108" i="2" s="1"/>
  <c r="J107" i="2"/>
  <c r="J106" i="2"/>
  <c r="J105" i="2"/>
  <c r="J104" i="2"/>
  <c r="N102" i="2"/>
  <c r="L102" i="2"/>
  <c r="L100" i="2"/>
  <c r="L99" i="2"/>
  <c r="N98" i="2"/>
  <c r="M98" i="2"/>
  <c r="P98" i="2" s="1"/>
  <c r="O97" i="2"/>
  <c r="N95" i="2"/>
  <c r="M95" i="2"/>
  <c r="P95" i="2" s="1"/>
  <c r="L95" i="2"/>
  <c r="O95" i="2" s="1"/>
  <c r="J93" i="2"/>
  <c r="I93" i="2"/>
  <c r="K93" i="2" s="1"/>
  <c r="J92" i="2"/>
  <c r="I92" i="2"/>
  <c r="K92" i="2" s="1"/>
  <c r="J90" i="2"/>
  <c r="J89" i="2"/>
  <c r="J88" i="2"/>
  <c r="I88" i="2"/>
  <c r="J87" i="2"/>
  <c r="I87" i="2"/>
  <c r="K87" i="2" s="1"/>
  <c r="J86" i="2"/>
  <c r="I86" i="2"/>
  <c r="K86" i="2" s="1"/>
  <c r="J85" i="2"/>
  <c r="I85" i="2"/>
  <c r="J84" i="2"/>
  <c r="I84" i="2"/>
  <c r="J83" i="2"/>
  <c r="I83" i="2"/>
  <c r="K83" i="2" s="1"/>
  <c r="J82" i="2"/>
  <c r="I82" i="2"/>
  <c r="K82" i="2" s="1"/>
  <c r="J81" i="2"/>
  <c r="I81" i="2"/>
  <c r="J80" i="2"/>
  <c r="I80" i="2"/>
  <c r="J79" i="2"/>
  <c r="J78" i="2"/>
  <c r="J77" i="2"/>
  <c r="J76" i="2"/>
  <c r="N74" i="2"/>
  <c r="L74" i="2"/>
  <c r="O74" i="2" s="1"/>
  <c r="L72" i="2"/>
  <c r="L71" i="2"/>
  <c r="N70" i="2"/>
  <c r="M70" i="2"/>
  <c r="O69" i="2"/>
  <c r="N67" i="2"/>
  <c r="N67" i="1" s="1"/>
  <c r="M67" i="2"/>
  <c r="P67" i="2" s="1"/>
  <c r="L67" i="2"/>
  <c r="O67" i="2" s="1"/>
  <c r="J65" i="2"/>
  <c r="I65" i="2"/>
  <c r="J64" i="2"/>
  <c r="I64" i="2"/>
  <c r="N61" i="2"/>
  <c r="L61" i="2"/>
  <c r="L59" i="2"/>
  <c r="L58" i="2"/>
  <c r="N57" i="2"/>
  <c r="M57" i="2"/>
  <c r="N54" i="2"/>
  <c r="M54" i="2"/>
  <c r="P54" i="2" s="1"/>
  <c r="L54" i="2"/>
  <c r="O54" i="2" s="1"/>
  <c r="N49" i="2"/>
  <c r="L49" i="2"/>
  <c r="O49" i="2" s="1"/>
  <c r="L47" i="2"/>
  <c r="L46" i="2"/>
  <c r="N45" i="2"/>
  <c r="M45" i="2"/>
  <c r="M43" i="2" s="1"/>
  <c r="N42" i="2"/>
  <c r="M42" i="2"/>
  <c r="P42" i="2" s="1"/>
  <c r="L42" i="2"/>
  <c r="O42" i="2" s="1"/>
  <c r="P36" i="2"/>
  <c r="O36" i="2"/>
  <c r="P35" i="2"/>
  <c r="O35" i="2"/>
  <c r="M34" i="2"/>
  <c r="P34" i="2" s="1"/>
  <c r="M33" i="2"/>
  <c r="P33" i="2" s="1"/>
  <c r="P32" i="2"/>
  <c r="M32" i="2"/>
  <c r="P31" i="2"/>
  <c r="M31" i="2"/>
  <c r="M29" i="2" s="1"/>
  <c r="M30" i="2"/>
  <c r="P30" i="2" s="1"/>
  <c r="N25" i="2"/>
  <c r="M25" i="2"/>
  <c r="P25" i="2" s="1"/>
  <c r="L25" i="2"/>
  <c r="O25" i="2" s="1"/>
  <c r="N24" i="2"/>
  <c r="M24" i="2"/>
  <c r="P24" i="2" s="1"/>
  <c r="P23" i="2"/>
  <c r="N23" i="2"/>
  <c r="M23" i="2"/>
  <c r="N21" i="2"/>
  <c r="M21" i="2"/>
  <c r="M19" i="2" s="1"/>
  <c r="L21" i="2"/>
  <c r="O21" i="2" s="1"/>
  <c r="O19" i="2"/>
  <c r="N19" i="2"/>
  <c r="L19" i="2"/>
  <c r="N15" i="2"/>
  <c r="P13" i="2"/>
  <c r="M13" i="2"/>
  <c r="J563" i="1"/>
  <c r="I563" i="1"/>
  <c r="J562" i="1"/>
  <c r="I562" i="1"/>
  <c r="I548" i="1"/>
  <c r="K548" i="1" s="1"/>
  <c r="I365" i="1"/>
  <c r="K365" i="1" s="1"/>
  <c r="L336" i="1"/>
  <c r="N332" i="1"/>
  <c r="M332" i="1"/>
  <c r="L332" i="1"/>
  <c r="O332" i="1" s="1"/>
  <c r="N330" i="1"/>
  <c r="M330" i="1"/>
  <c r="P330" i="1" s="1"/>
  <c r="L330" i="1"/>
  <c r="O330" i="1" s="1"/>
  <c r="L317" i="1"/>
  <c r="O313" i="1"/>
  <c r="N313" i="1"/>
  <c r="M313" i="1"/>
  <c r="L313" i="1"/>
  <c r="P311" i="1"/>
  <c r="O311" i="1"/>
  <c r="N311" i="1"/>
  <c r="M311" i="1"/>
  <c r="L311" i="1"/>
  <c r="J307" i="1"/>
  <c r="L297" i="1"/>
  <c r="N293" i="1"/>
  <c r="M293" i="1"/>
  <c r="L293" i="1"/>
  <c r="O293" i="1" s="1"/>
  <c r="P291" i="1"/>
  <c r="O291" i="1"/>
  <c r="N291" i="1"/>
  <c r="M291" i="1"/>
  <c r="L291" i="1"/>
  <c r="L278" i="1"/>
  <c r="O274" i="1"/>
  <c r="N274" i="1"/>
  <c r="M274" i="1"/>
  <c r="L274" i="1"/>
  <c r="P272" i="1"/>
  <c r="N272" i="1"/>
  <c r="M272" i="1"/>
  <c r="L272" i="1"/>
  <c r="O272" i="1" s="1"/>
  <c r="L257" i="1"/>
  <c r="N253" i="1"/>
  <c r="M253" i="1"/>
  <c r="L253" i="1"/>
  <c r="O253" i="1" s="1"/>
  <c r="P251" i="1"/>
  <c r="O251" i="1"/>
  <c r="N251" i="1"/>
  <c r="M251" i="1"/>
  <c r="L251" i="1"/>
  <c r="J240" i="1"/>
  <c r="L227" i="1"/>
  <c r="N223" i="1"/>
  <c r="M223" i="1"/>
  <c r="L223" i="1"/>
  <c r="O223" i="1" s="1"/>
  <c r="P221" i="1"/>
  <c r="N221" i="1"/>
  <c r="M221" i="1"/>
  <c r="L221" i="1"/>
  <c r="O221" i="1" s="1"/>
  <c r="J214" i="1"/>
  <c r="I214" i="1"/>
  <c r="J198" i="1"/>
  <c r="I175" i="1"/>
  <c r="I174" i="1"/>
  <c r="I172" i="1"/>
  <c r="I171" i="1"/>
  <c r="I170" i="1"/>
  <c r="L147" i="1"/>
  <c r="O143" i="1"/>
  <c r="N143" i="1"/>
  <c r="M143" i="1"/>
  <c r="L143" i="1"/>
  <c r="N141" i="1"/>
  <c r="M141" i="1"/>
  <c r="P141" i="1" s="1"/>
  <c r="L141" i="1"/>
  <c r="O141" i="1" s="1"/>
  <c r="L125" i="1"/>
  <c r="O121" i="1"/>
  <c r="N121" i="1"/>
  <c r="M121" i="1"/>
  <c r="L121" i="1"/>
  <c r="P119" i="1"/>
  <c r="N119" i="1"/>
  <c r="M119" i="1"/>
  <c r="L101" i="1"/>
  <c r="O97" i="1"/>
  <c r="N97" i="1"/>
  <c r="M97" i="1"/>
  <c r="L97" i="1"/>
  <c r="O95" i="1"/>
  <c r="N95" i="1"/>
  <c r="L95" i="1"/>
  <c r="L73" i="1"/>
  <c r="O69" i="1"/>
  <c r="N69" i="1"/>
  <c r="N21" i="1" s="1"/>
  <c r="M69" i="1"/>
  <c r="L69" i="1"/>
  <c r="L67" i="1"/>
  <c r="O67" i="1" s="1"/>
  <c r="L60" i="1"/>
  <c r="L56" i="1"/>
  <c r="L54" i="1" s="1"/>
  <c r="N54" i="1"/>
  <c r="M54" i="1"/>
  <c r="P54" i="1" s="1"/>
  <c r="L48" i="1"/>
  <c r="L25" i="1" s="1"/>
  <c r="L44" i="1"/>
  <c r="L21" i="1" s="1"/>
  <c r="N42" i="1"/>
  <c r="M42" i="1"/>
  <c r="P42" i="1" s="1"/>
  <c r="P36" i="1"/>
  <c r="O36" i="1"/>
  <c r="P35" i="1"/>
  <c r="O35" i="1"/>
  <c r="M34" i="1"/>
  <c r="P34" i="1" s="1"/>
  <c r="M33" i="1"/>
  <c r="P33" i="1" s="1"/>
  <c r="P32" i="1"/>
  <c r="M32" i="1"/>
  <c r="P31" i="1"/>
  <c r="M31" i="1"/>
  <c r="M29" i="1" s="1"/>
  <c r="M30" i="1"/>
  <c r="P30" i="1" s="1"/>
  <c r="N25" i="1"/>
  <c r="M25" i="1"/>
  <c r="P25" i="1" s="1"/>
  <c r="N24" i="1"/>
  <c r="M24" i="1"/>
  <c r="P24" i="1" s="1"/>
  <c r="P23" i="1"/>
  <c r="N23" i="1"/>
  <c r="M23" i="1"/>
  <c r="M21" i="1"/>
  <c r="M19" i="1" s="1"/>
  <c r="N15" i="1"/>
  <c r="P13" i="1"/>
  <c r="M13" i="1"/>
  <c r="K597" i="10" l="1"/>
  <c r="K132" i="14"/>
  <c r="O406" i="6"/>
  <c r="K419" i="6"/>
  <c r="K615" i="15"/>
  <c r="K589" i="5"/>
  <c r="L144" i="9"/>
  <c r="O144" i="9" s="1"/>
  <c r="K427" i="2"/>
  <c r="N252" i="4"/>
  <c r="N250" i="4" s="1"/>
  <c r="K370" i="15"/>
  <c r="O404" i="15"/>
  <c r="K634" i="15"/>
  <c r="K372" i="7"/>
  <c r="K398" i="7"/>
  <c r="K629" i="15"/>
  <c r="K81" i="2"/>
  <c r="N120" i="5"/>
  <c r="N118" i="5" s="1"/>
  <c r="O601" i="14"/>
  <c r="K199" i="7"/>
  <c r="L254" i="7"/>
  <c r="O254" i="7" s="1"/>
  <c r="L314" i="7"/>
  <c r="O314" i="7" s="1"/>
  <c r="K375" i="10"/>
  <c r="K635" i="10"/>
  <c r="O599" i="2"/>
  <c r="K398" i="6"/>
  <c r="K164" i="4"/>
  <c r="K612" i="9"/>
  <c r="K270" i="3"/>
  <c r="K419" i="3"/>
  <c r="K173" i="9"/>
  <c r="K158" i="11"/>
  <c r="P224" i="11"/>
  <c r="N312" i="12"/>
  <c r="N310" i="12" s="1"/>
  <c r="O566" i="6"/>
  <c r="K201" i="4"/>
  <c r="O568" i="4"/>
  <c r="N252" i="10"/>
  <c r="N250" i="10" s="1"/>
  <c r="K615" i="14"/>
  <c r="K628" i="14"/>
  <c r="K562" i="2"/>
  <c r="K466" i="6"/>
  <c r="L314" i="14"/>
  <c r="O314" i="14" s="1"/>
  <c r="K86" i="3"/>
  <c r="K110" i="3"/>
  <c r="I526" i="1"/>
  <c r="K370" i="8"/>
  <c r="K635" i="12"/>
  <c r="J270" i="1"/>
  <c r="K265" i="4"/>
  <c r="K381" i="3"/>
  <c r="O385" i="3"/>
  <c r="K420" i="3"/>
  <c r="O533" i="5"/>
  <c r="K380" i="9"/>
  <c r="K397" i="9"/>
  <c r="O401" i="9"/>
  <c r="K435" i="9"/>
  <c r="L254" i="14"/>
  <c r="O254" i="14" s="1"/>
  <c r="L58" i="1"/>
  <c r="J173" i="1"/>
  <c r="K93" i="4"/>
  <c r="L98" i="4"/>
  <c r="L96" i="4" s="1"/>
  <c r="K380" i="4"/>
  <c r="P57" i="5"/>
  <c r="O564" i="10"/>
  <c r="N96" i="11"/>
  <c r="N94" i="11" s="1"/>
  <c r="M45" i="1"/>
  <c r="K450" i="13"/>
  <c r="K562" i="13"/>
  <c r="L553" i="1"/>
  <c r="O553" i="1" s="1"/>
  <c r="J371" i="1"/>
  <c r="L144" i="8"/>
  <c r="L142" i="8" s="1"/>
  <c r="L140" i="8" s="1"/>
  <c r="L45" i="10"/>
  <c r="O45" i="10" s="1"/>
  <c r="J341" i="1"/>
  <c r="K533" i="10"/>
  <c r="K629" i="4"/>
  <c r="M96" i="5"/>
  <c r="M94" i="5" s="1"/>
  <c r="K111" i="5"/>
  <c r="J184" i="1"/>
  <c r="O102" i="5"/>
  <c r="N292" i="2"/>
  <c r="N290" i="2" s="1"/>
  <c r="N68" i="9"/>
  <c r="P68" i="9" s="1"/>
  <c r="K564" i="10"/>
  <c r="K186" i="3"/>
  <c r="J160" i="1"/>
  <c r="N331" i="15"/>
  <c r="N329" i="15" s="1"/>
  <c r="J182" i="1"/>
  <c r="J188" i="1"/>
  <c r="J199" i="1"/>
  <c r="N461" i="1"/>
  <c r="J482" i="1"/>
  <c r="O459" i="12"/>
  <c r="L45" i="13"/>
  <c r="L43" i="13" s="1"/>
  <c r="L41" i="13" s="1"/>
  <c r="O437" i="15"/>
  <c r="J65" i="1"/>
  <c r="N102" i="1"/>
  <c r="J135" i="1"/>
  <c r="N144" i="1"/>
  <c r="L296" i="1"/>
  <c r="N142" i="3"/>
  <c r="N140" i="3" s="1"/>
  <c r="N148" i="1"/>
  <c r="M224" i="1"/>
  <c r="N382" i="1"/>
  <c r="N43" i="5"/>
  <c r="N41" i="5" s="1"/>
  <c r="N68" i="5"/>
  <c r="N66" i="5" s="1"/>
  <c r="K473" i="8"/>
  <c r="N120" i="9"/>
  <c r="N118" i="9" s="1"/>
  <c r="K616" i="13"/>
  <c r="N222" i="14"/>
  <c r="N220" i="14" s="1"/>
  <c r="J114" i="1"/>
  <c r="J433" i="1"/>
  <c r="I524" i="1"/>
  <c r="J87" i="1"/>
  <c r="J111" i="1"/>
  <c r="I345" i="1"/>
  <c r="L349" i="1"/>
  <c r="J360" i="1"/>
  <c r="J375" i="1"/>
  <c r="J473" i="1"/>
  <c r="J477" i="1"/>
  <c r="J481" i="1"/>
  <c r="J485" i="1"/>
  <c r="J219" i="1"/>
  <c r="J238" i="1"/>
  <c r="J267" i="1"/>
  <c r="J580" i="1"/>
  <c r="K418" i="9"/>
  <c r="K426" i="9"/>
  <c r="K615" i="12"/>
  <c r="K375" i="15"/>
  <c r="O401" i="15"/>
  <c r="K418" i="15"/>
  <c r="K473" i="15"/>
  <c r="K497" i="15"/>
  <c r="I85" i="1"/>
  <c r="K402" i="8"/>
  <c r="J104" i="1"/>
  <c r="K158" i="3"/>
  <c r="K431" i="4"/>
  <c r="N57" i="1"/>
  <c r="K368" i="9"/>
  <c r="K176" i="13"/>
  <c r="P294" i="13"/>
  <c r="K309" i="13"/>
  <c r="L314" i="13"/>
  <c r="O314" i="13" s="1"/>
  <c r="K235" i="14"/>
  <c r="I215" i="1"/>
  <c r="K215" i="1" s="1"/>
  <c r="I377" i="1"/>
  <c r="L72" i="1"/>
  <c r="K158" i="7"/>
  <c r="K481" i="7"/>
  <c r="J129" i="1"/>
  <c r="P314" i="8"/>
  <c r="K368" i="8"/>
  <c r="K372" i="8"/>
  <c r="O597" i="8"/>
  <c r="K65" i="9"/>
  <c r="I93" i="1"/>
  <c r="K229" i="10"/>
  <c r="K113" i="12"/>
  <c r="L57" i="13"/>
  <c r="O57" i="13" s="1"/>
  <c r="P224" i="13"/>
  <c r="K381" i="13"/>
  <c r="K432" i="13"/>
  <c r="O568" i="13"/>
  <c r="O599" i="13"/>
  <c r="K402" i="14"/>
  <c r="K419" i="14"/>
  <c r="K427" i="14"/>
  <c r="O435" i="14"/>
  <c r="J84" i="1"/>
  <c r="J112" i="1"/>
  <c r="I133" i="1"/>
  <c r="J201" i="1"/>
  <c r="J212" i="1"/>
  <c r="K498" i="4"/>
  <c r="M120" i="5"/>
  <c r="P120" i="5" s="1"/>
  <c r="J234" i="1"/>
  <c r="K219" i="2"/>
  <c r="K430" i="2"/>
  <c r="J493" i="1"/>
  <c r="J521" i="1"/>
  <c r="J533" i="1"/>
  <c r="N536" i="1"/>
  <c r="J544" i="1"/>
  <c r="J550" i="1"/>
  <c r="N553" i="1"/>
  <c r="N566" i="1"/>
  <c r="N597" i="1"/>
  <c r="N601" i="1"/>
  <c r="J614" i="1"/>
  <c r="L277" i="1"/>
  <c r="J163" i="1"/>
  <c r="M96" i="7"/>
  <c r="P96" i="7" s="1"/>
  <c r="I547" i="1"/>
  <c r="O564" i="8"/>
  <c r="J494" i="1"/>
  <c r="K564" i="11"/>
  <c r="N598" i="1"/>
  <c r="J181" i="1"/>
  <c r="J187" i="1"/>
  <c r="P298" i="15"/>
  <c r="N222" i="2"/>
  <c r="N220" i="2" s="1"/>
  <c r="J232" i="1"/>
  <c r="N460" i="1"/>
  <c r="I466" i="1"/>
  <c r="I474" i="1"/>
  <c r="J113" i="1"/>
  <c r="I149" i="1"/>
  <c r="J159" i="1"/>
  <c r="J170" i="1"/>
  <c r="J176" i="1"/>
  <c r="J197" i="1"/>
  <c r="J203" i="1"/>
  <c r="J213" i="1"/>
  <c r="J344" i="1"/>
  <c r="J349" i="1"/>
  <c r="N352" i="1"/>
  <c r="J366" i="1"/>
  <c r="N387" i="1"/>
  <c r="J396" i="1"/>
  <c r="J401" i="1"/>
  <c r="N410" i="1"/>
  <c r="J417" i="1"/>
  <c r="N582" i="1"/>
  <c r="L31" i="6"/>
  <c r="L11" i="6" s="1"/>
  <c r="L47" i="1"/>
  <c r="M70" i="1"/>
  <c r="L333" i="6"/>
  <c r="O333" i="6" s="1"/>
  <c r="L98" i="8"/>
  <c r="O98" i="8" s="1"/>
  <c r="L122" i="8"/>
  <c r="L120" i="8" s="1"/>
  <c r="L118" i="8" s="1"/>
  <c r="K200" i="8"/>
  <c r="O401" i="10"/>
  <c r="K418" i="10"/>
  <c r="K629" i="11"/>
  <c r="P333" i="13"/>
  <c r="K189" i="14"/>
  <c r="N70" i="1"/>
  <c r="J133" i="1"/>
  <c r="J149" i="1"/>
  <c r="J171" i="1"/>
  <c r="I199" i="1"/>
  <c r="L224" i="2"/>
  <c r="O224" i="2" s="1"/>
  <c r="J246" i="1"/>
  <c r="J263" i="1"/>
  <c r="K564" i="2"/>
  <c r="L49" i="1"/>
  <c r="J81" i="1"/>
  <c r="J105" i="1"/>
  <c r="J110" i="1"/>
  <c r="J115" i="1"/>
  <c r="J286" i="1"/>
  <c r="J420" i="1"/>
  <c r="N457" i="1"/>
  <c r="J503" i="1"/>
  <c r="J155" i="1"/>
  <c r="J162" i="1"/>
  <c r="I173" i="1"/>
  <c r="J183" i="1"/>
  <c r="I189" i="1"/>
  <c r="J209" i="1"/>
  <c r="J284" i="1"/>
  <c r="J321" i="1"/>
  <c r="J328" i="1"/>
  <c r="I396" i="1"/>
  <c r="N66" i="9"/>
  <c r="K81" i="9"/>
  <c r="P254" i="9"/>
  <c r="J304" i="1"/>
  <c r="L71" i="1"/>
  <c r="I80" i="1"/>
  <c r="I84" i="1"/>
  <c r="J128" i="1"/>
  <c r="J134" i="1"/>
  <c r="J282" i="1"/>
  <c r="J289" i="1"/>
  <c r="J399" i="1"/>
  <c r="K499" i="2"/>
  <c r="L294" i="3"/>
  <c r="L292" i="3" s="1"/>
  <c r="J429" i="1"/>
  <c r="O437" i="3"/>
  <c r="K450" i="3"/>
  <c r="J512" i="1"/>
  <c r="K630" i="5"/>
  <c r="L98" i="6"/>
  <c r="O98" i="6" s="1"/>
  <c r="K328" i="8"/>
  <c r="P333" i="8"/>
  <c r="O535" i="8"/>
  <c r="K597" i="8"/>
  <c r="K634" i="8"/>
  <c r="K377" i="9"/>
  <c r="N55" i="10"/>
  <c r="N53" i="10" s="1"/>
  <c r="I369" i="1"/>
  <c r="K369" i="1" s="1"/>
  <c r="N439" i="1"/>
  <c r="J452" i="1"/>
  <c r="N456" i="1"/>
  <c r="J466" i="1"/>
  <c r="J470" i="1"/>
  <c r="J474" i="1"/>
  <c r="J478" i="1"/>
  <c r="K628" i="10"/>
  <c r="N43" i="11"/>
  <c r="N41" i="11" s="1"/>
  <c r="K597" i="11"/>
  <c r="K426" i="13"/>
  <c r="K368" i="15"/>
  <c r="O380" i="15"/>
  <c r="K402" i="15"/>
  <c r="K419" i="15"/>
  <c r="K427" i="15"/>
  <c r="K431" i="15"/>
  <c r="O435" i="15"/>
  <c r="K482" i="15"/>
  <c r="O597" i="15"/>
  <c r="O601" i="15"/>
  <c r="K631" i="15"/>
  <c r="K635" i="15"/>
  <c r="N558" i="1"/>
  <c r="L566" i="1"/>
  <c r="N571" i="1"/>
  <c r="J597" i="1"/>
  <c r="J625" i="1"/>
  <c r="N98" i="1"/>
  <c r="J107" i="1"/>
  <c r="J117" i="1"/>
  <c r="L124" i="1"/>
  <c r="J132" i="1"/>
  <c r="J158" i="1"/>
  <c r="J231" i="1"/>
  <c r="K267" i="4"/>
  <c r="J325" i="1"/>
  <c r="I597" i="1"/>
  <c r="I613" i="1"/>
  <c r="I621" i="1"/>
  <c r="I112" i="1"/>
  <c r="L123" i="1"/>
  <c r="K164" i="5"/>
  <c r="J308" i="1"/>
  <c r="O435" i="5"/>
  <c r="O439" i="5"/>
  <c r="K533" i="5"/>
  <c r="K631" i="6"/>
  <c r="K340" i="7"/>
  <c r="K349" i="7"/>
  <c r="O352" i="7"/>
  <c r="J589" i="1"/>
  <c r="N126" i="1"/>
  <c r="K435" i="8"/>
  <c r="J89" i="1"/>
  <c r="K368" i="12"/>
  <c r="K398" i="12"/>
  <c r="K402" i="12"/>
  <c r="K427" i="12"/>
  <c r="O435" i="12"/>
  <c r="K229" i="13"/>
  <c r="K285" i="14"/>
  <c r="O597" i="14"/>
  <c r="O353" i="3"/>
  <c r="L353" i="1"/>
  <c r="O353" i="1" s="1"/>
  <c r="J217" i="1"/>
  <c r="L59" i="1"/>
  <c r="I266" i="1"/>
  <c r="M294" i="1"/>
  <c r="J302" i="1"/>
  <c r="I309" i="1"/>
  <c r="O456" i="2"/>
  <c r="L456" i="1"/>
  <c r="O456" i="1" s="1"/>
  <c r="K470" i="2"/>
  <c r="I470" i="1"/>
  <c r="K470" i="1" s="1"/>
  <c r="J85" i="1"/>
  <c r="J90" i="1"/>
  <c r="J108" i="1"/>
  <c r="O582" i="4"/>
  <c r="L582" i="1"/>
  <c r="L334" i="1"/>
  <c r="N252" i="2"/>
  <c r="N250" i="2" s="1"/>
  <c r="N254" i="1"/>
  <c r="M55" i="2"/>
  <c r="M53" i="2" s="1"/>
  <c r="M57" i="1"/>
  <c r="M55" i="1" s="1"/>
  <c r="M53" i="1" s="1"/>
  <c r="K65" i="2"/>
  <c r="I65" i="1"/>
  <c r="K88" i="2"/>
  <c r="I88" i="1"/>
  <c r="O102" i="2"/>
  <c r="L102" i="1"/>
  <c r="K109" i="2"/>
  <c r="I109" i="1"/>
  <c r="J82" i="1"/>
  <c r="J86" i="1"/>
  <c r="J92" i="1"/>
  <c r="J421" i="1"/>
  <c r="J496" i="1"/>
  <c r="N586" i="1"/>
  <c r="J619" i="1"/>
  <c r="J632" i="1"/>
  <c r="J109" i="1"/>
  <c r="L438" i="1"/>
  <c r="O438" i="1" s="1"/>
  <c r="I485" i="1"/>
  <c r="K485" i="1" s="1"/>
  <c r="P254" i="2"/>
  <c r="J281" i="1"/>
  <c r="J303" i="1"/>
  <c r="J309" i="1"/>
  <c r="N406" i="1"/>
  <c r="J415" i="1"/>
  <c r="J419" i="1"/>
  <c r="J423" i="1"/>
  <c r="J427" i="1"/>
  <c r="J448" i="1"/>
  <c r="K628" i="2"/>
  <c r="K81" i="3"/>
  <c r="K306" i="3"/>
  <c r="K341" i="3"/>
  <c r="K497" i="3"/>
  <c r="I521" i="1"/>
  <c r="I529" i="1"/>
  <c r="K634" i="3"/>
  <c r="K111" i="4"/>
  <c r="K417" i="4"/>
  <c r="K425" i="4"/>
  <c r="L144" i="5"/>
  <c r="O144" i="5" s="1"/>
  <c r="N228" i="1"/>
  <c r="L275" i="5"/>
  <c r="O275" i="5" s="1"/>
  <c r="O459" i="5"/>
  <c r="K562" i="5"/>
  <c r="O401" i="6"/>
  <c r="K426" i="6"/>
  <c r="O459" i="6"/>
  <c r="K465" i="6"/>
  <c r="K473" i="6"/>
  <c r="P57" i="7"/>
  <c r="L70" i="7"/>
  <c r="O70" i="7" s="1"/>
  <c r="J245" i="1"/>
  <c r="J260" i="1"/>
  <c r="J285" i="1"/>
  <c r="O383" i="7"/>
  <c r="K426" i="7"/>
  <c r="K430" i="7"/>
  <c r="O455" i="7"/>
  <c r="K533" i="7"/>
  <c r="I631" i="1"/>
  <c r="K611" i="8"/>
  <c r="I516" i="1"/>
  <c r="I520" i="1"/>
  <c r="N540" i="1"/>
  <c r="L254" i="12"/>
  <c r="O254" i="12" s="1"/>
  <c r="K349" i="12"/>
  <c r="O352" i="12"/>
  <c r="J504" i="1"/>
  <c r="J508" i="1"/>
  <c r="K622" i="13"/>
  <c r="N331" i="14"/>
  <c r="N329" i="14" s="1"/>
  <c r="O535" i="14"/>
  <c r="K562" i="14"/>
  <c r="O599" i="11"/>
  <c r="K219" i="13"/>
  <c r="N292" i="13"/>
  <c r="K416" i="13"/>
  <c r="N55" i="15"/>
  <c r="N53" i="15" s="1"/>
  <c r="J265" i="1"/>
  <c r="N351" i="1"/>
  <c r="J425" i="1"/>
  <c r="J244" i="1"/>
  <c r="I492" i="1"/>
  <c r="K492" i="1" s="1"/>
  <c r="N384" i="1"/>
  <c r="J414" i="1"/>
  <c r="J64" i="1"/>
  <c r="J185" i="1"/>
  <c r="J416" i="1"/>
  <c r="N436" i="1"/>
  <c r="J499" i="1"/>
  <c r="N224" i="1"/>
  <c r="N122" i="1"/>
  <c r="K629" i="2"/>
  <c r="J301" i="1"/>
  <c r="J346" i="1"/>
  <c r="I430" i="1"/>
  <c r="I435" i="1"/>
  <c r="J445" i="1"/>
  <c r="I481" i="1"/>
  <c r="J543" i="1"/>
  <c r="J549" i="1"/>
  <c r="K611" i="6"/>
  <c r="K628" i="6"/>
  <c r="K345" i="7"/>
  <c r="O349" i="7"/>
  <c r="K618" i="7"/>
  <c r="L45" i="8"/>
  <c r="L43" i="8" s="1"/>
  <c r="L41" i="8" s="1"/>
  <c r="J195" i="1"/>
  <c r="L333" i="9"/>
  <c r="O333" i="9" s="1"/>
  <c r="K465" i="9"/>
  <c r="L122" i="11"/>
  <c r="O122" i="11" s="1"/>
  <c r="L98" i="12"/>
  <c r="L96" i="12" s="1"/>
  <c r="K112" i="12"/>
  <c r="L144" i="12"/>
  <c r="O144" i="12" s="1"/>
  <c r="O566" i="14"/>
  <c r="P333" i="15"/>
  <c r="J488" i="1"/>
  <c r="J579" i="1"/>
  <c r="J379" i="1"/>
  <c r="J591" i="1"/>
  <c r="J372" i="1"/>
  <c r="J402" i="1"/>
  <c r="J164" i="1"/>
  <c r="N408" i="1"/>
  <c r="N463" i="1"/>
  <c r="J511" i="1"/>
  <c r="J106" i="1"/>
  <c r="I117" i="1"/>
  <c r="I374" i="1"/>
  <c r="J378" i="1"/>
  <c r="N386" i="1"/>
  <c r="I401" i="1"/>
  <c r="O404" i="2"/>
  <c r="N409" i="1"/>
  <c r="I425" i="1"/>
  <c r="I429" i="1"/>
  <c r="L437" i="1"/>
  <c r="N442" i="1"/>
  <c r="I450" i="1"/>
  <c r="J204" i="1"/>
  <c r="J215" i="1"/>
  <c r="I249" i="1"/>
  <c r="M254" i="1"/>
  <c r="J262" i="1"/>
  <c r="I267" i="1"/>
  <c r="J287" i="1"/>
  <c r="P294" i="3"/>
  <c r="O439" i="3"/>
  <c r="K564" i="3"/>
  <c r="K199" i="4"/>
  <c r="L333" i="4"/>
  <c r="O333" i="4" s="1"/>
  <c r="K422" i="4"/>
  <c r="K176" i="5"/>
  <c r="K149" i="6"/>
  <c r="K625" i="6"/>
  <c r="N55" i="8"/>
  <c r="N53" i="8" s="1"/>
  <c r="L314" i="8"/>
  <c r="O314" i="8" s="1"/>
  <c r="N142" i="9"/>
  <c r="N140" i="9" s="1"/>
  <c r="P333" i="10"/>
  <c r="L45" i="11"/>
  <c r="O45" i="11" s="1"/>
  <c r="J261" i="1"/>
  <c r="J266" i="1"/>
  <c r="L335" i="1"/>
  <c r="N331" i="13"/>
  <c r="N329" i="13" s="1"/>
  <c r="J592" i="1"/>
  <c r="N380" i="1"/>
  <c r="L406" i="1"/>
  <c r="O406" i="1" s="1"/>
  <c r="J79" i="1"/>
  <c r="P314" i="6"/>
  <c r="J175" i="1"/>
  <c r="I328" i="1"/>
  <c r="N403" i="1"/>
  <c r="J495" i="1"/>
  <c r="I264" i="1"/>
  <c r="I289" i="1"/>
  <c r="J77" i="1"/>
  <c r="N96" i="2"/>
  <c r="N94" i="2" s="1"/>
  <c r="J196" i="1"/>
  <c r="J202" i="1"/>
  <c r="J229" i="1"/>
  <c r="J237" i="1"/>
  <c r="L380" i="1"/>
  <c r="O380" i="1" s="1"/>
  <c r="J393" i="1"/>
  <c r="I420" i="1"/>
  <c r="I424" i="1"/>
  <c r="I428" i="1"/>
  <c r="I432" i="1"/>
  <c r="J506" i="1"/>
  <c r="O354" i="9"/>
  <c r="O380" i="9"/>
  <c r="K591" i="9"/>
  <c r="K619" i="9"/>
  <c r="K628" i="9"/>
  <c r="J500" i="1"/>
  <c r="K562" i="10"/>
  <c r="K328" i="11"/>
  <c r="O601" i="11"/>
  <c r="N222" i="13"/>
  <c r="N220" i="13" s="1"/>
  <c r="L383" i="1"/>
  <c r="O584" i="13"/>
  <c r="O597" i="13"/>
  <c r="K270" i="14"/>
  <c r="K416" i="14"/>
  <c r="K420" i="14"/>
  <c r="K345" i="15"/>
  <c r="O349" i="15"/>
  <c r="J527" i="1"/>
  <c r="J561" i="1"/>
  <c r="N604" i="1"/>
  <c r="N581" i="1"/>
  <c r="J578" i="1"/>
  <c r="J392" i="1"/>
  <c r="J83" i="1"/>
  <c r="N333" i="1"/>
  <c r="J424" i="1"/>
  <c r="J449" i="1"/>
  <c r="J507" i="1"/>
  <c r="I110" i="1"/>
  <c r="N600" i="1"/>
  <c r="J617" i="1"/>
  <c r="J621" i="1"/>
  <c r="J630" i="1"/>
  <c r="J634" i="1"/>
  <c r="K65" i="3"/>
  <c r="K117" i="3"/>
  <c r="K189" i="3"/>
  <c r="N55" i="4"/>
  <c r="N53" i="4" s="1"/>
  <c r="N142" i="4"/>
  <c r="N140" i="4" s="1"/>
  <c r="I200" i="1"/>
  <c r="L276" i="1"/>
  <c r="J300" i="1"/>
  <c r="J268" i="1"/>
  <c r="K427" i="8"/>
  <c r="I498" i="1"/>
  <c r="J505" i="1"/>
  <c r="J509" i="1"/>
  <c r="J626" i="1"/>
  <c r="J635" i="1"/>
  <c r="L225" i="1"/>
  <c r="J498" i="1"/>
  <c r="J492" i="1"/>
  <c r="N555" i="1"/>
  <c r="N588" i="1"/>
  <c r="I624" i="1"/>
  <c r="J374" i="1"/>
  <c r="I204" i="1"/>
  <c r="J514" i="1"/>
  <c r="J398" i="1"/>
  <c r="N557" i="1"/>
  <c r="I87" i="1"/>
  <c r="K533" i="2"/>
  <c r="L597" i="1"/>
  <c r="K635" i="2"/>
  <c r="K164" i="3"/>
  <c r="N587" i="1"/>
  <c r="K455" i="6"/>
  <c r="N273" i="7"/>
  <c r="N271" i="7" s="1"/>
  <c r="K455" i="7"/>
  <c r="K634" i="7"/>
  <c r="K133" i="8"/>
  <c r="N312" i="8"/>
  <c r="N310" i="8" s="1"/>
  <c r="O385" i="8"/>
  <c r="K424" i="8"/>
  <c r="K428" i="8"/>
  <c r="L315" i="1"/>
  <c r="J391" i="1"/>
  <c r="I398" i="1"/>
  <c r="K423" i="10"/>
  <c r="L435" i="1"/>
  <c r="L224" i="11"/>
  <c r="L222" i="11" s="1"/>
  <c r="L220" i="11" s="1"/>
  <c r="K423" i="11"/>
  <c r="K431" i="11"/>
  <c r="K482" i="11"/>
  <c r="O533" i="11"/>
  <c r="O347" i="12"/>
  <c r="K420" i="12"/>
  <c r="L98" i="13"/>
  <c r="O98" i="13" s="1"/>
  <c r="M312" i="13"/>
  <c r="M310" i="13" s="1"/>
  <c r="K341" i="13"/>
  <c r="K466" i="13"/>
  <c r="K474" i="13"/>
  <c r="K628" i="13"/>
  <c r="L45" i="14"/>
  <c r="O45" i="14" s="1"/>
  <c r="K396" i="14"/>
  <c r="K350" i="15"/>
  <c r="K628" i="15"/>
  <c r="I628" i="1"/>
  <c r="I580" i="1"/>
  <c r="K580" i="3"/>
  <c r="K341" i="5"/>
  <c r="I341" i="1"/>
  <c r="K464" i="5"/>
  <c r="J464" i="1"/>
  <c r="K512" i="5"/>
  <c r="I512" i="1"/>
  <c r="K512" i="1" s="1"/>
  <c r="I158" i="1"/>
  <c r="K501" i="3"/>
  <c r="I501" i="1"/>
  <c r="K501" i="1" s="1"/>
  <c r="K238" i="7"/>
  <c r="I238" i="1"/>
  <c r="K238" i="1" s="1"/>
  <c r="P333" i="9"/>
  <c r="O552" i="9"/>
  <c r="L552" i="1"/>
  <c r="O552" i="1" s="1"/>
  <c r="N45" i="1"/>
  <c r="P45" i="1" s="1"/>
  <c r="L126" i="1"/>
  <c r="O126" i="1" s="1"/>
  <c r="J467" i="1"/>
  <c r="J475" i="1"/>
  <c r="J479" i="1"/>
  <c r="J483" i="1"/>
  <c r="J487" i="1"/>
  <c r="J491" i="1"/>
  <c r="J350" i="1"/>
  <c r="K350" i="3"/>
  <c r="K451" i="4"/>
  <c r="I451" i="1"/>
  <c r="K469" i="4"/>
  <c r="I469" i="1"/>
  <c r="K469" i="1" s="1"/>
  <c r="I517" i="1"/>
  <c r="I525" i="1"/>
  <c r="I533" i="1"/>
  <c r="O567" i="7"/>
  <c r="L567" i="1"/>
  <c r="O567" i="1" s="1"/>
  <c r="K468" i="13"/>
  <c r="I468" i="1"/>
  <c r="K468" i="1" s="1"/>
  <c r="K472" i="13"/>
  <c r="I472" i="1"/>
  <c r="K472" i="1" s="1"/>
  <c r="K265" i="2"/>
  <c r="I265" i="1"/>
  <c r="N275" i="1"/>
  <c r="M298" i="2"/>
  <c r="M298" i="1" s="1"/>
  <c r="L298" i="1"/>
  <c r="I306" i="1"/>
  <c r="N318" i="1"/>
  <c r="J326" i="1"/>
  <c r="M333" i="1"/>
  <c r="I340" i="1"/>
  <c r="K344" i="2"/>
  <c r="I344" i="1"/>
  <c r="K344" i="1" s="1"/>
  <c r="K349" i="2"/>
  <c r="I349" i="1"/>
  <c r="L352" i="1"/>
  <c r="N357" i="1"/>
  <c r="J370" i="1"/>
  <c r="O382" i="2"/>
  <c r="L382" i="1"/>
  <c r="O382" i="1" s="1"/>
  <c r="L224" i="3"/>
  <c r="O224" i="3" s="1"/>
  <c r="L226" i="1"/>
  <c r="J169" i="1"/>
  <c r="K244" i="2"/>
  <c r="I244" i="1"/>
  <c r="K244" i="1" s="1"/>
  <c r="K369" i="6"/>
  <c r="I367" i="6"/>
  <c r="K367" i="6" s="1"/>
  <c r="K373" i="6"/>
  <c r="I373" i="1"/>
  <c r="K373" i="1" s="1"/>
  <c r="K471" i="6"/>
  <c r="I471" i="1"/>
  <c r="K471" i="1" s="1"/>
  <c r="K479" i="6"/>
  <c r="I479" i="1"/>
  <c r="K479" i="1" s="1"/>
  <c r="K483" i="6"/>
  <c r="I483" i="1"/>
  <c r="K483" i="1" s="1"/>
  <c r="J510" i="1"/>
  <c r="J551" i="1"/>
  <c r="I564" i="1"/>
  <c r="K577" i="6"/>
  <c r="I577" i="1"/>
  <c r="K577" i="1" s="1"/>
  <c r="K340" i="13"/>
  <c r="J340" i="1"/>
  <c r="K591" i="14"/>
  <c r="I591" i="1"/>
  <c r="I113" i="1"/>
  <c r="I81" i="1"/>
  <c r="L404" i="1"/>
  <c r="K216" i="4"/>
  <c r="I216" i="1"/>
  <c r="K285" i="4"/>
  <c r="I285" i="1"/>
  <c r="P314" i="4"/>
  <c r="M314" i="1"/>
  <c r="K346" i="4"/>
  <c r="I346" i="1"/>
  <c r="K346" i="1" s="1"/>
  <c r="K350" i="4"/>
  <c r="I350" i="1"/>
  <c r="K339" i="6"/>
  <c r="I339" i="1"/>
  <c r="K339" i="1" s="1"/>
  <c r="O279" i="12"/>
  <c r="L279" i="1"/>
  <c r="O279" i="1" s="1"/>
  <c r="O600" i="4"/>
  <c r="L600" i="1"/>
  <c r="O600" i="1" s="1"/>
  <c r="I632" i="1"/>
  <c r="I629" i="1"/>
  <c r="J394" i="1"/>
  <c r="J400" i="1"/>
  <c r="K304" i="10"/>
  <c r="I304" i="1"/>
  <c r="K324" i="10"/>
  <c r="I324" i="1"/>
  <c r="O384" i="10"/>
  <c r="L384" i="1"/>
  <c r="O384" i="1" s="1"/>
  <c r="N602" i="1"/>
  <c r="K613" i="11"/>
  <c r="I611" i="1"/>
  <c r="O318" i="14"/>
  <c r="L318" i="1"/>
  <c r="K370" i="14"/>
  <c r="I370" i="1"/>
  <c r="N584" i="1"/>
  <c r="J590" i="1"/>
  <c r="J594" i="1"/>
  <c r="J610" i="1"/>
  <c r="L70" i="3"/>
  <c r="O70" i="3" s="1"/>
  <c r="K482" i="3"/>
  <c r="K616" i="3"/>
  <c r="K110" i="4"/>
  <c r="N312" i="4"/>
  <c r="N310" i="4" s="1"/>
  <c r="N337" i="1"/>
  <c r="J342" i="1"/>
  <c r="O406" i="4"/>
  <c r="K435" i="4"/>
  <c r="K108" i="5"/>
  <c r="K616" i="5"/>
  <c r="O49" i="6"/>
  <c r="K328" i="6"/>
  <c r="K421" i="7"/>
  <c r="K425" i="7"/>
  <c r="K396" i="8"/>
  <c r="K158" i="9"/>
  <c r="K328" i="9"/>
  <c r="K349" i="9"/>
  <c r="K473" i="9"/>
  <c r="O435" i="10"/>
  <c r="K133" i="13"/>
  <c r="K270" i="13"/>
  <c r="K620" i="13"/>
  <c r="K132" i="15"/>
  <c r="K573" i="15"/>
  <c r="N68" i="2"/>
  <c r="N66" i="2" s="1"/>
  <c r="L100" i="1"/>
  <c r="J480" i="1"/>
  <c r="J484" i="1"/>
  <c r="N585" i="1"/>
  <c r="I619" i="1"/>
  <c r="I623" i="1"/>
  <c r="J631" i="1"/>
  <c r="I132" i="1"/>
  <c r="J235" i="1"/>
  <c r="J242" i="1"/>
  <c r="J343" i="1"/>
  <c r="N347" i="1"/>
  <c r="N120" i="6"/>
  <c r="N118" i="6" s="1"/>
  <c r="O401" i="7"/>
  <c r="K632" i="7"/>
  <c r="L224" i="8"/>
  <c r="O224" i="8" s="1"/>
  <c r="L275" i="8"/>
  <c r="L273" i="8" s="1"/>
  <c r="K450" i="8"/>
  <c r="O533" i="8"/>
  <c r="K345" i="9"/>
  <c r="K593" i="9"/>
  <c r="K617" i="9"/>
  <c r="K634" i="9"/>
  <c r="K381" i="10"/>
  <c r="K420" i="10"/>
  <c r="K424" i="10"/>
  <c r="K580" i="13"/>
  <c r="K589" i="13"/>
  <c r="K593" i="13"/>
  <c r="L275" i="15"/>
  <c r="O275" i="15" s="1"/>
  <c r="J233" i="1"/>
  <c r="J345" i="1"/>
  <c r="N349" i="1"/>
  <c r="N353" i="1"/>
  <c r="J361" i="1"/>
  <c r="J397" i="1"/>
  <c r="N405" i="1"/>
  <c r="J413" i="1"/>
  <c r="J418" i="1"/>
  <c r="J422" i="1"/>
  <c r="J426" i="1"/>
  <c r="J435" i="1"/>
  <c r="N438" i="1"/>
  <c r="J451" i="1"/>
  <c r="L455" i="1"/>
  <c r="L459" i="1"/>
  <c r="I465" i="1"/>
  <c r="I473" i="1"/>
  <c r="K473" i="1" s="1"/>
  <c r="N551" i="1"/>
  <c r="L564" i="1"/>
  <c r="L568" i="1"/>
  <c r="K201" i="3"/>
  <c r="O533" i="3"/>
  <c r="L537" i="1"/>
  <c r="J545" i="1"/>
  <c r="N559" i="1"/>
  <c r="N572" i="1"/>
  <c r="J577" i="1"/>
  <c r="K158" i="4"/>
  <c r="K564" i="4"/>
  <c r="K186" i="5"/>
  <c r="K396" i="6"/>
  <c r="K429" i="6"/>
  <c r="K249" i="9"/>
  <c r="N312" i="9"/>
  <c r="N310" i="9" s="1"/>
  <c r="K372" i="9"/>
  <c r="K474" i="9"/>
  <c r="K497" i="9"/>
  <c r="P294" i="12"/>
  <c r="N312" i="13"/>
  <c r="N310" i="13" s="1"/>
  <c r="K402" i="13"/>
  <c r="L45" i="2"/>
  <c r="O45" i="2" s="1"/>
  <c r="N142" i="2"/>
  <c r="N140" i="2" s="1"/>
  <c r="N314" i="1"/>
  <c r="J323" i="1"/>
  <c r="I342" i="1"/>
  <c r="K342" i="1" s="1"/>
  <c r="K402" i="2"/>
  <c r="I423" i="1"/>
  <c r="K431" i="2"/>
  <c r="O435" i="2"/>
  <c r="L439" i="1"/>
  <c r="J447" i="1"/>
  <c r="N455" i="1"/>
  <c r="N459" i="1"/>
  <c r="J465" i="1"/>
  <c r="J469" i="1"/>
  <c r="N541" i="1"/>
  <c r="J548" i="1"/>
  <c r="N568" i="1"/>
  <c r="J575" i="1"/>
  <c r="N273" i="3"/>
  <c r="N271" i="3" s="1"/>
  <c r="P271" i="3" s="1"/>
  <c r="N331" i="3"/>
  <c r="N329" i="3" s="1"/>
  <c r="I523" i="1"/>
  <c r="I527" i="1"/>
  <c r="I531" i="1"/>
  <c r="L534" i="1"/>
  <c r="O534" i="1" s="1"/>
  <c r="J453" i="1"/>
  <c r="I467" i="1"/>
  <c r="K467" i="1" s="1"/>
  <c r="K628" i="4"/>
  <c r="N273" i="5"/>
  <c r="N271" i="5" s="1"/>
  <c r="K423" i="5"/>
  <c r="N96" i="6"/>
  <c r="N94" i="6" s="1"/>
  <c r="O380" i="7"/>
  <c r="N34" i="9"/>
  <c r="N14" i="9" s="1"/>
  <c r="K419" i="9"/>
  <c r="K564" i="9"/>
  <c r="K573" i="9"/>
  <c r="O601" i="9"/>
  <c r="O455" i="11"/>
  <c r="O566" i="11"/>
  <c r="N55" i="12"/>
  <c r="N53" i="12" s="1"/>
  <c r="K229" i="12"/>
  <c r="K396" i="12"/>
  <c r="K428" i="12"/>
  <c r="K481" i="14"/>
  <c r="P294" i="15"/>
  <c r="N33" i="15"/>
  <c r="N13" i="15" s="1"/>
  <c r="J156" i="1"/>
  <c r="J189" i="1"/>
  <c r="J200" i="1"/>
  <c r="J210" i="1"/>
  <c r="L228" i="1"/>
  <c r="O228" i="1" s="1"/>
  <c r="I235" i="1"/>
  <c r="J241" i="1"/>
  <c r="J249" i="1"/>
  <c r="N556" i="1"/>
  <c r="K64" i="3"/>
  <c r="O383" i="3"/>
  <c r="K425" i="3"/>
  <c r="O601" i="3"/>
  <c r="K421" i="4"/>
  <c r="K428" i="4"/>
  <c r="N441" i="1"/>
  <c r="M273" i="5"/>
  <c r="P273" i="5" s="1"/>
  <c r="K219" i="6"/>
  <c r="P224" i="6"/>
  <c r="O455" i="6"/>
  <c r="K132" i="8"/>
  <c r="K235" i="9"/>
  <c r="K424" i="13"/>
  <c r="J131" i="1"/>
  <c r="J138" i="1"/>
  <c r="L254" i="2"/>
  <c r="O254" i="2" s="1"/>
  <c r="K343" i="2"/>
  <c r="N407" i="1"/>
  <c r="K416" i="2"/>
  <c r="K428" i="2"/>
  <c r="K449" i="2"/>
  <c r="J607" i="1"/>
  <c r="J434" i="1"/>
  <c r="J455" i="1"/>
  <c r="N458" i="1"/>
  <c r="J468" i="1"/>
  <c r="J472" i="1"/>
  <c r="J476" i="1"/>
  <c r="N43" i="4"/>
  <c r="N41" i="4" s="1"/>
  <c r="N404" i="1"/>
  <c r="K204" i="5"/>
  <c r="P333" i="5"/>
  <c r="N43" i="6"/>
  <c r="N41" i="6" s="1"/>
  <c r="L294" i="7"/>
  <c r="L292" i="7" s="1"/>
  <c r="L290" i="7" s="1"/>
  <c r="O290" i="7" s="1"/>
  <c r="K466" i="8"/>
  <c r="L144" i="11"/>
  <c r="O144" i="11" s="1"/>
  <c r="K229" i="11"/>
  <c r="L314" i="11"/>
  <c r="O314" i="11" s="1"/>
  <c r="O347" i="11"/>
  <c r="K621" i="11"/>
  <c r="L294" i="13"/>
  <c r="L292" i="13" s="1"/>
  <c r="L70" i="14"/>
  <c r="O70" i="14" s="1"/>
  <c r="K235" i="15"/>
  <c r="K249" i="15"/>
  <c r="K466" i="15"/>
  <c r="K158" i="2"/>
  <c r="J218" i="1"/>
  <c r="K229" i="2"/>
  <c r="J236" i="1"/>
  <c r="J502" i="1"/>
  <c r="O533" i="2"/>
  <c r="O537" i="2"/>
  <c r="K630" i="2"/>
  <c r="K418" i="3"/>
  <c r="K426" i="3"/>
  <c r="K430" i="3"/>
  <c r="O568" i="3"/>
  <c r="N388" i="1"/>
  <c r="K397" i="4"/>
  <c r="K328" i="5"/>
  <c r="O404" i="5"/>
  <c r="K425" i="5"/>
  <c r="K547" i="5"/>
  <c r="N34" i="6"/>
  <c r="N14" i="6" s="1"/>
  <c r="O537" i="6"/>
  <c r="L275" i="7"/>
  <c r="O275" i="7" s="1"/>
  <c r="K401" i="7"/>
  <c r="O533" i="7"/>
  <c r="K562" i="8"/>
  <c r="K615" i="8"/>
  <c r="K229" i="9"/>
  <c r="K396" i="9"/>
  <c r="L32" i="9"/>
  <c r="L30" i="9" s="1"/>
  <c r="O599" i="9"/>
  <c r="K629" i="9"/>
  <c r="P57" i="10"/>
  <c r="L275" i="12"/>
  <c r="O275" i="12" s="1"/>
  <c r="K547" i="12"/>
  <c r="K132" i="13"/>
  <c r="K235" i="13"/>
  <c r="O404" i="13"/>
  <c r="O457" i="13"/>
  <c r="K343" i="14"/>
  <c r="N34" i="14"/>
  <c r="N14" i="14" s="1"/>
  <c r="O537" i="14"/>
  <c r="L98" i="15"/>
  <c r="O98" i="15" s="1"/>
  <c r="K117" i="15"/>
  <c r="O347" i="15"/>
  <c r="K377" i="15"/>
  <c r="K381" i="15"/>
  <c r="O385" i="15"/>
  <c r="J369" i="1"/>
  <c r="J381" i="1"/>
  <c r="J430" i="1"/>
  <c r="K164" i="2"/>
  <c r="J609" i="1"/>
  <c r="I614" i="1"/>
  <c r="I618" i="1"/>
  <c r="I622" i="1"/>
  <c r="I626" i="1"/>
  <c r="K112" i="3"/>
  <c r="L144" i="3"/>
  <c r="O144" i="3" s="1"/>
  <c r="J157" i="1"/>
  <c r="J174" i="1"/>
  <c r="I185" i="1"/>
  <c r="J194" i="1"/>
  <c r="J211" i="1"/>
  <c r="J216" i="1"/>
  <c r="L256" i="1"/>
  <c r="K264" i="3"/>
  <c r="J269" i="1"/>
  <c r="J283" i="1"/>
  <c r="J515" i="1"/>
  <c r="J519" i="1"/>
  <c r="J523" i="1"/>
  <c r="J531" i="1"/>
  <c r="N534" i="1"/>
  <c r="N537" i="1"/>
  <c r="J546" i="1"/>
  <c r="O102" i="4"/>
  <c r="J154" i="1"/>
  <c r="J161" i="1"/>
  <c r="J172" i="1"/>
  <c r="J368" i="1"/>
  <c r="L24" i="12"/>
  <c r="O24" i="12" s="1"/>
  <c r="K562" i="12"/>
  <c r="K622" i="12"/>
  <c r="K620" i="12"/>
  <c r="K623" i="12"/>
  <c r="I419" i="1"/>
  <c r="N437" i="1"/>
  <c r="I480" i="1"/>
  <c r="K480" i="1" s="1"/>
  <c r="I506" i="1"/>
  <c r="K506" i="1" s="1"/>
  <c r="K117" i="2"/>
  <c r="J243" i="1"/>
  <c r="L294" i="2"/>
  <c r="O294" i="2" s="1"/>
  <c r="L314" i="2"/>
  <c r="O314" i="2" s="1"/>
  <c r="K342" i="2"/>
  <c r="N552" i="1"/>
  <c r="N569" i="1"/>
  <c r="K340" i="3"/>
  <c r="J365" i="1"/>
  <c r="J373" i="1"/>
  <c r="K377" i="3"/>
  <c r="K451" i="3"/>
  <c r="O459" i="3"/>
  <c r="K473" i="3"/>
  <c r="I528" i="1"/>
  <c r="I532" i="1"/>
  <c r="O534" i="3"/>
  <c r="K547" i="3"/>
  <c r="K138" i="4"/>
  <c r="K173" i="4"/>
  <c r="K200" i="4"/>
  <c r="L224" i="4"/>
  <c r="L222" i="4" s="1"/>
  <c r="L220" i="4" s="1"/>
  <c r="P294" i="4"/>
  <c r="J339" i="1"/>
  <c r="K343" i="4"/>
  <c r="O347" i="4"/>
  <c r="N354" i="1"/>
  <c r="J363" i="1"/>
  <c r="K377" i="4"/>
  <c r="K402" i="4"/>
  <c r="N443" i="1"/>
  <c r="J450" i="1"/>
  <c r="K455" i="4"/>
  <c r="I464" i="1"/>
  <c r="K467" i="4"/>
  <c r="J471" i="1"/>
  <c r="K499" i="4"/>
  <c r="O533" i="4"/>
  <c r="K158" i="5"/>
  <c r="O553" i="10"/>
  <c r="L32" i="10"/>
  <c r="L30" i="10" s="1"/>
  <c r="N292" i="12"/>
  <c r="N290" i="12" s="1"/>
  <c r="N294" i="1"/>
  <c r="K466" i="2"/>
  <c r="N565" i="1"/>
  <c r="P57" i="3"/>
  <c r="K113" i="3"/>
  <c r="K133" i="3"/>
  <c r="K176" i="3"/>
  <c r="L275" i="3"/>
  <c r="O275" i="3" s="1"/>
  <c r="K285" i="3"/>
  <c r="K328" i="3"/>
  <c r="K345" i="3"/>
  <c r="O349" i="3"/>
  <c r="O404" i="3"/>
  <c r="K466" i="3"/>
  <c r="P98" i="4"/>
  <c r="N120" i="4"/>
  <c r="N118" i="4" s="1"/>
  <c r="P333" i="4"/>
  <c r="I92" i="1"/>
  <c r="I111" i="1"/>
  <c r="L295" i="1"/>
  <c r="L351" i="1"/>
  <c r="O351" i="1" s="1"/>
  <c r="I477" i="1"/>
  <c r="K477" i="1" s="1"/>
  <c r="I486" i="1"/>
  <c r="K486" i="1" s="1"/>
  <c r="I494" i="1"/>
  <c r="K494" i="1" s="1"/>
  <c r="I507" i="1"/>
  <c r="K507" i="1" s="1"/>
  <c r="K381" i="2"/>
  <c r="O385" i="2"/>
  <c r="N533" i="1"/>
  <c r="N68" i="3"/>
  <c r="N66" i="3" s="1"/>
  <c r="N96" i="4"/>
  <c r="N94" i="4" s="1"/>
  <c r="N273" i="4"/>
  <c r="N271" i="4" s="1"/>
  <c r="P254" i="5"/>
  <c r="M252" i="5"/>
  <c r="P252" i="5" s="1"/>
  <c r="O382" i="12"/>
  <c r="L31" i="12"/>
  <c r="O31" i="12" s="1"/>
  <c r="I86" i="1"/>
  <c r="J428" i="1"/>
  <c r="I515" i="1"/>
  <c r="K515" i="1" s="1"/>
  <c r="I576" i="1"/>
  <c r="K576" i="1" s="1"/>
  <c r="L584" i="1"/>
  <c r="I593" i="1"/>
  <c r="N312" i="2"/>
  <c r="N310" i="2" s="1"/>
  <c r="I519" i="1"/>
  <c r="O566" i="2"/>
  <c r="O439" i="4"/>
  <c r="O351" i="5"/>
  <c r="L31" i="5"/>
  <c r="L11" i="5" s="1"/>
  <c r="M98" i="1"/>
  <c r="I478" i="1"/>
  <c r="K478" i="1" s="1"/>
  <c r="I503" i="1"/>
  <c r="K503" i="1" s="1"/>
  <c r="I596" i="1"/>
  <c r="K596" i="1" s="1"/>
  <c r="K199" i="2"/>
  <c r="L333" i="2"/>
  <c r="O333" i="2" s="1"/>
  <c r="O437" i="2"/>
  <c r="K455" i="2"/>
  <c r="P98" i="3"/>
  <c r="K249" i="3"/>
  <c r="K267" i="3"/>
  <c r="N292" i="3"/>
  <c r="N290" i="3" s="1"/>
  <c r="N312" i="3"/>
  <c r="N310" i="3" s="1"/>
  <c r="K421" i="3"/>
  <c r="K429" i="3"/>
  <c r="K619" i="3"/>
  <c r="J628" i="1"/>
  <c r="K108" i="4"/>
  <c r="O535" i="4"/>
  <c r="J573" i="1"/>
  <c r="P254" i="6"/>
  <c r="M252" i="6"/>
  <c r="M250" i="6" s="1"/>
  <c r="P250" i="6" s="1"/>
  <c r="J615" i="1"/>
  <c r="J623" i="1"/>
  <c r="K424" i="7"/>
  <c r="I368" i="1"/>
  <c r="I417" i="1"/>
  <c r="I490" i="1"/>
  <c r="K490" i="1" s="1"/>
  <c r="K85" i="2"/>
  <c r="K138" i="2"/>
  <c r="P314" i="2"/>
  <c r="K422" i="3"/>
  <c r="K455" i="3"/>
  <c r="K464" i="3"/>
  <c r="I612" i="1"/>
  <c r="I616" i="1"/>
  <c r="O404" i="4"/>
  <c r="K424" i="4"/>
  <c r="J620" i="1"/>
  <c r="J624" i="1"/>
  <c r="L122" i="5"/>
  <c r="O122" i="5" s="1"/>
  <c r="J380" i="1"/>
  <c r="K397" i="5"/>
  <c r="N74" i="1"/>
  <c r="I397" i="1"/>
  <c r="J412" i="1"/>
  <c r="I418" i="1"/>
  <c r="I422" i="1"/>
  <c r="K380" i="7"/>
  <c r="K397" i="7"/>
  <c r="O537" i="7"/>
  <c r="K597" i="7"/>
  <c r="N298" i="1"/>
  <c r="J306" i="1"/>
  <c r="J320" i="1"/>
  <c r="N356" i="1"/>
  <c r="K401" i="8"/>
  <c r="K474" i="8"/>
  <c r="O568" i="8"/>
  <c r="K631" i="8"/>
  <c r="K164" i="9"/>
  <c r="N252" i="9"/>
  <c r="K343" i="9"/>
  <c r="K482" i="9"/>
  <c r="N120" i="10"/>
  <c r="N118" i="10" s="1"/>
  <c r="O354" i="10"/>
  <c r="P122" i="11"/>
  <c r="K235" i="11"/>
  <c r="K93" i="12"/>
  <c r="K341" i="12"/>
  <c r="K417" i="12"/>
  <c r="O564" i="12"/>
  <c r="N55" i="13"/>
  <c r="N53" i="13" s="1"/>
  <c r="K186" i="13"/>
  <c r="K375" i="13"/>
  <c r="K449" i="13"/>
  <c r="O566" i="13"/>
  <c r="K270" i="15"/>
  <c r="P275" i="15"/>
  <c r="K398" i="15"/>
  <c r="O568" i="15"/>
  <c r="K597" i="4"/>
  <c r="N61" i="1"/>
  <c r="M68" i="5"/>
  <c r="P68" i="5" s="1"/>
  <c r="K343" i="5"/>
  <c r="L354" i="1"/>
  <c r="J362" i="1"/>
  <c r="K422" i="5"/>
  <c r="K430" i="5"/>
  <c r="J497" i="1"/>
  <c r="J516" i="1"/>
  <c r="J532" i="1"/>
  <c r="L535" i="1"/>
  <c r="O582" i="5"/>
  <c r="K619" i="5"/>
  <c r="L46" i="1"/>
  <c r="N389" i="1"/>
  <c r="J78" i="1"/>
  <c r="K429" i="7"/>
  <c r="O457" i="7"/>
  <c r="I482" i="1"/>
  <c r="M292" i="8"/>
  <c r="P292" i="8" s="1"/>
  <c r="K429" i="8"/>
  <c r="M252" i="9"/>
  <c r="M250" i="9" s="1"/>
  <c r="N32" i="9"/>
  <c r="N30" i="9" s="1"/>
  <c r="N538" i="1"/>
  <c r="O564" i="9"/>
  <c r="L34" i="9"/>
  <c r="O582" i="9"/>
  <c r="N96" i="10"/>
  <c r="N94" i="10" s="1"/>
  <c r="K427" i="10"/>
  <c r="K431" i="10"/>
  <c r="K573" i="11"/>
  <c r="L26" i="12"/>
  <c r="L16" i="12" s="1"/>
  <c r="K111" i="12"/>
  <c r="K380" i="12"/>
  <c r="O383" i="12"/>
  <c r="K397" i="12"/>
  <c r="K533" i="12"/>
  <c r="L70" i="13"/>
  <c r="O70" i="13" s="1"/>
  <c r="K285" i="13"/>
  <c r="K372" i="13"/>
  <c r="K376" i="13"/>
  <c r="O380" i="13"/>
  <c r="K425" i="13"/>
  <c r="K595" i="13"/>
  <c r="K117" i="14"/>
  <c r="M292" i="14"/>
  <c r="M290" i="14" s="1"/>
  <c r="P290" i="14" s="1"/>
  <c r="K133" i="15"/>
  <c r="K219" i="15"/>
  <c r="O457" i="15"/>
  <c r="J564" i="1"/>
  <c r="O601" i="4"/>
  <c r="M55" i="5"/>
  <c r="M53" i="5" s="1"/>
  <c r="J629" i="1"/>
  <c r="J633" i="1"/>
  <c r="K343" i="6"/>
  <c r="N535" i="1"/>
  <c r="J560" i="1"/>
  <c r="O144" i="8"/>
  <c r="N252" i="8"/>
  <c r="N250" i="8" s="1"/>
  <c r="J513" i="1"/>
  <c r="J517" i="1"/>
  <c r="J525" i="1"/>
  <c r="J529" i="1"/>
  <c r="N96" i="9"/>
  <c r="N94" i="9" s="1"/>
  <c r="K421" i="9"/>
  <c r="N68" i="10"/>
  <c r="N66" i="10" s="1"/>
  <c r="K419" i="11"/>
  <c r="O435" i="11"/>
  <c r="L57" i="12"/>
  <c r="O57" i="12" s="1"/>
  <c r="L70" i="12"/>
  <c r="O70" i="12" s="1"/>
  <c r="L34" i="12"/>
  <c r="K173" i="13"/>
  <c r="K200" i="13"/>
  <c r="O354" i="13"/>
  <c r="O437" i="13"/>
  <c r="N55" i="14"/>
  <c r="N53" i="14" s="1"/>
  <c r="K597" i="14"/>
  <c r="N120" i="15"/>
  <c r="N118" i="15" s="1"/>
  <c r="K498" i="15"/>
  <c r="K219" i="5"/>
  <c r="P224" i="5"/>
  <c r="I617" i="1"/>
  <c r="L57" i="7"/>
  <c r="O57" i="7" s="1"/>
  <c r="K464" i="7"/>
  <c r="L333" i="8"/>
  <c r="O333" i="8" s="1"/>
  <c r="K418" i="8"/>
  <c r="I499" i="1"/>
  <c r="K83" i="9"/>
  <c r="K93" i="9"/>
  <c r="K562" i="9"/>
  <c r="L70" i="10"/>
  <c r="L68" i="10" s="1"/>
  <c r="N222" i="11"/>
  <c r="N220" i="11" s="1"/>
  <c r="L275" i="11"/>
  <c r="L273" i="11" s="1"/>
  <c r="O385" i="11"/>
  <c r="K416" i="11"/>
  <c r="K612" i="12"/>
  <c r="O406" i="13"/>
  <c r="K435" i="13"/>
  <c r="K455" i="13"/>
  <c r="K430" i="14"/>
  <c r="K450" i="15"/>
  <c r="K455" i="15"/>
  <c r="K563" i="15"/>
  <c r="K613" i="4"/>
  <c r="J593" i="1"/>
  <c r="J608" i="1"/>
  <c r="L70" i="6"/>
  <c r="L68" i="6" s="1"/>
  <c r="L66" i="6" s="1"/>
  <c r="O66" i="6" s="1"/>
  <c r="K449" i="6"/>
  <c r="K533" i="6"/>
  <c r="L144" i="7"/>
  <c r="O144" i="7" s="1"/>
  <c r="K370" i="7"/>
  <c r="K350" i="8"/>
  <c r="K431" i="8"/>
  <c r="N43" i="9"/>
  <c r="N41" i="9" s="1"/>
  <c r="N292" i="9"/>
  <c r="N290" i="9" s="1"/>
  <c r="K376" i="9"/>
  <c r="K396" i="10"/>
  <c r="N222" i="12"/>
  <c r="N220" i="12" s="1"/>
  <c r="K416" i="12"/>
  <c r="O439" i="12"/>
  <c r="K631" i="12"/>
  <c r="K185" i="13"/>
  <c r="K304" i="13"/>
  <c r="P318" i="13"/>
  <c r="K629" i="13"/>
  <c r="K229" i="14"/>
  <c r="N273" i="15"/>
  <c r="P273" i="15" s="1"/>
  <c r="K562" i="4"/>
  <c r="L98" i="5"/>
  <c r="O98" i="5" s="1"/>
  <c r="L224" i="5"/>
  <c r="O224" i="5" s="1"/>
  <c r="K432" i="5"/>
  <c r="O601" i="5"/>
  <c r="K631" i="5"/>
  <c r="K401" i="6"/>
  <c r="K417" i="6"/>
  <c r="K425" i="6"/>
  <c r="O457" i="6"/>
  <c r="O597" i="6"/>
  <c r="K634" i="6"/>
  <c r="N96" i="7"/>
  <c r="N94" i="7" s="1"/>
  <c r="K200" i="7"/>
  <c r="K396" i="7"/>
  <c r="K416" i="7"/>
  <c r="O435" i="7"/>
  <c r="K465" i="7"/>
  <c r="N96" i="8"/>
  <c r="N94" i="8" s="1"/>
  <c r="K270" i="8"/>
  <c r="O435" i="8"/>
  <c r="O459" i="8"/>
  <c r="K564" i="8"/>
  <c r="K200" i="9"/>
  <c r="K563" i="9"/>
  <c r="K173" i="10"/>
  <c r="L23" i="11"/>
  <c r="O23" i="11" s="1"/>
  <c r="K396" i="11"/>
  <c r="K401" i="11"/>
  <c r="O404" i="11"/>
  <c r="K417" i="11"/>
  <c r="K421" i="11"/>
  <c r="O437" i="11"/>
  <c r="N43" i="12"/>
  <c r="N41" i="12" s="1"/>
  <c r="K92" i="12"/>
  <c r="K340" i="12"/>
  <c r="K497" i="12"/>
  <c r="N31" i="12"/>
  <c r="N29" i="12" s="1"/>
  <c r="K597" i="12"/>
  <c r="K349" i="13"/>
  <c r="L32" i="13"/>
  <c r="L30" i="13" s="1"/>
  <c r="K370" i="13"/>
  <c r="K465" i="13"/>
  <c r="K533" i="13"/>
  <c r="K630" i="13"/>
  <c r="K634" i="13"/>
  <c r="N96" i="14"/>
  <c r="N94" i="14" s="1"/>
  <c r="K381" i="14"/>
  <c r="K466" i="14"/>
  <c r="K289" i="15"/>
  <c r="L314" i="15"/>
  <c r="L312" i="15" s="1"/>
  <c r="K324" i="15"/>
  <c r="K397" i="15"/>
  <c r="K426" i="15"/>
  <c r="O455" i="15"/>
  <c r="K564" i="15"/>
  <c r="K594" i="2"/>
  <c r="I594" i="1"/>
  <c r="K594" i="1" s="1"/>
  <c r="O601" i="2"/>
  <c r="L601" i="1"/>
  <c r="K634" i="2"/>
  <c r="I634" i="1"/>
  <c r="P144" i="4"/>
  <c r="M142" i="4"/>
  <c r="K511" i="7"/>
  <c r="I511" i="1"/>
  <c r="K511" i="1" s="1"/>
  <c r="M122" i="1"/>
  <c r="I138" i="1"/>
  <c r="I201" i="1"/>
  <c r="I427" i="1"/>
  <c r="I431" i="1"/>
  <c r="I475" i="1"/>
  <c r="K475" i="1" s="1"/>
  <c r="L581" i="1"/>
  <c r="O581" i="1" s="1"/>
  <c r="J377" i="1"/>
  <c r="L34" i="2"/>
  <c r="K419" i="2"/>
  <c r="M144" i="1"/>
  <c r="P144" i="1" s="1"/>
  <c r="I213" i="1"/>
  <c r="J264" i="1"/>
  <c r="I416" i="1"/>
  <c r="L458" i="1"/>
  <c r="O458" i="1" s="1"/>
  <c r="I497" i="1"/>
  <c r="O352" i="2"/>
  <c r="L32" i="2"/>
  <c r="L30" i="2" s="1"/>
  <c r="O352" i="3"/>
  <c r="L32" i="3"/>
  <c r="K509" i="5"/>
  <c r="I509" i="1"/>
  <c r="K509" i="1" s="1"/>
  <c r="K493" i="7"/>
  <c r="I493" i="1"/>
  <c r="K493" i="1" s="1"/>
  <c r="I176" i="1"/>
  <c r="I186" i="1"/>
  <c r="I455" i="1"/>
  <c r="I504" i="1"/>
  <c r="K504" i="1" s="1"/>
  <c r="I508" i="1"/>
  <c r="K508" i="1" s="1"/>
  <c r="P144" i="2"/>
  <c r="M142" i="2"/>
  <c r="N539" i="1"/>
  <c r="J547" i="1"/>
  <c r="O555" i="4"/>
  <c r="L555" i="1"/>
  <c r="O555" i="1" s="1"/>
  <c r="I561" i="1"/>
  <c r="K561" i="1" s="1"/>
  <c r="K561" i="4"/>
  <c r="L146" i="1"/>
  <c r="I164" i="1"/>
  <c r="I219" i="1"/>
  <c r="I229" i="1"/>
  <c r="L385" i="1"/>
  <c r="L551" i="1"/>
  <c r="O551" i="1" s="1"/>
  <c r="L565" i="1"/>
  <c r="O565" i="1" s="1"/>
  <c r="K498" i="2"/>
  <c r="K420" i="4"/>
  <c r="K590" i="5"/>
  <c r="I590" i="1"/>
  <c r="K590" i="1" s="1"/>
  <c r="K495" i="8"/>
  <c r="I495" i="1"/>
  <c r="K495" i="1" s="1"/>
  <c r="I510" i="1"/>
  <c r="K510" i="1" s="1"/>
  <c r="K510" i="8"/>
  <c r="I630" i="1"/>
  <c r="K423" i="2"/>
  <c r="K489" i="7"/>
  <c r="I489" i="1"/>
  <c r="K489" i="1" s="1"/>
  <c r="M275" i="1"/>
  <c r="I343" i="1"/>
  <c r="I376" i="1"/>
  <c r="I381" i="1"/>
  <c r="N385" i="1"/>
  <c r="L405" i="1"/>
  <c r="O405" i="1" s="1"/>
  <c r="I505" i="1"/>
  <c r="K505" i="1" s="1"/>
  <c r="K491" i="2"/>
  <c r="I491" i="1"/>
  <c r="K491" i="1" s="1"/>
  <c r="K502" i="2"/>
  <c r="I502" i="1"/>
  <c r="K502" i="1" s="1"/>
  <c r="P45" i="3"/>
  <c r="N43" i="3"/>
  <c r="N41" i="3" s="1"/>
  <c r="P41" i="3" s="1"/>
  <c r="O599" i="3"/>
  <c r="L599" i="1"/>
  <c r="K622" i="3"/>
  <c r="K625" i="3"/>
  <c r="J501" i="1"/>
  <c r="J520" i="1"/>
  <c r="J524" i="1"/>
  <c r="J528" i="1"/>
  <c r="K401" i="5"/>
  <c r="K573" i="5"/>
  <c r="M120" i="6"/>
  <c r="P120" i="6" s="1"/>
  <c r="P122" i="6"/>
  <c r="L401" i="1"/>
  <c r="I64" i="1"/>
  <c r="L347" i="1"/>
  <c r="I372" i="1"/>
  <c r="I426" i="1"/>
  <c r="P45" i="2"/>
  <c r="M22" i="2"/>
  <c r="M12" i="2" s="1"/>
  <c r="P70" i="2"/>
  <c r="O459" i="2"/>
  <c r="O583" i="3"/>
  <c r="L583" i="1"/>
  <c r="O583" i="1" s="1"/>
  <c r="K589" i="3"/>
  <c r="I589" i="1"/>
  <c r="K380" i="5"/>
  <c r="J88" i="1"/>
  <c r="K201" i="2"/>
  <c r="L275" i="2"/>
  <c r="O275" i="2" s="1"/>
  <c r="P333" i="2"/>
  <c r="K418" i="2"/>
  <c r="K435" i="2"/>
  <c r="K464" i="2"/>
  <c r="O564" i="2"/>
  <c r="K573" i="2"/>
  <c r="N583" i="1"/>
  <c r="K597" i="2"/>
  <c r="I625" i="1"/>
  <c r="L57" i="3"/>
  <c r="O57" i="3" s="1"/>
  <c r="K173" i="3"/>
  <c r="K200" i="3"/>
  <c r="K289" i="3"/>
  <c r="K349" i="3"/>
  <c r="O380" i="3"/>
  <c r="K465" i="3"/>
  <c r="K635" i="3"/>
  <c r="K149" i="4"/>
  <c r="N31" i="4"/>
  <c r="N29" i="4" s="1"/>
  <c r="K482" i="4"/>
  <c r="L26" i="14"/>
  <c r="L16" i="14" s="1"/>
  <c r="O298" i="14"/>
  <c r="K149" i="2"/>
  <c r="K328" i="2"/>
  <c r="N31" i="2"/>
  <c r="N11" i="2" s="1"/>
  <c r="N9" i="2" s="1"/>
  <c r="O406" i="2"/>
  <c r="K92" i="3"/>
  <c r="N26" i="3"/>
  <c r="N16" i="3" s="1"/>
  <c r="L254" i="3"/>
  <c r="L252" i="3" s="1"/>
  <c r="L250" i="3" s="1"/>
  <c r="K309" i="3"/>
  <c r="P314" i="3"/>
  <c r="K398" i="3"/>
  <c r="K428" i="3"/>
  <c r="K431" i="3"/>
  <c r="K481" i="3"/>
  <c r="K563" i="3"/>
  <c r="O566" i="3"/>
  <c r="K628" i="3"/>
  <c r="M68" i="4"/>
  <c r="P68" i="4" s="1"/>
  <c r="K92" i="4"/>
  <c r="K229" i="4"/>
  <c r="L294" i="4"/>
  <c r="O294" i="4" s="1"/>
  <c r="K368" i="4"/>
  <c r="K401" i="4"/>
  <c r="K416" i="4"/>
  <c r="L70" i="5"/>
  <c r="L68" i="5" s="1"/>
  <c r="O68" i="5" s="1"/>
  <c r="K93" i="5"/>
  <c r="K110" i="5"/>
  <c r="K229" i="5"/>
  <c r="K424" i="5"/>
  <c r="K428" i="5"/>
  <c r="O584" i="5"/>
  <c r="K593" i="5"/>
  <c r="K597" i="5"/>
  <c r="K158" i="6"/>
  <c r="O404" i="6"/>
  <c r="K421" i="6"/>
  <c r="O437" i="6"/>
  <c r="K481" i="6"/>
  <c r="K564" i="6"/>
  <c r="K418" i="7"/>
  <c r="O566" i="7"/>
  <c r="K622" i="7"/>
  <c r="K620" i="7"/>
  <c r="K623" i="7"/>
  <c r="P254" i="8"/>
  <c r="M252" i="8"/>
  <c r="P252" i="8" s="1"/>
  <c r="K285" i="8"/>
  <c r="K533" i="8"/>
  <c r="M96" i="10"/>
  <c r="P96" i="10" s="1"/>
  <c r="P98" i="10"/>
  <c r="K185" i="3"/>
  <c r="N605" i="1"/>
  <c r="O435" i="4"/>
  <c r="K464" i="4"/>
  <c r="K533" i="4"/>
  <c r="K624" i="4"/>
  <c r="P45" i="5"/>
  <c r="K418" i="6"/>
  <c r="K632" i="6"/>
  <c r="L33" i="9"/>
  <c r="O33" i="9" s="1"/>
  <c r="L34" i="10"/>
  <c r="K309" i="2"/>
  <c r="K420" i="2"/>
  <c r="K111" i="3"/>
  <c r="N120" i="3"/>
  <c r="N118" i="3" s="1"/>
  <c r="P118" i="3" s="1"/>
  <c r="K265" i="3"/>
  <c r="K324" i="3"/>
  <c r="K370" i="3"/>
  <c r="K449" i="3"/>
  <c r="O457" i="3"/>
  <c r="P57" i="4"/>
  <c r="N68" i="4"/>
  <c r="N66" i="4" s="1"/>
  <c r="L144" i="4"/>
  <c r="O144" i="4" s="1"/>
  <c r="O564" i="4"/>
  <c r="N33" i="4"/>
  <c r="N13" i="4" s="1"/>
  <c r="K138" i="5"/>
  <c r="K199" i="5"/>
  <c r="N331" i="5"/>
  <c r="N329" i="5" s="1"/>
  <c r="K449" i="5"/>
  <c r="O568" i="5"/>
  <c r="K591" i="5"/>
  <c r="K625" i="5"/>
  <c r="N31" i="6"/>
  <c r="O380" i="6"/>
  <c r="K629" i="6"/>
  <c r="N222" i="7"/>
  <c r="N220" i="7" s="1"/>
  <c r="I579" i="1"/>
  <c r="K579" i="1" s="1"/>
  <c r="K304" i="2"/>
  <c r="N331" i="2"/>
  <c r="N329" i="2" s="1"/>
  <c r="K380" i="2"/>
  <c r="K397" i="2"/>
  <c r="K474" i="2"/>
  <c r="K563" i="2"/>
  <c r="K611" i="2"/>
  <c r="K619" i="2"/>
  <c r="L98" i="3"/>
  <c r="O98" i="3" s="1"/>
  <c r="K108" i="3"/>
  <c r="P122" i="3"/>
  <c r="J130" i="1"/>
  <c r="K138" i="3"/>
  <c r="K266" i="3"/>
  <c r="J367" i="1"/>
  <c r="J490" i="1"/>
  <c r="K498" i="3"/>
  <c r="N34" i="4"/>
  <c r="N14" i="4" s="1"/>
  <c r="K613" i="5"/>
  <c r="J618" i="1"/>
  <c r="J622" i="1"/>
  <c r="L57" i="6"/>
  <c r="L55" i="6" s="1"/>
  <c r="L53" i="6" s="1"/>
  <c r="L122" i="6"/>
  <c r="L120" i="6" s="1"/>
  <c r="K173" i="6"/>
  <c r="K189" i="6"/>
  <c r="K200" i="6"/>
  <c r="L224" i="6"/>
  <c r="L222" i="6" s="1"/>
  <c r="N312" i="6"/>
  <c r="N310" i="6" s="1"/>
  <c r="K340" i="6"/>
  <c r="O385" i="6"/>
  <c r="K402" i="6"/>
  <c r="K431" i="6"/>
  <c r="O435" i="6"/>
  <c r="O439" i="6"/>
  <c r="O568" i="6"/>
  <c r="O568" i="7"/>
  <c r="O601" i="7"/>
  <c r="K630" i="7"/>
  <c r="K149" i="8"/>
  <c r="K341" i="8"/>
  <c r="L57" i="9"/>
  <c r="O57" i="9" s="1"/>
  <c r="M252" i="10"/>
  <c r="P252" i="10" s="1"/>
  <c r="P254" i="10"/>
  <c r="K173" i="2"/>
  <c r="K189" i="2"/>
  <c r="J324" i="1"/>
  <c r="N383" i="1"/>
  <c r="K421" i="2"/>
  <c r="K429" i="2"/>
  <c r="J454" i="1"/>
  <c r="K482" i="2"/>
  <c r="O535" i="2"/>
  <c r="I620" i="1"/>
  <c r="J76" i="1"/>
  <c r="L122" i="3"/>
  <c r="L120" i="3" s="1"/>
  <c r="K199" i="3"/>
  <c r="M312" i="3"/>
  <c r="O347" i="3"/>
  <c r="K368" i="3"/>
  <c r="K380" i="3"/>
  <c r="N564" i="1"/>
  <c r="O352" i="4"/>
  <c r="K466" i="4"/>
  <c r="K625" i="4"/>
  <c r="K173" i="5"/>
  <c r="K189" i="5"/>
  <c r="N312" i="5"/>
  <c r="N310" i="5" s="1"/>
  <c r="K402" i="5"/>
  <c r="K435" i="5"/>
  <c r="K450" i="5"/>
  <c r="K455" i="5"/>
  <c r="K482" i="5"/>
  <c r="K595" i="5"/>
  <c r="N603" i="1"/>
  <c r="N68" i="6"/>
  <c r="N66" i="6" s="1"/>
  <c r="K235" i="6"/>
  <c r="N273" i="6"/>
  <c r="N271" i="6" s="1"/>
  <c r="K416" i="6"/>
  <c r="K420" i="6"/>
  <c r="K424" i="6"/>
  <c r="K343" i="7"/>
  <c r="K473" i="7"/>
  <c r="K199" i="8"/>
  <c r="N292" i="8"/>
  <c r="N290" i="8" s="1"/>
  <c r="N258" i="1"/>
  <c r="N34" i="2"/>
  <c r="N14" i="2" s="1"/>
  <c r="J612" i="1"/>
  <c r="J616" i="1"/>
  <c r="N32" i="3"/>
  <c r="N30" i="3" s="1"/>
  <c r="K397" i="3"/>
  <c r="O401" i="3"/>
  <c r="K423" i="3"/>
  <c r="K427" i="3"/>
  <c r="K435" i="3"/>
  <c r="K499" i="3"/>
  <c r="K562" i="3"/>
  <c r="K109" i="4"/>
  <c r="N292" i="4"/>
  <c r="N290" i="4" s="1"/>
  <c r="K375" i="4"/>
  <c r="K449" i="4"/>
  <c r="O537" i="4"/>
  <c r="J595" i="1"/>
  <c r="K109" i="5"/>
  <c r="K113" i="5"/>
  <c r="K216" i="5"/>
  <c r="K235" i="5"/>
  <c r="K427" i="5"/>
  <c r="O537" i="5"/>
  <c r="K563" i="5"/>
  <c r="K580" i="5"/>
  <c r="O599" i="5"/>
  <c r="K628" i="5"/>
  <c r="M273" i="6"/>
  <c r="P273" i="6" s="1"/>
  <c r="K235" i="7"/>
  <c r="K432" i="7"/>
  <c r="K562" i="7"/>
  <c r="K626" i="7"/>
  <c r="P144" i="8"/>
  <c r="M142" i="8"/>
  <c r="M140" i="8" s="1"/>
  <c r="K612" i="8"/>
  <c r="K618" i="8"/>
  <c r="K474" i="6"/>
  <c r="K482" i="6"/>
  <c r="K547" i="6"/>
  <c r="K328" i="7"/>
  <c r="K368" i="7"/>
  <c r="K375" i="7"/>
  <c r="O406" i="7"/>
  <c r="K419" i="7"/>
  <c r="K422" i="7"/>
  <c r="K449" i="7"/>
  <c r="K563" i="7"/>
  <c r="L70" i="8"/>
  <c r="O70" i="8" s="1"/>
  <c r="K117" i="8"/>
  <c r="K173" i="8"/>
  <c r="L254" i="8"/>
  <c r="L337" i="1"/>
  <c r="O349" i="8"/>
  <c r="K375" i="8"/>
  <c r="K380" i="8"/>
  <c r="O383" i="8"/>
  <c r="K421" i="8"/>
  <c r="J432" i="1"/>
  <c r="N440" i="1"/>
  <c r="K449" i="8"/>
  <c r="I518" i="1"/>
  <c r="I522" i="1"/>
  <c r="I530" i="1"/>
  <c r="N570" i="1"/>
  <c r="J576" i="1"/>
  <c r="J596" i="1"/>
  <c r="N32" i="8"/>
  <c r="N30" i="8" s="1"/>
  <c r="K633" i="8"/>
  <c r="L70" i="9"/>
  <c r="O70" i="9" s="1"/>
  <c r="K80" i="9"/>
  <c r="K88" i="9"/>
  <c r="L98" i="9"/>
  <c r="O98" i="9" s="1"/>
  <c r="K108" i="9"/>
  <c r="K199" i="9"/>
  <c r="L224" i="9"/>
  <c r="O224" i="9" s="1"/>
  <c r="K266" i="9"/>
  <c r="L275" i="9"/>
  <c r="O275" i="9" s="1"/>
  <c r="K341" i="9"/>
  <c r="O349" i="9"/>
  <c r="O404" i="9"/>
  <c r="K417" i="9"/>
  <c r="O437" i="9"/>
  <c r="K455" i="9"/>
  <c r="K464" i="9"/>
  <c r="K481" i="9"/>
  <c r="K499" i="9"/>
  <c r="O597" i="9"/>
  <c r="K631" i="9"/>
  <c r="K635" i="9"/>
  <c r="O49" i="10"/>
  <c r="L144" i="10"/>
  <c r="L142" i="10" s="1"/>
  <c r="K328" i="10"/>
  <c r="O380" i="10"/>
  <c r="K398" i="10"/>
  <c r="K402" i="10"/>
  <c r="K435" i="10"/>
  <c r="K435" i="11"/>
  <c r="N32" i="12"/>
  <c r="N30" i="12" s="1"/>
  <c r="K189" i="7"/>
  <c r="K229" i="7"/>
  <c r="K435" i="7"/>
  <c r="K450" i="7"/>
  <c r="K564" i="7"/>
  <c r="K635" i="7"/>
  <c r="N120" i="8"/>
  <c r="N118" i="8" s="1"/>
  <c r="O401" i="8"/>
  <c r="K481" i="8"/>
  <c r="K563" i="8"/>
  <c r="L122" i="9"/>
  <c r="L120" i="9" s="1"/>
  <c r="O337" i="9"/>
  <c r="O383" i="9"/>
  <c r="O455" i="9"/>
  <c r="K533" i="9"/>
  <c r="O535" i="9"/>
  <c r="K158" i="10"/>
  <c r="L333" i="10"/>
  <c r="L331" i="10" s="1"/>
  <c r="K341" i="10"/>
  <c r="O385" i="10"/>
  <c r="O439" i="10"/>
  <c r="K617" i="10"/>
  <c r="K612" i="10"/>
  <c r="N33" i="12"/>
  <c r="N13" i="12" s="1"/>
  <c r="N567" i="1"/>
  <c r="N292" i="7"/>
  <c r="N290" i="7" s="1"/>
  <c r="K341" i="7"/>
  <c r="O404" i="7"/>
  <c r="K164" i="8"/>
  <c r="N34" i="8"/>
  <c r="N14" i="8" s="1"/>
  <c r="O380" i="8"/>
  <c r="O457" i="8"/>
  <c r="K482" i="8"/>
  <c r="O601" i="8"/>
  <c r="K64" i="9"/>
  <c r="N222" i="9"/>
  <c r="N220" i="9" s="1"/>
  <c r="N273" i="9"/>
  <c r="N271" i="9" s="1"/>
  <c r="O347" i="9"/>
  <c r="K398" i="9"/>
  <c r="K580" i="9"/>
  <c r="N142" i="10"/>
  <c r="P142" i="10" s="1"/>
  <c r="N273" i="10"/>
  <c r="N271" i="10" s="1"/>
  <c r="N312" i="10"/>
  <c r="N310" i="10" s="1"/>
  <c r="K401" i="10"/>
  <c r="O404" i="10"/>
  <c r="K428" i="10"/>
  <c r="O353" i="14"/>
  <c r="L33" i="14"/>
  <c r="O33" i="14" s="1"/>
  <c r="O533" i="6"/>
  <c r="K562" i="6"/>
  <c r="O564" i="6"/>
  <c r="K615" i="6"/>
  <c r="L45" i="7"/>
  <c r="O45" i="7" s="1"/>
  <c r="K138" i="7"/>
  <c r="K149" i="7"/>
  <c r="N252" i="7"/>
  <c r="N250" i="7" s="1"/>
  <c r="N331" i="7"/>
  <c r="N329" i="7" s="1"/>
  <c r="K431" i="7"/>
  <c r="O564" i="7"/>
  <c r="O597" i="7"/>
  <c r="K613" i="7"/>
  <c r="K629" i="7"/>
  <c r="N273" i="8"/>
  <c r="N271" i="8" s="1"/>
  <c r="N331" i="8"/>
  <c r="N329" i="8" s="1"/>
  <c r="K340" i="8"/>
  <c r="K381" i="8"/>
  <c r="O406" i="8"/>
  <c r="K419" i="8"/>
  <c r="K423" i="8"/>
  <c r="K455" i="8"/>
  <c r="N33" i="8"/>
  <c r="N13" i="8" s="1"/>
  <c r="K635" i="8"/>
  <c r="P57" i="9"/>
  <c r="K82" i="9"/>
  <c r="K110" i="9"/>
  <c r="L254" i="9"/>
  <c r="O254" i="9" s="1"/>
  <c r="O406" i="9"/>
  <c r="K423" i="9"/>
  <c r="K427" i="9"/>
  <c r="K431" i="9"/>
  <c r="O435" i="9"/>
  <c r="K466" i="9"/>
  <c r="K149" i="10"/>
  <c r="O337" i="10"/>
  <c r="K350" i="10"/>
  <c r="K381" i="9"/>
  <c r="O537" i="9"/>
  <c r="O566" i="9"/>
  <c r="K219" i="10"/>
  <c r="N222" i="10"/>
  <c r="N220" i="10" s="1"/>
  <c r="K368" i="10"/>
  <c r="O383" i="10"/>
  <c r="M26" i="14"/>
  <c r="M16" i="14" s="1"/>
  <c r="P337" i="14"/>
  <c r="K635" i="14"/>
  <c r="K628" i="8"/>
  <c r="K632" i="8"/>
  <c r="P98" i="9"/>
  <c r="K219" i="9"/>
  <c r="K265" i="9"/>
  <c r="K416" i="9"/>
  <c r="K420" i="9"/>
  <c r="K424" i="9"/>
  <c r="O457" i="9"/>
  <c r="K498" i="9"/>
  <c r="K597" i="9"/>
  <c r="K343" i="10"/>
  <c r="O347" i="10"/>
  <c r="K372" i="10"/>
  <c r="L24" i="15"/>
  <c r="O24" i="15" s="1"/>
  <c r="O537" i="10"/>
  <c r="O566" i="10"/>
  <c r="L57" i="11"/>
  <c r="O57" i="11" s="1"/>
  <c r="K149" i="11"/>
  <c r="P275" i="11"/>
  <c r="L294" i="11"/>
  <c r="O294" i="11" s="1"/>
  <c r="N312" i="11"/>
  <c r="N310" i="11" s="1"/>
  <c r="L333" i="11"/>
  <c r="K420" i="11"/>
  <c r="K455" i="11"/>
  <c r="K633" i="11"/>
  <c r="N120" i="12"/>
  <c r="N118" i="12" s="1"/>
  <c r="P314" i="12"/>
  <c r="K621" i="12"/>
  <c r="L23" i="13"/>
  <c r="O23" i="13" s="1"/>
  <c r="N252" i="13"/>
  <c r="N250" i="13" s="1"/>
  <c r="O349" i="13"/>
  <c r="K428" i="13"/>
  <c r="K473" i="13"/>
  <c r="K618" i="13"/>
  <c r="K625" i="13"/>
  <c r="L57" i="14"/>
  <c r="O57" i="14" s="1"/>
  <c r="K398" i="14"/>
  <c r="K426" i="14"/>
  <c r="K164" i="15"/>
  <c r="L224" i="15"/>
  <c r="O224" i="15" s="1"/>
  <c r="L254" i="15"/>
  <c r="O254" i="15" s="1"/>
  <c r="K264" i="15"/>
  <c r="K328" i="15"/>
  <c r="O354" i="15"/>
  <c r="K376" i="15"/>
  <c r="O533" i="15"/>
  <c r="O537" i="15"/>
  <c r="O406" i="10"/>
  <c r="O437" i="10"/>
  <c r="L98" i="11"/>
  <c r="L96" i="11" s="1"/>
  <c r="O96" i="11" s="1"/>
  <c r="K345" i="11"/>
  <c r="K381" i="11"/>
  <c r="K428" i="11"/>
  <c r="O439" i="11"/>
  <c r="K630" i="11"/>
  <c r="N96" i="12"/>
  <c r="N94" i="12" s="1"/>
  <c r="N142" i="12"/>
  <c r="N140" i="12" s="1"/>
  <c r="K173" i="12"/>
  <c r="K235" i="12"/>
  <c r="K401" i="12"/>
  <c r="K499" i="12"/>
  <c r="O535" i="12"/>
  <c r="K634" i="12"/>
  <c r="N96" i="13"/>
  <c r="N94" i="13" s="1"/>
  <c r="L254" i="13"/>
  <c r="O254" i="13" s="1"/>
  <c r="M292" i="13"/>
  <c r="M290" i="13" s="1"/>
  <c r="K306" i="13"/>
  <c r="K324" i="13"/>
  <c r="K350" i="13"/>
  <c r="O582" i="13"/>
  <c r="K615" i="13"/>
  <c r="L122" i="14"/>
  <c r="O122" i="14" s="1"/>
  <c r="L144" i="14"/>
  <c r="K200" i="14"/>
  <c r="O406" i="14"/>
  <c r="K435" i="14"/>
  <c r="K482" i="14"/>
  <c r="K563" i="14"/>
  <c r="O599" i="14"/>
  <c r="L57" i="15"/>
  <c r="O57" i="15" s="1"/>
  <c r="K421" i="13"/>
  <c r="K429" i="13"/>
  <c r="K631" i="13"/>
  <c r="N68" i="14"/>
  <c r="N66" i="14" s="1"/>
  <c r="N292" i="15"/>
  <c r="N290" i="15" s="1"/>
  <c r="N34" i="15"/>
  <c r="N14" i="15" s="1"/>
  <c r="K430" i="15"/>
  <c r="K464" i="15"/>
  <c r="O566" i="15"/>
  <c r="K416" i="10"/>
  <c r="K629" i="10"/>
  <c r="N55" i="11"/>
  <c r="N53" i="11" s="1"/>
  <c r="N142" i="11"/>
  <c r="P142" i="11" s="1"/>
  <c r="K173" i="11"/>
  <c r="N252" i="11"/>
  <c r="N250" i="11" s="1"/>
  <c r="K425" i="11"/>
  <c r="K429" i="11"/>
  <c r="K432" i="11"/>
  <c r="O459" i="11"/>
  <c r="K465" i="11"/>
  <c r="K547" i="11"/>
  <c r="P45" i="12"/>
  <c r="K164" i="12"/>
  <c r="K372" i="12"/>
  <c r="K421" i="12"/>
  <c r="O533" i="13"/>
  <c r="K619" i="13"/>
  <c r="K158" i="14"/>
  <c r="O347" i="14"/>
  <c r="O455" i="14"/>
  <c r="O459" i="14"/>
  <c r="P45" i="15"/>
  <c r="K309" i="15"/>
  <c r="K547" i="15"/>
  <c r="O568" i="10"/>
  <c r="O597" i="10"/>
  <c r="K189" i="11"/>
  <c r="K200" i="11"/>
  <c r="N273" i="11"/>
  <c r="N271" i="11" s="1"/>
  <c r="O383" i="11"/>
  <c r="K397" i="11"/>
  <c r="O401" i="11"/>
  <c r="K418" i="11"/>
  <c r="K422" i="11"/>
  <c r="K473" i="11"/>
  <c r="K343" i="12"/>
  <c r="K418" i="12"/>
  <c r="K429" i="12"/>
  <c r="K449" i="12"/>
  <c r="O568" i="12"/>
  <c r="K289" i="13"/>
  <c r="K328" i="13"/>
  <c r="K396" i="13"/>
  <c r="K401" i="13"/>
  <c r="N33" i="14"/>
  <c r="N13" i="14" s="1"/>
  <c r="L333" i="15"/>
  <c r="O333" i="15" s="1"/>
  <c r="K341" i="15"/>
  <c r="K465" i="15"/>
  <c r="O535" i="15"/>
  <c r="K597" i="15"/>
  <c r="K630" i="15"/>
  <c r="M22" i="11"/>
  <c r="M12" i="11" s="1"/>
  <c r="N31" i="11"/>
  <c r="N29" i="11" s="1"/>
  <c r="L32" i="11"/>
  <c r="L30" i="11" s="1"/>
  <c r="N33" i="11"/>
  <c r="N13" i="11" s="1"/>
  <c r="L23" i="12"/>
  <c r="O23" i="12" s="1"/>
  <c r="K547" i="13"/>
  <c r="K564" i="13"/>
  <c r="P45" i="14"/>
  <c r="P224" i="14"/>
  <c r="K328" i="14"/>
  <c r="K634" i="14"/>
  <c r="N142" i="15"/>
  <c r="N140" i="15" s="1"/>
  <c r="K173" i="15"/>
  <c r="P224" i="15"/>
  <c r="K266" i="15"/>
  <c r="K304" i="15"/>
  <c r="K429" i="10"/>
  <c r="K432" i="10"/>
  <c r="K449" i="10"/>
  <c r="O533" i="10"/>
  <c r="N68" i="11"/>
  <c r="N66" i="11" s="1"/>
  <c r="K164" i="11"/>
  <c r="N292" i="11"/>
  <c r="N290" i="11" s="1"/>
  <c r="K340" i="11"/>
  <c r="K343" i="11"/>
  <c r="K398" i="11"/>
  <c r="O406" i="11"/>
  <c r="K474" i="11"/>
  <c r="K481" i="11"/>
  <c r="K533" i="11"/>
  <c r="O564" i="11"/>
  <c r="O568" i="11"/>
  <c r="K632" i="11"/>
  <c r="K110" i="12"/>
  <c r="K149" i="12"/>
  <c r="K219" i="12"/>
  <c r="K381" i="12"/>
  <c r="O406" i="12"/>
  <c r="K419" i="12"/>
  <c r="K430" i="12"/>
  <c r="K450" i="12"/>
  <c r="O457" i="12"/>
  <c r="O537" i="12"/>
  <c r="K563" i="12"/>
  <c r="L144" i="13"/>
  <c r="L142" i="13" s="1"/>
  <c r="L140" i="13" s="1"/>
  <c r="L275" i="13"/>
  <c r="L273" i="13" s="1"/>
  <c r="L271" i="13" s="1"/>
  <c r="P314" i="13"/>
  <c r="L333" i="13"/>
  <c r="L331" i="13" s="1"/>
  <c r="L329" i="13" s="1"/>
  <c r="K380" i="13"/>
  <c r="O383" i="13"/>
  <c r="K427" i="13"/>
  <c r="O455" i="13"/>
  <c r="K591" i="13"/>
  <c r="O601" i="13"/>
  <c r="P57" i="14"/>
  <c r="K219" i="14"/>
  <c r="L275" i="14"/>
  <c r="O275" i="14" s="1"/>
  <c r="K341" i="14"/>
  <c r="K397" i="14"/>
  <c r="O401" i="14"/>
  <c r="K429" i="14"/>
  <c r="K449" i="14"/>
  <c r="O457" i="14"/>
  <c r="K573" i="14"/>
  <c r="K631" i="14"/>
  <c r="L122" i="15"/>
  <c r="L120" i="15" s="1"/>
  <c r="L118" i="15" s="1"/>
  <c r="K189" i="15"/>
  <c r="K200" i="15"/>
  <c r="K306" i="15"/>
  <c r="K380" i="15"/>
  <c r="O383" i="15"/>
  <c r="K417" i="15"/>
  <c r="K474" i="15"/>
  <c r="K481" i="15"/>
  <c r="K499" i="15"/>
  <c r="K533" i="15"/>
  <c r="I592" i="1"/>
  <c r="K592" i="1" s="1"/>
  <c r="K592" i="2"/>
  <c r="L99" i="1"/>
  <c r="L316" i="1"/>
  <c r="I375" i="1"/>
  <c r="M222" i="2"/>
  <c r="M220" i="2" s="1"/>
  <c r="P224" i="2"/>
  <c r="K595" i="2"/>
  <c r="I595" i="1"/>
  <c r="I615" i="1"/>
  <c r="O580" i="3"/>
  <c r="L580" i="1"/>
  <c r="K623" i="2"/>
  <c r="K621" i="2"/>
  <c r="K624" i="2"/>
  <c r="K626" i="2"/>
  <c r="K620" i="2"/>
  <c r="K625" i="2"/>
  <c r="J186" i="1"/>
  <c r="I108" i="1"/>
  <c r="I270" i="1"/>
  <c r="L26" i="2"/>
  <c r="L16" i="2" s="1"/>
  <c r="L24" i="2"/>
  <c r="O24" i="2" s="1"/>
  <c r="M273" i="2"/>
  <c r="P273" i="2" s="1"/>
  <c r="P275" i="2"/>
  <c r="P224" i="3"/>
  <c r="M222" i="3"/>
  <c r="P222" i="3" s="1"/>
  <c r="O406" i="3"/>
  <c r="N34" i="3"/>
  <c r="N14" i="3" s="1"/>
  <c r="K578" i="3"/>
  <c r="I578" i="1"/>
  <c r="K578" i="1" s="1"/>
  <c r="M142" i="9"/>
  <c r="P144" i="9"/>
  <c r="I452" i="1"/>
  <c r="K452" i="1" s="1"/>
  <c r="I514" i="1"/>
  <c r="K514" i="1" s="1"/>
  <c r="N599" i="1"/>
  <c r="N33" i="2"/>
  <c r="N13" i="2" s="1"/>
  <c r="N554" i="1"/>
  <c r="J611" i="1"/>
  <c r="K611" i="5"/>
  <c r="L436" i="1"/>
  <c r="O436" i="1" s="1"/>
  <c r="I487" i="1"/>
  <c r="K487" i="1" s="1"/>
  <c r="O228" i="2"/>
  <c r="O351" i="2"/>
  <c r="L31" i="2"/>
  <c r="O31" i="2" s="1"/>
  <c r="L536" i="1"/>
  <c r="O536" i="1" s="1"/>
  <c r="O536" i="2"/>
  <c r="L33" i="2"/>
  <c r="O33" i="2" s="1"/>
  <c r="K633" i="2"/>
  <c r="I633" i="1"/>
  <c r="M68" i="3"/>
  <c r="M66" i="3" s="1"/>
  <c r="P70" i="3"/>
  <c r="O102" i="3"/>
  <c r="M102" i="3"/>
  <c r="P254" i="3"/>
  <c r="M252" i="3"/>
  <c r="M250" i="3" s="1"/>
  <c r="I575" i="1"/>
  <c r="K575" i="1" s="1"/>
  <c r="K575" i="3"/>
  <c r="I449" i="1"/>
  <c r="K573" i="6"/>
  <c r="I573" i="1"/>
  <c r="I380" i="1"/>
  <c r="I488" i="1"/>
  <c r="K488" i="1" s="1"/>
  <c r="I496" i="1"/>
  <c r="K496" i="1" s="1"/>
  <c r="I560" i="1"/>
  <c r="K560" i="1" s="1"/>
  <c r="M120" i="2"/>
  <c r="P120" i="2" s="1"/>
  <c r="P122" i="2"/>
  <c r="N33" i="3"/>
  <c r="N13" i="3" s="1"/>
  <c r="O337" i="8"/>
  <c r="M337" i="8"/>
  <c r="M331" i="8" s="1"/>
  <c r="M329" i="8" s="1"/>
  <c r="I371" i="1"/>
  <c r="K371" i="1" s="1"/>
  <c r="N55" i="2"/>
  <c r="N53" i="2" s="1"/>
  <c r="P57" i="2"/>
  <c r="N32" i="2"/>
  <c r="N30" i="2" s="1"/>
  <c r="K551" i="3"/>
  <c r="I551" i="1"/>
  <c r="K551" i="1" s="1"/>
  <c r="K289" i="2"/>
  <c r="K341" i="2"/>
  <c r="K422" i="2"/>
  <c r="K465" i="2"/>
  <c r="K547" i="2"/>
  <c r="N32" i="4"/>
  <c r="N30" i="4" s="1"/>
  <c r="M273" i="4"/>
  <c r="P273" i="4" s="1"/>
  <c r="P275" i="4"/>
  <c r="O349" i="4"/>
  <c r="L31" i="4"/>
  <c r="L11" i="4" s="1"/>
  <c r="O456" i="4"/>
  <c r="N26" i="5"/>
  <c r="N16" i="5" s="1"/>
  <c r="P314" i="7"/>
  <c r="M312" i="7"/>
  <c r="P312" i="7" s="1"/>
  <c r="O439" i="13"/>
  <c r="L34" i="13"/>
  <c r="I635" i="1"/>
  <c r="N43" i="2"/>
  <c r="P43" i="2" s="1"/>
  <c r="L57" i="2"/>
  <c r="O57" i="2" s="1"/>
  <c r="M96" i="2"/>
  <c r="P96" i="2" s="1"/>
  <c r="K235" i="2"/>
  <c r="K345" i="2"/>
  <c r="O383" i="2"/>
  <c r="K396" i="2"/>
  <c r="K401" i="2"/>
  <c r="K426" i="2"/>
  <c r="O568" i="2"/>
  <c r="N22" i="3"/>
  <c r="K93" i="3"/>
  <c r="P275" i="3"/>
  <c r="I367" i="3"/>
  <c r="K367" i="3" s="1"/>
  <c r="K401" i="3"/>
  <c r="K474" i="3"/>
  <c r="O564" i="3"/>
  <c r="K219" i="4"/>
  <c r="K419" i="4"/>
  <c r="K429" i="4"/>
  <c r="K630" i="4"/>
  <c r="M142" i="5"/>
  <c r="M140" i="5" s="1"/>
  <c r="M22" i="5"/>
  <c r="M12" i="5" s="1"/>
  <c r="P45" i="6"/>
  <c r="K345" i="6"/>
  <c r="L61" i="1"/>
  <c r="O61" i="1" s="1"/>
  <c r="L70" i="2"/>
  <c r="L68" i="2" s="1"/>
  <c r="L66" i="2" s="1"/>
  <c r="K80" i="2"/>
  <c r="L122" i="2"/>
  <c r="L120" i="2" s="1"/>
  <c r="L118" i="2" s="1"/>
  <c r="O380" i="2"/>
  <c r="K450" i="2"/>
  <c r="O457" i="2"/>
  <c r="K473" i="2"/>
  <c r="O597" i="2"/>
  <c r="N252" i="3"/>
  <c r="N250" i="3" s="1"/>
  <c r="N580" i="1"/>
  <c r="O354" i="4"/>
  <c r="L34" i="4"/>
  <c r="J80" i="1"/>
  <c r="N358" i="1"/>
  <c r="O401" i="2"/>
  <c r="K417" i="2"/>
  <c r="K424" i="2"/>
  <c r="K132" i="3"/>
  <c r="L24" i="3"/>
  <c r="O24" i="3" s="1"/>
  <c r="K304" i="3"/>
  <c r="N31" i="3"/>
  <c r="N29" i="3" s="1"/>
  <c r="K533" i="3"/>
  <c r="O535" i="3"/>
  <c r="K630" i="3"/>
  <c r="O383" i="4"/>
  <c r="L32" i="4"/>
  <c r="K547" i="4"/>
  <c r="O599" i="4"/>
  <c r="N55" i="5"/>
  <c r="N53" i="5" s="1"/>
  <c r="O347" i="5"/>
  <c r="O354" i="5"/>
  <c r="L34" i="5"/>
  <c r="O535" i="7"/>
  <c r="L32" i="7"/>
  <c r="L30" i="7" s="1"/>
  <c r="M273" i="8"/>
  <c r="M271" i="8" s="1"/>
  <c r="P275" i="8"/>
  <c r="M68" i="2"/>
  <c r="M66" i="2" s="1"/>
  <c r="K84" i="2"/>
  <c r="J93" i="1"/>
  <c r="N120" i="2"/>
  <c r="N118" i="2" s="1"/>
  <c r="L144" i="2"/>
  <c r="O144" i="2" s="1"/>
  <c r="N273" i="2"/>
  <c r="N271" i="2" s="1"/>
  <c r="O298" i="2"/>
  <c r="K306" i="2"/>
  <c r="K340" i="2"/>
  <c r="O347" i="2"/>
  <c r="M22" i="3"/>
  <c r="M12" i="3" s="1"/>
  <c r="P333" i="3"/>
  <c r="L24" i="4"/>
  <c r="O24" i="4" s="1"/>
  <c r="M312" i="4"/>
  <c r="P312" i="4" s="1"/>
  <c r="O384" i="6"/>
  <c r="L33" i="6"/>
  <c r="O33" i="6" s="1"/>
  <c r="L23" i="2"/>
  <c r="O23" i="2" s="1"/>
  <c r="K64" i="2"/>
  <c r="L98" i="2"/>
  <c r="O98" i="2" s="1"/>
  <c r="K324" i="2"/>
  <c r="K398" i="2"/>
  <c r="K425" i="2"/>
  <c r="K432" i="2"/>
  <c r="O439" i="2"/>
  <c r="O455" i="2"/>
  <c r="K481" i="2"/>
  <c r="K497" i="2"/>
  <c r="K616" i="2"/>
  <c r="N55" i="3"/>
  <c r="N53" i="3" s="1"/>
  <c r="K80" i="3"/>
  <c r="N96" i="3"/>
  <c r="N94" i="3" s="1"/>
  <c r="K109" i="3"/>
  <c r="P144" i="3"/>
  <c r="L314" i="3"/>
  <c r="L312" i="3" s="1"/>
  <c r="L333" i="3"/>
  <c r="O333" i="3" s="1"/>
  <c r="K343" i="3"/>
  <c r="K372" i="3"/>
  <c r="K376" i="3"/>
  <c r="K402" i="3"/>
  <c r="K417" i="3"/>
  <c r="K432" i="3"/>
  <c r="N435" i="1"/>
  <c r="N462" i="1"/>
  <c r="N26" i="4"/>
  <c r="N16" i="4" s="1"/>
  <c r="P254" i="4"/>
  <c r="K328" i="4"/>
  <c r="O405" i="4"/>
  <c r="L33" i="4"/>
  <c r="O33" i="4" s="1"/>
  <c r="O459" i="4"/>
  <c r="K573" i="4"/>
  <c r="N31" i="5"/>
  <c r="N33" i="7"/>
  <c r="N13" i="7" s="1"/>
  <c r="M22" i="4"/>
  <c r="M12" i="4" s="1"/>
  <c r="M43" i="4"/>
  <c r="P45" i="4"/>
  <c r="M292" i="5"/>
  <c r="P292" i="5" s="1"/>
  <c r="P294" i="5"/>
  <c r="M292" i="6"/>
  <c r="P292" i="6" s="1"/>
  <c r="P294" i="6"/>
  <c r="O352" i="6"/>
  <c r="L32" i="6"/>
  <c r="L312" i="7"/>
  <c r="L310" i="7" s="1"/>
  <c r="O310" i="7" s="1"/>
  <c r="O597" i="3"/>
  <c r="K370" i="4"/>
  <c r="L142" i="5"/>
  <c r="L140" i="5" s="1"/>
  <c r="N32" i="5"/>
  <c r="N30" i="5" s="1"/>
  <c r="K158" i="8"/>
  <c r="L34" i="8"/>
  <c r="O354" i="8"/>
  <c r="O566" i="8"/>
  <c r="K631" i="3"/>
  <c r="K235" i="4"/>
  <c r="K249" i="4"/>
  <c r="K340" i="4"/>
  <c r="K381" i="4"/>
  <c r="O401" i="4"/>
  <c r="K423" i="4"/>
  <c r="K427" i="4"/>
  <c r="K430" i="4"/>
  <c r="K450" i="4"/>
  <c r="K563" i="4"/>
  <c r="K611" i="4"/>
  <c r="K213" i="5"/>
  <c r="N252" i="5"/>
  <c r="N250" i="5" s="1"/>
  <c r="K340" i="5"/>
  <c r="N33" i="5"/>
  <c r="N13" i="5" s="1"/>
  <c r="K381" i="5"/>
  <c r="K421" i="5"/>
  <c r="J431" i="1"/>
  <c r="O457" i="5"/>
  <c r="K466" i="5"/>
  <c r="J486" i="1"/>
  <c r="J489" i="1"/>
  <c r="O535" i="5"/>
  <c r="K634" i="5"/>
  <c r="L144" i="6"/>
  <c r="K199" i="6"/>
  <c r="K229" i="6"/>
  <c r="K435" i="6"/>
  <c r="P337" i="7"/>
  <c r="M26" i="7"/>
  <c r="M16" i="7" s="1"/>
  <c r="O437" i="7"/>
  <c r="K229" i="8"/>
  <c r="O347" i="8"/>
  <c r="K422" i="8"/>
  <c r="N252" i="6"/>
  <c r="N250" i="6" s="1"/>
  <c r="L24" i="6"/>
  <c r="O24" i="6" s="1"/>
  <c r="N331" i="6"/>
  <c r="N329" i="6" s="1"/>
  <c r="N33" i="6"/>
  <c r="N13" i="6" s="1"/>
  <c r="K613" i="3"/>
  <c r="P122" i="4"/>
  <c r="J322" i="1"/>
  <c r="K619" i="4"/>
  <c r="K634" i="4"/>
  <c r="P314" i="5"/>
  <c r="L333" i="5"/>
  <c r="O333" i="5" s="1"/>
  <c r="K564" i="5"/>
  <c r="K635" i="5"/>
  <c r="O337" i="7"/>
  <c r="K219" i="8"/>
  <c r="M222" i="8"/>
  <c r="P224" i="8"/>
  <c r="K498" i="8"/>
  <c r="N26" i="9"/>
  <c r="N16" i="9" s="1"/>
  <c r="K614" i="3"/>
  <c r="K617" i="3"/>
  <c r="K113" i="4"/>
  <c r="L254" i="4"/>
  <c r="L252" i="4" s="1"/>
  <c r="K264" i="4"/>
  <c r="K341" i="4"/>
  <c r="K349" i="4"/>
  <c r="K372" i="4"/>
  <c r="O385" i="4"/>
  <c r="K616" i="4"/>
  <c r="K631" i="4"/>
  <c r="L57" i="5"/>
  <c r="O57" i="5" s="1"/>
  <c r="P102" i="5"/>
  <c r="L254" i="5"/>
  <c r="L314" i="5"/>
  <c r="O314" i="5" s="1"/>
  <c r="K396" i="5"/>
  <c r="O406" i="5"/>
  <c r="K429" i="5"/>
  <c r="O455" i="5"/>
  <c r="K474" i="5"/>
  <c r="O564" i="5"/>
  <c r="K624" i="5"/>
  <c r="M22" i="6"/>
  <c r="M12" i="6" s="1"/>
  <c r="K164" i="6"/>
  <c r="L254" i="6"/>
  <c r="L275" i="6"/>
  <c r="O275" i="6" s="1"/>
  <c r="N292" i="6"/>
  <c r="N290" i="6" s="1"/>
  <c r="O347" i="6"/>
  <c r="K630" i="6"/>
  <c r="M68" i="7"/>
  <c r="P68" i="7" s="1"/>
  <c r="P70" i="7"/>
  <c r="M292" i="7"/>
  <c r="M290" i="7" s="1"/>
  <c r="P290" i="7" s="1"/>
  <c r="P294" i="7"/>
  <c r="K547" i="7"/>
  <c r="M120" i="8"/>
  <c r="M118" i="8" s="1"/>
  <c r="P122" i="8"/>
  <c r="O455" i="8"/>
  <c r="K573" i="3"/>
  <c r="K597" i="3"/>
  <c r="K611" i="3"/>
  <c r="L314" i="4"/>
  <c r="O314" i="4" s="1"/>
  <c r="N331" i="4"/>
  <c r="N329" i="4" s="1"/>
  <c r="K396" i="4"/>
  <c r="K432" i="4"/>
  <c r="O455" i="4"/>
  <c r="K474" i="4"/>
  <c r="O597" i="4"/>
  <c r="K635" i="4"/>
  <c r="K112" i="5"/>
  <c r="K185" i="5"/>
  <c r="K200" i="5"/>
  <c r="N222" i="5"/>
  <c r="N220" i="5" s="1"/>
  <c r="N292" i="5"/>
  <c r="N290" i="5" s="1"/>
  <c r="K345" i="5"/>
  <c r="K416" i="5"/>
  <c r="O580" i="5"/>
  <c r="K614" i="5"/>
  <c r="K617" i="5"/>
  <c r="K629" i="5"/>
  <c r="K341" i="6"/>
  <c r="K432" i="6"/>
  <c r="K464" i="6"/>
  <c r="M331" i="7"/>
  <c r="M329" i="7" s="1"/>
  <c r="P333" i="7"/>
  <c r="N26" i="8"/>
  <c r="N16" i="8" s="1"/>
  <c r="O599" i="8"/>
  <c r="K111" i="9"/>
  <c r="K427" i="6"/>
  <c r="K612" i="6"/>
  <c r="N55" i="7"/>
  <c r="P55" i="7" s="1"/>
  <c r="L122" i="7"/>
  <c r="N312" i="7"/>
  <c r="O354" i="7"/>
  <c r="K381" i="7"/>
  <c r="K474" i="7"/>
  <c r="K573" i="7"/>
  <c r="K628" i="7"/>
  <c r="K631" i="7"/>
  <c r="K426" i="8"/>
  <c r="K465" i="8"/>
  <c r="K92" i="9"/>
  <c r="K149" i="9"/>
  <c r="L24" i="9"/>
  <c r="P49" i="11"/>
  <c r="M26" i="11"/>
  <c r="K381" i="6"/>
  <c r="K428" i="6"/>
  <c r="N32" i="6"/>
  <c r="N30" i="6" s="1"/>
  <c r="K623" i="6"/>
  <c r="L57" i="8"/>
  <c r="O57" i="8" s="1"/>
  <c r="K376" i="8"/>
  <c r="O404" i="8"/>
  <c r="K416" i="8"/>
  <c r="K430" i="8"/>
  <c r="O437" i="8"/>
  <c r="K499" i="8"/>
  <c r="K619" i="8"/>
  <c r="K626" i="8"/>
  <c r="K109" i="9"/>
  <c r="K112" i="9"/>
  <c r="M118" i="9"/>
  <c r="P118" i="9" s="1"/>
  <c r="K424" i="11"/>
  <c r="K200" i="12"/>
  <c r="K201" i="7"/>
  <c r="L333" i="7"/>
  <c r="O333" i="7" s="1"/>
  <c r="K621" i="7"/>
  <c r="N68" i="8"/>
  <c r="N66" i="8" s="1"/>
  <c r="N142" i="8"/>
  <c r="N140" i="8" s="1"/>
  <c r="K345" i="8"/>
  <c r="K397" i="8"/>
  <c r="K420" i="8"/>
  <c r="O537" i="8"/>
  <c r="K623" i="8"/>
  <c r="K380" i="6"/>
  <c r="K422" i="6"/>
  <c r="K617" i="6"/>
  <c r="K620" i="6"/>
  <c r="L98" i="7"/>
  <c r="O98" i="7" s="1"/>
  <c r="K173" i="7"/>
  <c r="N32" i="7"/>
  <c r="N30" i="7" s="1"/>
  <c r="N31" i="7"/>
  <c r="N29" i="7" s="1"/>
  <c r="K423" i="7"/>
  <c r="O439" i="7"/>
  <c r="K466" i="7"/>
  <c r="K113" i="9"/>
  <c r="K264" i="9"/>
  <c r="K402" i="9"/>
  <c r="N32" i="10"/>
  <c r="N30" i="10" s="1"/>
  <c r="N68" i="7"/>
  <c r="N66" i="7" s="1"/>
  <c r="L24" i="7"/>
  <c r="O24" i="7" s="1"/>
  <c r="K625" i="7"/>
  <c r="K377" i="8"/>
  <c r="P122" i="9"/>
  <c r="O353" i="10"/>
  <c r="L33" i="10"/>
  <c r="O33" i="10" s="1"/>
  <c r="O581" i="10"/>
  <c r="L31" i="10"/>
  <c r="L11" i="10" s="1"/>
  <c r="O383" i="6"/>
  <c r="K397" i="6"/>
  <c r="K423" i="6"/>
  <c r="K430" i="6"/>
  <c r="K597" i="6"/>
  <c r="O599" i="6"/>
  <c r="K614" i="6"/>
  <c r="K633" i="6"/>
  <c r="N142" i="7"/>
  <c r="N140" i="7" s="1"/>
  <c r="K164" i="7"/>
  <c r="P224" i="7"/>
  <c r="O347" i="7"/>
  <c r="K350" i="7"/>
  <c r="K376" i="7"/>
  <c r="K402" i="7"/>
  <c r="K417" i="7"/>
  <c r="K427" i="7"/>
  <c r="K482" i="7"/>
  <c r="K189" i="8"/>
  <c r="N222" i="8"/>
  <c r="N220" i="8" s="1"/>
  <c r="K235" i="8"/>
  <c r="K343" i="8"/>
  <c r="K398" i="8"/>
  <c r="K432" i="8"/>
  <c r="O439" i="8"/>
  <c r="K497" i="8"/>
  <c r="N31" i="8"/>
  <c r="N29" i="8" s="1"/>
  <c r="K614" i="8"/>
  <c r="K629" i="8"/>
  <c r="N55" i="9"/>
  <c r="N53" i="9" s="1"/>
  <c r="K189" i="9"/>
  <c r="M222" i="9"/>
  <c r="M220" i="9" s="1"/>
  <c r="P224" i="9"/>
  <c r="P294" i="9"/>
  <c r="M292" i="9"/>
  <c r="P292" i="9" s="1"/>
  <c r="N43" i="10"/>
  <c r="N41" i="10" s="1"/>
  <c r="N22" i="10"/>
  <c r="L294" i="10"/>
  <c r="O294" i="10" s="1"/>
  <c r="L34" i="11"/>
  <c r="O584" i="11"/>
  <c r="K340" i="9"/>
  <c r="N31" i="9"/>
  <c r="N29" i="9" s="1"/>
  <c r="N33" i="9"/>
  <c r="N13" i="9" s="1"/>
  <c r="O584" i="9"/>
  <c r="K614" i="9"/>
  <c r="L314" i="10"/>
  <c r="O314" i="10" s="1"/>
  <c r="K377" i="10"/>
  <c r="K422" i="10"/>
  <c r="K425" i="10"/>
  <c r="K615" i="10"/>
  <c r="K199" i="11"/>
  <c r="K219" i="11"/>
  <c r="M252" i="11"/>
  <c r="P252" i="11" s="1"/>
  <c r="O457" i="11"/>
  <c r="K466" i="11"/>
  <c r="K624" i="11"/>
  <c r="P98" i="12"/>
  <c r="K158" i="12"/>
  <c r="L314" i="12"/>
  <c r="O314" i="12" s="1"/>
  <c r="K401" i="9"/>
  <c r="K422" i="9"/>
  <c r="K429" i="9"/>
  <c r="K449" i="9"/>
  <c r="M68" i="10"/>
  <c r="P68" i="10" s="1"/>
  <c r="K619" i="10"/>
  <c r="L33" i="15"/>
  <c r="O33" i="15" s="1"/>
  <c r="O458" i="15"/>
  <c r="J518" i="1"/>
  <c r="J522" i="1"/>
  <c r="J526" i="1"/>
  <c r="J530" i="1"/>
  <c r="N331" i="9"/>
  <c r="N329" i="9" s="1"/>
  <c r="K235" i="10"/>
  <c r="M337" i="10"/>
  <c r="P337" i="10" s="1"/>
  <c r="K626" i="10"/>
  <c r="K402" i="11"/>
  <c r="K611" i="11"/>
  <c r="M49" i="12"/>
  <c r="M43" i="12" s="1"/>
  <c r="M41" i="12" s="1"/>
  <c r="N252" i="12"/>
  <c r="N250" i="12" s="1"/>
  <c r="M96" i="15"/>
  <c r="P96" i="15" s="1"/>
  <c r="P98" i="15"/>
  <c r="N355" i="1"/>
  <c r="J364" i="1"/>
  <c r="K430" i="9"/>
  <c r="K450" i="9"/>
  <c r="O533" i="9"/>
  <c r="K615" i="9"/>
  <c r="N26" i="10"/>
  <c r="N16" i="10" s="1"/>
  <c r="L98" i="10"/>
  <c r="O98" i="10" s="1"/>
  <c r="P144" i="10"/>
  <c r="L254" i="10"/>
  <c r="L252" i="10" s="1"/>
  <c r="O252" i="10" s="1"/>
  <c r="K349" i="10"/>
  <c r="K380" i="10"/>
  <c r="K419" i="10"/>
  <c r="K426" i="10"/>
  <c r="N31" i="10"/>
  <c r="N29" i="10" s="1"/>
  <c r="K573" i="10"/>
  <c r="N34" i="10"/>
  <c r="N14" i="10" s="1"/>
  <c r="K623" i="10"/>
  <c r="K634" i="10"/>
  <c r="M68" i="11"/>
  <c r="P68" i="11" s="1"/>
  <c r="K341" i="11"/>
  <c r="N34" i="11"/>
  <c r="N14" i="11" s="1"/>
  <c r="K426" i="11"/>
  <c r="K430" i="11"/>
  <c r="K464" i="11"/>
  <c r="O537" i="11"/>
  <c r="K619" i="11"/>
  <c r="N68" i="12"/>
  <c r="N66" i="12" s="1"/>
  <c r="K108" i="12"/>
  <c r="L122" i="12"/>
  <c r="O122" i="12" s="1"/>
  <c r="P144" i="12"/>
  <c r="N273" i="12"/>
  <c r="N271" i="12" s="1"/>
  <c r="P333" i="14"/>
  <c r="K620" i="10"/>
  <c r="P98" i="11"/>
  <c r="P144" i="11"/>
  <c r="K380" i="11"/>
  <c r="K449" i="11"/>
  <c r="K562" i="11"/>
  <c r="K631" i="11"/>
  <c r="K199" i="12"/>
  <c r="P224" i="12"/>
  <c r="P333" i="12"/>
  <c r="N331" i="12"/>
  <c r="P331" i="12" s="1"/>
  <c r="M120" i="15"/>
  <c r="M118" i="15" s="1"/>
  <c r="P122" i="15"/>
  <c r="J446" i="1"/>
  <c r="J613" i="1"/>
  <c r="K350" i="9"/>
  <c r="I367" i="9"/>
  <c r="K367" i="9" s="1"/>
  <c r="K370" i="9"/>
  <c r="K595" i="9"/>
  <c r="L57" i="10"/>
  <c r="L55" i="10" s="1"/>
  <c r="L275" i="10"/>
  <c r="L273" i="10" s="1"/>
  <c r="O273" i="10" s="1"/>
  <c r="N292" i="10"/>
  <c r="N290" i="10" s="1"/>
  <c r="K345" i="10"/>
  <c r="O349" i="10"/>
  <c r="O352" i="10"/>
  <c r="K616" i="11"/>
  <c r="L314" i="9"/>
  <c r="L312" i="9" s="1"/>
  <c r="O312" i="9" s="1"/>
  <c r="K375" i="9"/>
  <c r="O385" i="9"/>
  <c r="K425" i="9"/>
  <c r="K428" i="9"/>
  <c r="K432" i="9"/>
  <c r="O439" i="9"/>
  <c r="O459" i="9"/>
  <c r="K547" i="9"/>
  <c r="O568" i="9"/>
  <c r="O580" i="9"/>
  <c r="K589" i="9"/>
  <c r="K630" i="9"/>
  <c r="K164" i="10"/>
  <c r="L224" i="10"/>
  <c r="O224" i="10" s="1"/>
  <c r="K370" i="10"/>
  <c r="K397" i="10"/>
  <c r="K417" i="10"/>
  <c r="K421" i="10"/>
  <c r="O535" i="10"/>
  <c r="K547" i="10"/>
  <c r="K563" i="10"/>
  <c r="O599" i="10"/>
  <c r="K611" i="10"/>
  <c r="K618" i="10"/>
  <c r="N22" i="11"/>
  <c r="N120" i="11"/>
  <c r="N118" i="11" s="1"/>
  <c r="L254" i="11"/>
  <c r="L252" i="11" s="1"/>
  <c r="O337" i="11"/>
  <c r="O380" i="11"/>
  <c r="K427" i="11"/>
  <c r="K563" i="11"/>
  <c r="K620" i="11"/>
  <c r="K628" i="11"/>
  <c r="N26" i="12"/>
  <c r="N16" i="12" s="1"/>
  <c r="K109" i="12"/>
  <c r="K189" i="12"/>
  <c r="L224" i="12"/>
  <c r="O224" i="12" s="1"/>
  <c r="L294" i="12"/>
  <c r="L292" i="12" s="1"/>
  <c r="O292" i="12" s="1"/>
  <c r="O337" i="15"/>
  <c r="M337" i="15"/>
  <c r="M331" i="15" s="1"/>
  <c r="M329" i="15" s="1"/>
  <c r="K435" i="12"/>
  <c r="N26" i="13"/>
  <c r="N16" i="13" s="1"/>
  <c r="O435" i="13"/>
  <c r="K464" i="13"/>
  <c r="K497" i="13"/>
  <c r="K573" i="13"/>
  <c r="K635" i="13"/>
  <c r="K133" i="14"/>
  <c r="K164" i="14"/>
  <c r="K199" i="14"/>
  <c r="M222" i="14"/>
  <c r="M220" i="14" s="1"/>
  <c r="N312" i="14"/>
  <c r="N310" i="14" s="1"/>
  <c r="N32" i="14"/>
  <c r="N30" i="14" s="1"/>
  <c r="K417" i="14"/>
  <c r="K431" i="14"/>
  <c r="K450" i="14"/>
  <c r="K455" i="14"/>
  <c r="K473" i="14"/>
  <c r="O564" i="14"/>
  <c r="K626" i="14"/>
  <c r="K158" i="15"/>
  <c r="K349" i="15"/>
  <c r="K401" i="15"/>
  <c r="K416" i="15"/>
  <c r="K429" i="15"/>
  <c r="N31" i="15"/>
  <c r="N29" i="15" s="1"/>
  <c r="K345" i="12"/>
  <c r="K423" i="12"/>
  <c r="O601" i="12"/>
  <c r="K626" i="12"/>
  <c r="K117" i="13"/>
  <c r="K199" i="13"/>
  <c r="K345" i="13"/>
  <c r="K481" i="13"/>
  <c r="N31" i="13"/>
  <c r="N29" i="13" s="1"/>
  <c r="K617" i="13"/>
  <c r="M96" i="14"/>
  <c r="P96" i="14" s="1"/>
  <c r="N68" i="15"/>
  <c r="N66" i="15" s="1"/>
  <c r="K149" i="15"/>
  <c r="N222" i="15"/>
  <c r="P222" i="15" s="1"/>
  <c r="K267" i="15"/>
  <c r="L294" i="15"/>
  <c r="O294" i="15" s="1"/>
  <c r="O564" i="15"/>
  <c r="K621" i="15"/>
  <c r="O349" i="12"/>
  <c r="K370" i="12"/>
  <c r="O380" i="12"/>
  <c r="O404" i="12"/>
  <c r="K424" i="12"/>
  <c r="K431" i="12"/>
  <c r="K628" i="12"/>
  <c r="K422" i="13"/>
  <c r="O459" i="13"/>
  <c r="O580" i="13"/>
  <c r="K614" i="13"/>
  <c r="N26" i="14"/>
  <c r="N16" i="14" s="1"/>
  <c r="L24" i="14"/>
  <c r="O24" i="14" s="1"/>
  <c r="N252" i="14"/>
  <c r="N250" i="14" s="1"/>
  <c r="L333" i="14"/>
  <c r="K340" i="14"/>
  <c r="O385" i="14"/>
  <c r="K418" i="14"/>
  <c r="K428" i="14"/>
  <c r="K547" i="14"/>
  <c r="O568" i="14"/>
  <c r="L70" i="15"/>
  <c r="L68" i="15" s="1"/>
  <c r="K420" i="15"/>
  <c r="K449" i="15"/>
  <c r="O459" i="15"/>
  <c r="K562" i="15"/>
  <c r="K618" i="15"/>
  <c r="K328" i="12"/>
  <c r="K377" i="12"/>
  <c r="O401" i="12"/>
  <c r="K432" i="12"/>
  <c r="O455" i="12"/>
  <c r="K498" i="12"/>
  <c r="K564" i="12"/>
  <c r="O566" i="12"/>
  <c r="O599" i="12"/>
  <c r="K618" i="12"/>
  <c r="K624" i="12"/>
  <c r="L122" i="13"/>
  <c r="O122" i="13" s="1"/>
  <c r="K164" i="13"/>
  <c r="K189" i="13"/>
  <c r="O318" i="13"/>
  <c r="O337" i="13"/>
  <c r="N32" i="13"/>
  <c r="N30" i="13" s="1"/>
  <c r="K377" i="13"/>
  <c r="K397" i="13"/>
  <c r="O401" i="13"/>
  <c r="K423" i="13"/>
  <c r="K430" i="13"/>
  <c r="K499" i="13"/>
  <c r="O564" i="13"/>
  <c r="K597" i="13"/>
  <c r="K611" i="13"/>
  <c r="N120" i="14"/>
  <c r="N118" i="14" s="1"/>
  <c r="K149" i="14"/>
  <c r="L294" i="14"/>
  <c r="O294" i="14" s="1"/>
  <c r="K533" i="14"/>
  <c r="K617" i="14"/>
  <c r="K629" i="14"/>
  <c r="K229" i="15"/>
  <c r="N312" i="15"/>
  <c r="K343" i="15"/>
  <c r="K435" i="15"/>
  <c r="O599" i="15"/>
  <c r="K465" i="14"/>
  <c r="K614" i="14"/>
  <c r="K626" i="15"/>
  <c r="K350" i="12"/>
  <c r="O354" i="12"/>
  <c r="K425" i="12"/>
  <c r="K629" i="12"/>
  <c r="I367" i="13"/>
  <c r="K367" i="13" s="1"/>
  <c r="K398" i="13"/>
  <c r="K563" i="13"/>
  <c r="K612" i="13"/>
  <c r="P144" i="14"/>
  <c r="O383" i="14"/>
  <c r="K401" i="14"/>
  <c r="O533" i="14"/>
  <c r="K625" i="14"/>
  <c r="N96" i="15"/>
  <c r="N94" i="15" s="1"/>
  <c r="L144" i="15"/>
  <c r="O144" i="15" s="1"/>
  <c r="K265" i="15"/>
  <c r="K285" i="15"/>
  <c r="O298" i="15"/>
  <c r="K340" i="15"/>
  <c r="K372" i="15"/>
  <c r="L333" i="12"/>
  <c r="L331" i="12" s="1"/>
  <c r="K375" i="12"/>
  <c r="K422" i="12"/>
  <c r="K426" i="12"/>
  <c r="K573" i="12"/>
  <c r="O597" i="12"/>
  <c r="K625" i="12"/>
  <c r="K149" i="13"/>
  <c r="K343" i="13"/>
  <c r="O347" i="13"/>
  <c r="K368" i="13"/>
  <c r="O385" i="13"/>
  <c r="O535" i="13"/>
  <c r="K173" i="14"/>
  <c r="L224" i="14"/>
  <c r="O224" i="14" s="1"/>
  <c r="O337" i="14"/>
  <c r="K345" i="14"/>
  <c r="O380" i="14"/>
  <c r="O404" i="14"/>
  <c r="O437" i="14"/>
  <c r="K564" i="14"/>
  <c r="K618" i="14"/>
  <c r="K630" i="14"/>
  <c r="L45" i="15"/>
  <c r="O45" i="15" s="1"/>
  <c r="K199" i="15"/>
  <c r="K396" i="15"/>
  <c r="O406" i="15"/>
  <c r="K428" i="15"/>
  <c r="P29" i="1"/>
  <c r="M28" i="1"/>
  <c r="P28" i="1" s="1"/>
  <c r="P19" i="2"/>
  <c r="P29" i="2"/>
  <c r="M28" i="2"/>
  <c r="P28" i="2" s="1"/>
  <c r="O25" i="1"/>
  <c r="L15" i="1"/>
  <c r="O15" i="1" s="1"/>
  <c r="L19" i="1"/>
  <c r="O21" i="1"/>
  <c r="O54" i="1"/>
  <c r="N19" i="1"/>
  <c r="P19" i="1"/>
  <c r="I402" i="1"/>
  <c r="P119" i="2"/>
  <c r="K200" i="2"/>
  <c r="P19" i="3"/>
  <c r="L31" i="3"/>
  <c r="O552" i="3"/>
  <c r="P42" i="4"/>
  <c r="L23" i="4"/>
  <c r="L70" i="4"/>
  <c r="P102" i="4"/>
  <c r="M96" i="4"/>
  <c r="M94" i="4" s="1"/>
  <c r="O311" i="4"/>
  <c r="N55" i="6"/>
  <c r="N53" i="6" s="1"/>
  <c r="N22" i="6"/>
  <c r="M14" i="1"/>
  <c r="P14" i="1" s="1"/>
  <c r="L74" i="1"/>
  <c r="O74" i="1" s="1"/>
  <c r="I83" i="1"/>
  <c r="M95" i="1"/>
  <c r="P95" i="1" s="1"/>
  <c r="M14" i="2"/>
  <c r="P14" i="2" s="1"/>
  <c r="N26" i="2"/>
  <c r="N16" i="2" s="1"/>
  <c r="M41" i="2"/>
  <c r="O61" i="2"/>
  <c r="K631" i="2"/>
  <c r="M140" i="3"/>
  <c r="L26" i="3"/>
  <c r="O337" i="3"/>
  <c r="K396" i="3"/>
  <c r="O455" i="3"/>
  <c r="N34" i="5"/>
  <c r="N14" i="5" s="1"/>
  <c r="O385" i="5"/>
  <c r="N22" i="4"/>
  <c r="N222" i="4"/>
  <c r="N220" i="4" s="1"/>
  <c r="M140" i="6"/>
  <c r="M30" i="8"/>
  <c r="P30" i="8" s="1"/>
  <c r="P32" i="8"/>
  <c r="M11" i="1"/>
  <c r="P21" i="1"/>
  <c r="N49" i="1"/>
  <c r="N279" i="1"/>
  <c r="M11" i="2"/>
  <c r="P21" i="2"/>
  <c r="O119" i="2"/>
  <c r="P294" i="2"/>
  <c r="M29" i="3"/>
  <c r="M11" i="3"/>
  <c r="P31" i="3"/>
  <c r="N222" i="3"/>
  <c r="N220" i="3" s="1"/>
  <c r="P291" i="3"/>
  <c r="M290" i="3"/>
  <c r="K424" i="3"/>
  <c r="O537" i="3"/>
  <c r="K629" i="3"/>
  <c r="P29" i="4"/>
  <c r="M28" i="4"/>
  <c r="P28" i="4" s="1"/>
  <c r="O49" i="4"/>
  <c r="L26" i="4"/>
  <c r="K112" i="4"/>
  <c r="K189" i="4"/>
  <c r="P330" i="5"/>
  <c r="L119" i="1"/>
  <c r="O119" i="1" s="1"/>
  <c r="L145" i="1"/>
  <c r="L255" i="1"/>
  <c r="J376" i="1"/>
  <c r="L403" i="1"/>
  <c r="O403" i="1" s="1"/>
  <c r="L533" i="1"/>
  <c r="O318" i="2"/>
  <c r="M318" i="2"/>
  <c r="L34" i="3"/>
  <c r="O354" i="3"/>
  <c r="M13" i="4"/>
  <c r="P13" i="4" s="1"/>
  <c r="P33" i="4"/>
  <c r="P119" i="4"/>
  <c r="M118" i="4"/>
  <c r="P118" i="4" s="1"/>
  <c r="M53" i="3"/>
  <c r="P67" i="4"/>
  <c r="M67" i="1"/>
  <c r="P67" i="1" s="1"/>
  <c r="O337" i="2"/>
  <c r="M337" i="2"/>
  <c r="K369" i="2"/>
  <c r="I367" i="2"/>
  <c r="K367" i="2" s="1"/>
  <c r="K149" i="3"/>
  <c r="O54" i="4"/>
  <c r="L122" i="4"/>
  <c r="K266" i="4"/>
  <c r="L42" i="1"/>
  <c r="L457" i="1"/>
  <c r="I513" i="1"/>
  <c r="K513" i="1" s="1"/>
  <c r="L15" i="2"/>
  <c r="O15" i="2" s="1"/>
  <c r="N22" i="2"/>
  <c r="O19" i="3"/>
  <c r="N15" i="3"/>
  <c r="N19" i="3"/>
  <c r="L23" i="3"/>
  <c r="L45" i="3"/>
  <c r="K87" i="3"/>
  <c r="O311" i="3"/>
  <c r="K375" i="3"/>
  <c r="K416" i="3"/>
  <c r="O438" i="3"/>
  <c r="L33" i="3"/>
  <c r="O33" i="3" s="1"/>
  <c r="L19" i="4"/>
  <c r="O21" i="4"/>
  <c r="P24" i="4"/>
  <c r="M14" i="4"/>
  <c r="P14" i="4" s="1"/>
  <c r="L57" i="4"/>
  <c r="O95" i="4"/>
  <c r="O141" i="4"/>
  <c r="O251" i="4"/>
  <c r="N15" i="5"/>
  <c r="N19" i="5"/>
  <c r="P144" i="5"/>
  <c r="N142" i="5"/>
  <c r="M29" i="6"/>
  <c r="M11" i="6"/>
  <c r="P31" i="6"/>
  <c r="M15" i="1"/>
  <c r="P15" i="1" s="1"/>
  <c r="I82" i="1"/>
  <c r="L148" i="1"/>
  <c r="O148" i="1" s="1"/>
  <c r="L258" i="1"/>
  <c r="O258" i="1" s="1"/>
  <c r="N401" i="1"/>
  <c r="I421" i="1"/>
  <c r="I476" i="1"/>
  <c r="K476" i="1" s="1"/>
  <c r="I484" i="1"/>
  <c r="K484" i="1" s="1"/>
  <c r="I500" i="1"/>
  <c r="K500" i="1" s="1"/>
  <c r="L554" i="1"/>
  <c r="L598" i="1"/>
  <c r="O598" i="1" s="1"/>
  <c r="M15" i="2"/>
  <c r="P15" i="2" s="1"/>
  <c r="O435" i="3"/>
  <c r="P224" i="4"/>
  <c r="K614" i="2"/>
  <c r="K622" i="2"/>
  <c r="L15" i="3"/>
  <c r="O15" i="3" s="1"/>
  <c r="K612" i="3"/>
  <c r="K620" i="3"/>
  <c r="P31" i="4"/>
  <c r="L45" i="4"/>
  <c r="M222" i="4"/>
  <c r="K398" i="4"/>
  <c r="O437" i="4"/>
  <c r="K465" i="4"/>
  <c r="O337" i="5"/>
  <c r="M337" i="5"/>
  <c r="P337" i="5" s="1"/>
  <c r="K473" i="5"/>
  <c r="O566" i="5"/>
  <c r="P273" i="11"/>
  <c r="M271" i="11"/>
  <c r="P271" i="11" s="1"/>
  <c r="P275" i="12"/>
  <c r="M273" i="12"/>
  <c r="M250" i="2"/>
  <c r="K617" i="2"/>
  <c r="M15" i="3"/>
  <c r="P15" i="3" s="1"/>
  <c r="M329" i="3"/>
  <c r="K615" i="3"/>
  <c r="K623" i="3"/>
  <c r="P330" i="4"/>
  <c r="O337" i="4"/>
  <c r="M337" i="4"/>
  <c r="P337" i="4" s="1"/>
  <c r="P98" i="5"/>
  <c r="N96" i="5"/>
  <c r="N94" i="5" s="1"/>
  <c r="N22" i="5"/>
  <c r="K369" i="5"/>
  <c r="I367" i="5"/>
  <c r="K367" i="5" s="1"/>
  <c r="L23" i="6"/>
  <c r="L45" i="6"/>
  <c r="K612" i="2"/>
  <c r="K618" i="3"/>
  <c r="K626" i="3"/>
  <c r="L275" i="4"/>
  <c r="O291" i="4"/>
  <c r="K345" i="4"/>
  <c r="K369" i="4"/>
  <c r="I367" i="4"/>
  <c r="K367" i="4" s="1"/>
  <c r="K418" i="4"/>
  <c r="O457" i="4"/>
  <c r="O291" i="5"/>
  <c r="L32" i="5"/>
  <c r="O383" i="5"/>
  <c r="O597" i="5"/>
  <c r="P144" i="6"/>
  <c r="N142" i="6"/>
  <c r="N140" i="6" s="1"/>
  <c r="N222" i="6"/>
  <c r="N220" i="6" s="1"/>
  <c r="P144" i="7"/>
  <c r="M142" i="7"/>
  <c r="O221" i="7"/>
  <c r="O311" i="9"/>
  <c r="K615" i="2"/>
  <c r="K621" i="3"/>
  <c r="M11" i="4"/>
  <c r="M53" i="4"/>
  <c r="M250" i="4"/>
  <c r="P291" i="4"/>
  <c r="M290" i="4"/>
  <c r="P290" i="4" s="1"/>
  <c r="K473" i="4"/>
  <c r="O566" i="4"/>
  <c r="K92" i="5"/>
  <c r="P291" i="5"/>
  <c r="L294" i="5"/>
  <c r="O380" i="5"/>
  <c r="K426" i="5"/>
  <c r="K481" i="5"/>
  <c r="P70" i="6"/>
  <c r="M68" i="6"/>
  <c r="O19" i="8"/>
  <c r="P70" i="8"/>
  <c r="M68" i="8"/>
  <c r="P98" i="8"/>
  <c r="M96" i="8"/>
  <c r="K618" i="2"/>
  <c r="K624" i="3"/>
  <c r="O380" i="4"/>
  <c r="K497" i="4"/>
  <c r="L24" i="5"/>
  <c r="O311" i="5"/>
  <c r="O353" i="5"/>
  <c r="L33" i="5"/>
  <c r="O33" i="5" s="1"/>
  <c r="O19" i="6"/>
  <c r="P25" i="6"/>
  <c r="M15" i="6"/>
  <c r="P15" i="6" s="1"/>
  <c r="M19" i="6"/>
  <c r="N26" i="6"/>
  <c r="N16" i="6" s="1"/>
  <c r="K613" i="2"/>
  <c r="L292" i="4"/>
  <c r="O292" i="4" s="1"/>
  <c r="M29" i="5"/>
  <c r="M11" i="5"/>
  <c r="P31" i="5"/>
  <c r="O401" i="5"/>
  <c r="O437" i="5"/>
  <c r="K465" i="5"/>
  <c r="N15" i="6"/>
  <c r="N19" i="6"/>
  <c r="P98" i="6"/>
  <c r="M96" i="6"/>
  <c r="O291" i="6"/>
  <c r="O601" i="6"/>
  <c r="L34" i="6"/>
  <c r="M19" i="7"/>
  <c r="P21" i="7"/>
  <c r="M11" i="7"/>
  <c r="M22" i="7"/>
  <c r="P45" i="7"/>
  <c r="M43" i="7"/>
  <c r="M41" i="7" s="1"/>
  <c r="P54" i="7"/>
  <c r="M53" i="7"/>
  <c r="L23" i="8"/>
  <c r="L294" i="8"/>
  <c r="L45" i="9"/>
  <c r="L23" i="9"/>
  <c r="K426" i="4"/>
  <c r="K481" i="4"/>
  <c r="O19" i="5"/>
  <c r="P25" i="5"/>
  <c r="M15" i="5"/>
  <c r="P15" i="5" s="1"/>
  <c r="M19" i="5"/>
  <c r="L23" i="5"/>
  <c r="L45" i="5"/>
  <c r="K149" i="5"/>
  <c r="K398" i="5"/>
  <c r="P57" i="6"/>
  <c r="M55" i="6"/>
  <c r="P291" i="6"/>
  <c r="L294" i="6"/>
  <c r="L31" i="7"/>
  <c r="O382" i="7"/>
  <c r="O385" i="7"/>
  <c r="L34" i="7"/>
  <c r="L33" i="7"/>
  <c r="O33" i="7" s="1"/>
  <c r="O536" i="7"/>
  <c r="K614" i="4"/>
  <c r="K622" i="4"/>
  <c r="K622" i="5"/>
  <c r="K635" i="6"/>
  <c r="N19" i="7"/>
  <c r="P221" i="7"/>
  <c r="M220" i="7"/>
  <c r="L224" i="7"/>
  <c r="P275" i="7"/>
  <c r="M273" i="7"/>
  <c r="K420" i="7"/>
  <c r="P19" i="8"/>
  <c r="O311" i="8"/>
  <c r="K464" i="8"/>
  <c r="O554" i="8"/>
  <c r="L33" i="8"/>
  <c r="O33" i="8" s="1"/>
  <c r="K617" i="4"/>
  <c r="I367" i="7"/>
  <c r="K367" i="7" s="1"/>
  <c r="K371" i="7"/>
  <c r="M9" i="8"/>
  <c r="P11" i="8"/>
  <c r="O25" i="8"/>
  <c r="L15" i="8"/>
  <c r="O15" i="8" s="1"/>
  <c r="P29" i="8"/>
  <c r="M28" i="8"/>
  <c r="P28" i="8" s="1"/>
  <c r="M310" i="8"/>
  <c r="P310" i="8" s="1"/>
  <c r="P311" i="8"/>
  <c r="O403" i="8"/>
  <c r="L31" i="8"/>
  <c r="P23" i="9"/>
  <c r="M13" i="9"/>
  <c r="P13" i="9" s="1"/>
  <c r="K612" i="4"/>
  <c r="K620" i="4"/>
  <c r="L26" i="5"/>
  <c r="M222" i="5"/>
  <c r="K612" i="5"/>
  <c r="K620" i="5"/>
  <c r="L26" i="6"/>
  <c r="M49" i="6"/>
  <c r="M222" i="6"/>
  <c r="O311" i="6"/>
  <c r="L23" i="7"/>
  <c r="O330" i="7"/>
  <c r="N34" i="7"/>
  <c r="N14" i="7" s="1"/>
  <c r="O599" i="7"/>
  <c r="K615" i="7"/>
  <c r="K612" i="7"/>
  <c r="K617" i="7"/>
  <c r="K614" i="7"/>
  <c r="K619" i="7"/>
  <c r="K611" i="7"/>
  <c r="K616" i="7"/>
  <c r="P57" i="8"/>
  <c r="M55" i="8"/>
  <c r="L26" i="8"/>
  <c r="O228" i="8"/>
  <c r="K615" i="4"/>
  <c r="K623" i="4"/>
  <c r="M310" i="5"/>
  <c r="P310" i="5" s="1"/>
  <c r="K615" i="5"/>
  <c r="K623" i="5"/>
  <c r="P311" i="6"/>
  <c r="M310" i="6"/>
  <c r="P310" i="6" s="1"/>
  <c r="P29" i="7"/>
  <c r="M28" i="7"/>
  <c r="P28" i="7" s="1"/>
  <c r="P122" i="7"/>
  <c r="M120" i="7"/>
  <c r="O352" i="8"/>
  <c r="L32" i="8"/>
  <c r="M96" i="9"/>
  <c r="M26" i="9"/>
  <c r="P102" i="9"/>
  <c r="K618" i="4"/>
  <c r="K626" i="4"/>
  <c r="M14" i="5"/>
  <c r="P14" i="5" s="1"/>
  <c r="M41" i="5"/>
  <c r="K618" i="5"/>
  <c r="K626" i="5"/>
  <c r="M14" i="6"/>
  <c r="P14" i="6" s="1"/>
  <c r="K450" i="6"/>
  <c r="N43" i="7"/>
  <c r="N41" i="7" s="1"/>
  <c r="N26" i="7"/>
  <c r="N16" i="7" s="1"/>
  <c r="N22" i="7"/>
  <c r="N120" i="7"/>
  <c r="P23" i="8"/>
  <c r="M13" i="8"/>
  <c r="P13" i="8" s="1"/>
  <c r="M22" i="8"/>
  <c r="O291" i="8"/>
  <c r="P337" i="9"/>
  <c r="M331" i="9"/>
  <c r="L314" i="6"/>
  <c r="P333" i="6"/>
  <c r="M331" i="6"/>
  <c r="O535" i="6"/>
  <c r="K563" i="6"/>
  <c r="L26" i="7"/>
  <c r="P95" i="7"/>
  <c r="K219" i="7"/>
  <c r="P254" i="7"/>
  <c r="M252" i="7"/>
  <c r="K428" i="7"/>
  <c r="O459" i="7"/>
  <c r="K633" i="7"/>
  <c r="N22" i="8"/>
  <c r="N43" i="8"/>
  <c r="N41" i="8" s="1"/>
  <c r="P291" i="8"/>
  <c r="K618" i="6"/>
  <c r="K626" i="6"/>
  <c r="K624" i="7"/>
  <c r="M43" i="8"/>
  <c r="P45" i="8"/>
  <c r="K369" i="8"/>
  <c r="I367" i="8"/>
  <c r="K367" i="8" s="1"/>
  <c r="O19" i="10"/>
  <c r="K613" i="6"/>
  <c r="K621" i="6"/>
  <c r="M55" i="9"/>
  <c r="M66" i="9"/>
  <c r="M271" i="9"/>
  <c r="P271" i="9" s="1"/>
  <c r="K616" i="6"/>
  <c r="K624" i="6"/>
  <c r="L24" i="8"/>
  <c r="K417" i="8"/>
  <c r="K630" i="8"/>
  <c r="P31" i="9"/>
  <c r="M29" i="9"/>
  <c r="M11" i="9"/>
  <c r="K267" i="9"/>
  <c r="P291" i="9"/>
  <c r="N33" i="10"/>
  <c r="N13" i="10" s="1"/>
  <c r="K619" i="6"/>
  <c r="K573" i="8"/>
  <c r="N19" i="9"/>
  <c r="L294" i="9"/>
  <c r="O351" i="9"/>
  <c r="L31" i="9"/>
  <c r="P311" i="10"/>
  <c r="K622" i="6"/>
  <c r="O19" i="9"/>
  <c r="P45" i="9"/>
  <c r="M43" i="9"/>
  <c r="P224" i="10"/>
  <c r="M222" i="10"/>
  <c r="K349" i="8"/>
  <c r="K425" i="8"/>
  <c r="K547" i="8"/>
  <c r="M22" i="9"/>
  <c r="N22" i="9"/>
  <c r="P70" i="9"/>
  <c r="L26" i="9"/>
  <c r="O102" i="9"/>
  <c r="P275" i="9"/>
  <c r="P314" i="9"/>
  <c r="M312" i="9"/>
  <c r="K613" i="8"/>
  <c r="K621" i="8"/>
  <c r="O352" i="9"/>
  <c r="P337" i="11"/>
  <c r="M331" i="11"/>
  <c r="K616" i="8"/>
  <c r="K624" i="8"/>
  <c r="M22" i="10"/>
  <c r="P141" i="11"/>
  <c r="M140" i="11"/>
  <c r="K622" i="8"/>
  <c r="K624" i="9"/>
  <c r="K621" i="9"/>
  <c r="K626" i="9"/>
  <c r="K623" i="9"/>
  <c r="K620" i="9"/>
  <c r="K625" i="9"/>
  <c r="L122" i="10"/>
  <c r="L23" i="10"/>
  <c r="O272" i="10"/>
  <c r="K617" i="8"/>
  <c r="K625" i="8"/>
  <c r="O119" i="10"/>
  <c r="N19" i="11"/>
  <c r="P19" i="10"/>
  <c r="L24" i="10"/>
  <c r="O42" i="10"/>
  <c r="O298" i="10"/>
  <c r="L26" i="10"/>
  <c r="N19" i="10"/>
  <c r="O49" i="11"/>
  <c r="N26" i="11"/>
  <c r="N16" i="11" s="1"/>
  <c r="P251" i="11"/>
  <c r="M30" i="10"/>
  <c r="M49" i="10"/>
  <c r="M43" i="10" s="1"/>
  <c r="K450" i="10"/>
  <c r="P57" i="11"/>
  <c r="P120" i="11"/>
  <c r="M118" i="11"/>
  <c r="P118" i="11" s="1"/>
  <c r="P45" i="11"/>
  <c r="M43" i="11"/>
  <c r="M94" i="11"/>
  <c r="P94" i="11" s="1"/>
  <c r="P96" i="11"/>
  <c r="P294" i="11"/>
  <c r="M292" i="11"/>
  <c r="K618" i="9"/>
  <c r="O21" i="10"/>
  <c r="M292" i="10"/>
  <c r="N331" i="10"/>
  <c r="O54" i="11"/>
  <c r="O95" i="11"/>
  <c r="P333" i="11"/>
  <c r="N331" i="11"/>
  <c r="N329" i="11" s="1"/>
  <c r="L31" i="11"/>
  <c r="O436" i="11"/>
  <c r="O353" i="12"/>
  <c r="L33" i="12"/>
  <c r="O33" i="12" s="1"/>
  <c r="P19" i="13"/>
  <c r="K613" i="9"/>
  <c r="M11" i="10"/>
  <c r="M140" i="10"/>
  <c r="M312" i="10"/>
  <c r="P312" i="10" s="1"/>
  <c r="L24" i="11"/>
  <c r="O67" i="11"/>
  <c r="L33" i="11"/>
  <c r="O33" i="11" s="1"/>
  <c r="O384" i="11"/>
  <c r="K616" i="9"/>
  <c r="P45" i="10"/>
  <c r="M120" i="10"/>
  <c r="P120" i="10" s="1"/>
  <c r="M273" i="10"/>
  <c r="P273" i="10" s="1"/>
  <c r="K369" i="10"/>
  <c r="I367" i="10"/>
  <c r="K367" i="10" s="1"/>
  <c r="P67" i="11"/>
  <c r="P57" i="12"/>
  <c r="M55" i="12"/>
  <c r="M22" i="12"/>
  <c r="K611" i="9"/>
  <c r="M13" i="10"/>
  <c r="P13" i="10" s="1"/>
  <c r="M53" i="10"/>
  <c r="K340" i="10"/>
  <c r="K430" i="10"/>
  <c r="O601" i="10"/>
  <c r="M19" i="11"/>
  <c r="P21" i="11"/>
  <c r="M11" i="11"/>
  <c r="L26" i="11"/>
  <c r="P29" i="11"/>
  <c r="M28" i="11"/>
  <c r="P28" i="11" s="1"/>
  <c r="L70" i="11"/>
  <c r="P314" i="11"/>
  <c r="M312" i="11"/>
  <c r="N32" i="11"/>
  <c r="K450" i="11"/>
  <c r="P29" i="12"/>
  <c r="M28" i="12"/>
  <c r="P28" i="12" s="1"/>
  <c r="P70" i="12"/>
  <c r="M68" i="12"/>
  <c r="O221" i="12"/>
  <c r="K613" i="10"/>
  <c r="K621" i="10"/>
  <c r="P122" i="12"/>
  <c r="M120" i="12"/>
  <c r="O385" i="12"/>
  <c r="N34" i="12"/>
  <c r="N14" i="12" s="1"/>
  <c r="L32" i="12"/>
  <c r="O437" i="12"/>
  <c r="M331" i="13"/>
  <c r="M26" i="13"/>
  <c r="P337" i="13"/>
  <c r="K616" i="10"/>
  <c r="K624" i="10"/>
  <c r="P25" i="12"/>
  <c r="M15" i="12"/>
  <c r="P15" i="12" s="1"/>
  <c r="M19" i="12"/>
  <c r="M14" i="12"/>
  <c r="P14" i="12" s="1"/>
  <c r="P34" i="12"/>
  <c r="M30" i="13"/>
  <c r="P30" i="13" s="1"/>
  <c r="P32" i="13"/>
  <c r="N34" i="13"/>
  <c r="N14" i="13" s="1"/>
  <c r="O537" i="13"/>
  <c r="K614" i="10"/>
  <c r="K622" i="10"/>
  <c r="M220" i="11"/>
  <c r="P102" i="12"/>
  <c r="M55" i="11"/>
  <c r="I367" i="11"/>
  <c r="K367" i="11" s="1"/>
  <c r="O535" i="11"/>
  <c r="O597" i="11"/>
  <c r="N19" i="13"/>
  <c r="P57" i="13"/>
  <c r="M55" i="13"/>
  <c r="P275" i="13"/>
  <c r="N273" i="13"/>
  <c r="N271" i="13" s="1"/>
  <c r="O382" i="13"/>
  <c r="L31" i="13"/>
  <c r="O438" i="13"/>
  <c r="L33" i="13"/>
  <c r="O33" i="13" s="1"/>
  <c r="O439" i="15"/>
  <c r="L34" i="15"/>
  <c r="K614" i="11"/>
  <c r="K622" i="11"/>
  <c r="L15" i="12"/>
  <c r="O15" i="12" s="1"/>
  <c r="N22" i="12"/>
  <c r="O102" i="12"/>
  <c r="P95" i="14"/>
  <c r="L98" i="14"/>
  <c r="L23" i="14"/>
  <c r="K617" i="11"/>
  <c r="K625" i="11"/>
  <c r="M96" i="12"/>
  <c r="M142" i="12"/>
  <c r="M252" i="12"/>
  <c r="I367" i="12"/>
  <c r="K367" i="12" s="1"/>
  <c r="M22" i="13"/>
  <c r="P45" i="13"/>
  <c r="M43" i="13"/>
  <c r="L26" i="13"/>
  <c r="O102" i="13"/>
  <c r="M118" i="13"/>
  <c r="K158" i="13"/>
  <c r="O352" i="13"/>
  <c r="K612" i="11"/>
  <c r="P31" i="12"/>
  <c r="L45" i="12"/>
  <c r="P312" i="12"/>
  <c r="N22" i="13"/>
  <c r="N43" i="13"/>
  <c r="N41" i="13" s="1"/>
  <c r="O291" i="13"/>
  <c r="N31" i="14"/>
  <c r="N29" i="14" s="1"/>
  <c r="K615" i="11"/>
  <c r="K623" i="11"/>
  <c r="M329" i="12"/>
  <c r="P23" i="13"/>
  <c r="M13" i="13"/>
  <c r="P13" i="13" s="1"/>
  <c r="P254" i="13"/>
  <c r="M252" i="13"/>
  <c r="K618" i="11"/>
  <c r="O49" i="12"/>
  <c r="M222" i="12"/>
  <c r="M290" i="12"/>
  <c r="P290" i="12" s="1"/>
  <c r="P9" i="13"/>
  <c r="P70" i="13"/>
  <c r="M68" i="13"/>
  <c r="P122" i="13"/>
  <c r="N120" i="13"/>
  <c r="N118" i="13" s="1"/>
  <c r="P144" i="13"/>
  <c r="M142" i="13"/>
  <c r="M271" i="13"/>
  <c r="O54" i="14"/>
  <c r="O352" i="14"/>
  <c r="L32" i="14"/>
  <c r="M11" i="12"/>
  <c r="O533" i="12"/>
  <c r="K630" i="12"/>
  <c r="O19" i="13"/>
  <c r="N68" i="13"/>
  <c r="N142" i="13"/>
  <c r="N140" i="13" s="1"/>
  <c r="P221" i="13"/>
  <c r="L24" i="13"/>
  <c r="L224" i="13"/>
  <c r="N33" i="13"/>
  <c r="N13" i="13" s="1"/>
  <c r="O221" i="14"/>
  <c r="K613" i="12"/>
  <c r="P24" i="14"/>
  <c r="M14" i="14"/>
  <c r="P14" i="14" s="1"/>
  <c r="P54" i="14"/>
  <c r="P275" i="14"/>
  <c r="M273" i="14"/>
  <c r="P23" i="15"/>
  <c r="M13" i="15"/>
  <c r="P13" i="15" s="1"/>
  <c r="K616" i="12"/>
  <c r="L19" i="14"/>
  <c r="O21" i="14"/>
  <c r="N142" i="14"/>
  <c r="N140" i="14" s="1"/>
  <c r="N273" i="14"/>
  <c r="N271" i="14" s="1"/>
  <c r="O291" i="15"/>
  <c r="K611" i="12"/>
  <c r="K619" i="12"/>
  <c r="M96" i="13"/>
  <c r="K371" i="13"/>
  <c r="M19" i="14"/>
  <c r="P21" i="14"/>
  <c r="M11" i="14"/>
  <c r="N43" i="14"/>
  <c r="N41" i="14" s="1"/>
  <c r="P67" i="14"/>
  <c r="K614" i="12"/>
  <c r="L15" i="13"/>
  <c r="O15" i="13" s="1"/>
  <c r="M222" i="13"/>
  <c r="K498" i="13"/>
  <c r="M331" i="14"/>
  <c r="M329" i="14" s="1"/>
  <c r="K617" i="12"/>
  <c r="K482" i="13"/>
  <c r="P29" i="14"/>
  <c r="M28" i="14"/>
  <c r="P28" i="14" s="1"/>
  <c r="M22" i="14"/>
  <c r="P122" i="14"/>
  <c r="M120" i="14"/>
  <c r="N22" i="14"/>
  <c r="N292" i="14"/>
  <c r="P314" i="14"/>
  <c r="M312" i="14"/>
  <c r="L31" i="14"/>
  <c r="O382" i="14"/>
  <c r="P42" i="14"/>
  <c r="O95" i="14"/>
  <c r="K380" i="14"/>
  <c r="L34" i="14"/>
  <c r="O439" i="14"/>
  <c r="K464" i="14"/>
  <c r="P57" i="15"/>
  <c r="M55" i="15"/>
  <c r="M22" i="15"/>
  <c r="P70" i="15"/>
  <c r="M68" i="15"/>
  <c r="K623" i="13"/>
  <c r="M30" i="15"/>
  <c r="P32" i="15"/>
  <c r="P314" i="15"/>
  <c r="O352" i="15"/>
  <c r="N32" i="15"/>
  <c r="N30" i="15" s="1"/>
  <c r="K626" i="13"/>
  <c r="O19" i="15"/>
  <c r="L32" i="15"/>
  <c r="O553" i="15"/>
  <c r="K613" i="13"/>
  <c r="K621" i="13"/>
  <c r="M142" i="14"/>
  <c r="M252" i="14"/>
  <c r="P252" i="14" s="1"/>
  <c r="P9" i="15"/>
  <c r="N26" i="15"/>
  <c r="N16" i="15" s="1"/>
  <c r="N22" i="15"/>
  <c r="N43" i="15"/>
  <c r="N41" i="15" s="1"/>
  <c r="K624" i="13"/>
  <c r="M43" i="14"/>
  <c r="M68" i="14"/>
  <c r="P68" i="14" s="1"/>
  <c r="M13" i="14"/>
  <c r="P13" i="14" s="1"/>
  <c r="M55" i="14"/>
  <c r="I367" i="14"/>
  <c r="K367" i="14" s="1"/>
  <c r="K474" i="14"/>
  <c r="O382" i="15"/>
  <c r="L31" i="15"/>
  <c r="P144" i="15"/>
  <c r="P254" i="15"/>
  <c r="N252" i="15"/>
  <c r="K613" i="14"/>
  <c r="K621" i="14"/>
  <c r="K613" i="15"/>
  <c r="K616" i="14"/>
  <c r="K624" i="14"/>
  <c r="M43" i="15"/>
  <c r="M220" i="15"/>
  <c r="K616" i="15"/>
  <c r="K624" i="15"/>
  <c r="K611" i="14"/>
  <c r="K619" i="14"/>
  <c r="K611" i="15"/>
  <c r="K619" i="15"/>
  <c r="K622" i="14"/>
  <c r="K614" i="15"/>
  <c r="K622" i="15"/>
  <c r="I367" i="15"/>
  <c r="K367" i="15" s="1"/>
  <c r="K617" i="15"/>
  <c r="K625" i="15"/>
  <c r="K612" i="14"/>
  <c r="K620" i="14"/>
  <c r="L26" i="15"/>
  <c r="M271" i="15"/>
  <c r="M292" i="15"/>
  <c r="K612" i="15"/>
  <c r="K620" i="15"/>
  <c r="L23" i="15"/>
  <c r="M140" i="15"/>
  <c r="M250" i="15"/>
  <c r="M310" i="15"/>
  <c r="K117" i="1" l="1"/>
  <c r="O102" i="1"/>
  <c r="L312" i="10"/>
  <c r="L222" i="3"/>
  <c r="L220" i="3" s="1"/>
  <c r="L142" i="9"/>
  <c r="O142" i="9" s="1"/>
  <c r="K324" i="1"/>
  <c r="O144" i="10"/>
  <c r="K632" i="1"/>
  <c r="K343" i="1"/>
  <c r="L252" i="14"/>
  <c r="O252" i="14" s="1"/>
  <c r="L292" i="14"/>
  <c r="O292" i="14" s="1"/>
  <c r="L331" i="4"/>
  <c r="L329" i="4" s="1"/>
  <c r="O329" i="4" s="1"/>
  <c r="O337" i="1"/>
  <c r="K111" i="1"/>
  <c r="K370" i="1"/>
  <c r="O352" i="1"/>
  <c r="O252" i="4"/>
  <c r="O31" i="6"/>
  <c r="K341" i="1"/>
  <c r="M94" i="7"/>
  <c r="P94" i="7" s="1"/>
  <c r="P250" i="4"/>
  <c r="P252" i="4"/>
  <c r="L312" i="14"/>
  <c r="L310" i="14" s="1"/>
  <c r="O310" i="14" s="1"/>
  <c r="K265" i="1"/>
  <c r="N12" i="10"/>
  <c r="N10" i="10" s="1"/>
  <c r="L273" i="5"/>
  <c r="O273" i="5" s="1"/>
  <c r="M292" i="2"/>
  <c r="M290" i="2" s="1"/>
  <c r="P290" i="2" s="1"/>
  <c r="P298" i="2"/>
  <c r="O45" i="13"/>
  <c r="L331" i="6"/>
  <c r="O331" i="6" s="1"/>
  <c r="O568" i="1"/>
  <c r="O294" i="7"/>
  <c r="P142" i="2"/>
  <c r="K270" i="1"/>
  <c r="K426" i="1"/>
  <c r="O318" i="1"/>
  <c r="K81" i="1"/>
  <c r="L273" i="7"/>
  <c r="O273" i="7" s="1"/>
  <c r="K113" i="1"/>
  <c r="L68" i="14"/>
  <c r="O68" i="14" s="1"/>
  <c r="K83" i="1"/>
  <c r="O275" i="8"/>
  <c r="L96" i="13"/>
  <c r="O96" i="13" s="1"/>
  <c r="K87" i="1"/>
  <c r="K349" i="1"/>
  <c r="L222" i="15"/>
  <c r="O222" i="15" s="1"/>
  <c r="L55" i="13"/>
  <c r="O55" i="13" s="1"/>
  <c r="L43" i="10"/>
  <c r="L41" i="10" s="1"/>
  <c r="O41" i="10" s="1"/>
  <c r="O564" i="1"/>
  <c r="K630" i="1"/>
  <c r="K264" i="1"/>
  <c r="O584" i="1"/>
  <c r="L312" i="13"/>
  <c r="L310" i="13" s="1"/>
  <c r="O310" i="13" s="1"/>
  <c r="O224" i="11"/>
  <c r="K635" i="1"/>
  <c r="K64" i="1"/>
  <c r="K629" i="1"/>
  <c r="P222" i="13"/>
  <c r="K216" i="1"/>
  <c r="P122" i="1"/>
  <c r="O34" i="9"/>
  <c r="K85" i="1"/>
  <c r="O294" i="13"/>
  <c r="L312" i="2"/>
  <c r="O312" i="2" s="1"/>
  <c r="O294" i="3"/>
  <c r="M220" i="3"/>
  <c r="P220" i="3" s="1"/>
  <c r="P142" i="4"/>
  <c r="K80" i="1"/>
  <c r="L43" i="2"/>
  <c r="O43" i="2" s="1"/>
  <c r="O122" i="8"/>
  <c r="K422" i="1"/>
  <c r="K213" i="1"/>
  <c r="O404" i="1"/>
  <c r="K65" i="1"/>
  <c r="O349" i="1"/>
  <c r="L222" i="9"/>
  <c r="O222" i="9" s="1"/>
  <c r="O122" i="15"/>
  <c r="K533" i="1"/>
  <c r="K158" i="1"/>
  <c r="K474" i="1"/>
  <c r="O254" i="11"/>
  <c r="O98" i="4"/>
  <c r="K613" i="1"/>
  <c r="K176" i="1"/>
  <c r="K482" i="1"/>
  <c r="O55" i="10"/>
  <c r="K612" i="1"/>
  <c r="K377" i="1"/>
  <c r="N55" i="1"/>
  <c r="P55" i="1" s="1"/>
  <c r="P142" i="3"/>
  <c r="P55" i="10"/>
  <c r="L55" i="12"/>
  <c r="L53" i="12" s="1"/>
  <c r="O53" i="12" s="1"/>
  <c r="L43" i="15"/>
  <c r="O43" i="15" s="1"/>
  <c r="L252" i="7"/>
  <c r="O252" i="7" s="1"/>
  <c r="P140" i="3"/>
  <c r="O566" i="1"/>
  <c r="P70" i="1"/>
  <c r="O96" i="4"/>
  <c r="P53" i="10"/>
  <c r="M250" i="5"/>
  <c r="P250" i="5" s="1"/>
  <c r="K93" i="1"/>
  <c r="O57" i="10"/>
  <c r="O45" i="8"/>
  <c r="K375" i="1"/>
  <c r="K201" i="1"/>
  <c r="K450" i="1"/>
  <c r="K340" i="1"/>
  <c r="K350" i="1"/>
  <c r="K498" i="1"/>
  <c r="K597" i="1"/>
  <c r="O30" i="9"/>
  <c r="L96" i="8"/>
  <c r="L94" i="8" s="1"/>
  <c r="O94" i="8" s="1"/>
  <c r="K421" i="1"/>
  <c r="K432" i="1"/>
  <c r="P298" i="1"/>
  <c r="O312" i="7"/>
  <c r="L68" i="7"/>
  <c r="L66" i="7" s="1"/>
  <c r="O66" i="7" s="1"/>
  <c r="M94" i="2"/>
  <c r="P94" i="2" s="1"/>
  <c r="N28" i="8"/>
  <c r="O98" i="12"/>
  <c r="M271" i="4"/>
  <c r="P271" i="4" s="1"/>
  <c r="L222" i="2"/>
  <c r="L220" i="2" s="1"/>
  <c r="O220" i="2" s="1"/>
  <c r="L43" i="11"/>
  <c r="O43" i="11" s="1"/>
  <c r="K430" i="1"/>
  <c r="K108" i="1"/>
  <c r="K219" i="1"/>
  <c r="K547" i="1"/>
  <c r="P252" i="9"/>
  <c r="K591" i="1"/>
  <c r="L331" i="2"/>
  <c r="O331" i="2" s="1"/>
  <c r="P252" i="6"/>
  <c r="K82" i="1"/>
  <c r="O70" i="6"/>
  <c r="K449" i="1"/>
  <c r="K416" i="1"/>
  <c r="K345" i="1"/>
  <c r="K398" i="1"/>
  <c r="K112" i="1"/>
  <c r="P224" i="1"/>
  <c r="L120" i="13"/>
  <c r="L118" i="13" s="1"/>
  <c r="O118" i="13" s="1"/>
  <c r="K84" i="1"/>
  <c r="M94" i="15"/>
  <c r="P94" i="15" s="1"/>
  <c r="O222" i="11"/>
  <c r="K88" i="1"/>
  <c r="K427" i="1"/>
  <c r="K189" i="1"/>
  <c r="K132" i="1"/>
  <c r="K401" i="1"/>
  <c r="M290" i="8"/>
  <c r="P290" i="8" s="1"/>
  <c r="K164" i="1"/>
  <c r="O601" i="1"/>
  <c r="K420" i="1"/>
  <c r="K133" i="1"/>
  <c r="P222" i="11"/>
  <c r="N250" i="9"/>
  <c r="N37" i="9" s="1"/>
  <c r="K618" i="1"/>
  <c r="O455" i="1"/>
  <c r="K580" i="1"/>
  <c r="P220" i="11"/>
  <c r="N11" i="4"/>
  <c r="N9" i="4" s="1"/>
  <c r="O220" i="11"/>
  <c r="K289" i="1"/>
  <c r="P57" i="1"/>
  <c r="K173" i="1"/>
  <c r="P55" i="14"/>
  <c r="L96" i="9"/>
  <c r="O96" i="9" s="1"/>
  <c r="O439" i="1"/>
  <c r="K466" i="1"/>
  <c r="N11" i="10"/>
  <c r="N9" i="10" s="1"/>
  <c r="K304" i="1"/>
  <c r="O333" i="10"/>
  <c r="O292" i="3"/>
  <c r="O41" i="13"/>
  <c r="K402" i="1"/>
  <c r="P292" i="3"/>
  <c r="K267" i="1"/>
  <c r="L142" i="12"/>
  <c r="O142" i="12" s="1"/>
  <c r="L96" i="6"/>
  <c r="O96" i="6" s="1"/>
  <c r="K573" i="1"/>
  <c r="K499" i="1"/>
  <c r="K92" i="1"/>
  <c r="O32" i="11"/>
  <c r="L290" i="3"/>
  <c r="O290" i="3" s="1"/>
  <c r="O533" i="1"/>
  <c r="L96" i="5"/>
  <c r="L94" i="5" s="1"/>
  <c r="O94" i="5" s="1"/>
  <c r="N29" i="2"/>
  <c r="N28" i="2" s="1"/>
  <c r="K396" i="1"/>
  <c r="L331" i="15"/>
  <c r="L329" i="15" s="1"/>
  <c r="O329" i="15" s="1"/>
  <c r="K423" i="1"/>
  <c r="O597" i="1"/>
  <c r="O275" i="13"/>
  <c r="O275" i="11"/>
  <c r="L43" i="7"/>
  <c r="O43" i="7" s="1"/>
  <c r="N20" i="10"/>
  <c r="N18" i="10" s="1"/>
  <c r="O34" i="6"/>
  <c r="L292" i="11"/>
  <c r="L290" i="11" s="1"/>
  <c r="O290" i="11" s="1"/>
  <c r="L55" i="14"/>
  <c r="O55" i="14" s="1"/>
  <c r="L273" i="3"/>
  <c r="O273" i="3" s="1"/>
  <c r="O254" i="3"/>
  <c r="M118" i="6"/>
  <c r="P118" i="6" s="1"/>
  <c r="P96" i="9"/>
  <c r="O254" i="10"/>
  <c r="P290" i="3"/>
  <c r="O16" i="12"/>
  <c r="L312" i="12"/>
  <c r="O312" i="12" s="1"/>
  <c r="L273" i="6"/>
  <c r="O273" i="6" s="1"/>
  <c r="P329" i="3"/>
  <c r="O122" i="3"/>
  <c r="L68" i="8"/>
  <c r="L66" i="8" s="1"/>
  <c r="O66" i="8" s="1"/>
  <c r="O142" i="5"/>
  <c r="P43" i="4"/>
  <c r="L273" i="12"/>
  <c r="L271" i="12" s="1"/>
  <c r="O271" i="12" s="1"/>
  <c r="L120" i="12"/>
  <c r="O120" i="12" s="1"/>
  <c r="P331" i="3"/>
  <c r="O314" i="3"/>
  <c r="O98" i="11"/>
  <c r="M331" i="10"/>
  <c r="P331" i="10" s="1"/>
  <c r="K397" i="1"/>
  <c r="P22" i="4"/>
  <c r="K497" i="1"/>
  <c r="K428" i="1"/>
  <c r="P314" i="1"/>
  <c r="K204" i="1"/>
  <c r="P292" i="13"/>
  <c r="L312" i="4"/>
  <c r="O312" i="4" s="1"/>
  <c r="O347" i="1"/>
  <c r="O26" i="12"/>
  <c r="O224" i="4"/>
  <c r="K380" i="1"/>
  <c r="O122" i="9"/>
  <c r="K376" i="1"/>
  <c r="P275" i="1"/>
  <c r="O122" i="2"/>
  <c r="O70" i="2"/>
  <c r="O329" i="13"/>
  <c r="P140" i="8"/>
  <c r="P312" i="3"/>
  <c r="K229" i="1"/>
  <c r="M140" i="2"/>
  <c r="P140" i="2" s="1"/>
  <c r="K285" i="1"/>
  <c r="K619" i="1"/>
  <c r="K266" i="1"/>
  <c r="O582" i="1"/>
  <c r="K149" i="1"/>
  <c r="K481" i="1"/>
  <c r="N290" i="13"/>
  <c r="P290" i="13" s="1"/>
  <c r="M66" i="7"/>
  <c r="P66" i="7" s="1"/>
  <c r="P66" i="3"/>
  <c r="K138" i="1"/>
  <c r="K631" i="1"/>
  <c r="K306" i="1"/>
  <c r="K429" i="1"/>
  <c r="K328" i="1"/>
  <c r="O292" i="13"/>
  <c r="O333" i="12"/>
  <c r="P120" i="3"/>
  <c r="K368" i="1"/>
  <c r="P68" i="3"/>
  <c r="M66" i="4"/>
  <c r="P66" i="4" s="1"/>
  <c r="K235" i="1"/>
  <c r="M66" i="5"/>
  <c r="P66" i="5" s="1"/>
  <c r="P331" i="13"/>
  <c r="P333" i="1"/>
  <c r="O331" i="13"/>
  <c r="O333" i="13"/>
  <c r="N28" i="9"/>
  <c r="L142" i="15"/>
  <c r="O142" i="15" s="1"/>
  <c r="L43" i="14"/>
  <c r="L41" i="14" s="1"/>
  <c r="P142" i="8"/>
  <c r="P142" i="9"/>
  <c r="K417" i="1"/>
  <c r="P49" i="12"/>
  <c r="K249" i="1"/>
  <c r="M26" i="12"/>
  <c r="P26" i="12" s="1"/>
  <c r="O32" i="9"/>
  <c r="M290" i="9"/>
  <c r="P290" i="9" s="1"/>
  <c r="M271" i="5"/>
  <c r="P271" i="5" s="1"/>
  <c r="P271" i="8"/>
  <c r="O224" i="6"/>
  <c r="N271" i="15"/>
  <c r="P271" i="15" s="1"/>
  <c r="K200" i="1"/>
  <c r="P254" i="1"/>
  <c r="K185" i="1"/>
  <c r="K109" i="1"/>
  <c r="P294" i="1"/>
  <c r="N22" i="1"/>
  <c r="K110" i="1"/>
  <c r="K199" i="1"/>
  <c r="M118" i="5"/>
  <c r="P118" i="5" s="1"/>
  <c r="L120" i="5"/>
  <c r="L331" i="9"/>
  <c r="O331" i="9" s="1"/>
  <c r="M140" i="4"/>
  <c r="P140" i="4" s="1"/>
  <c r="L142" i="7"/>
  <c r="O142" i="7" s="1"/>
  <c r="L331" i="5"/>
  <c r="O331" i="5" s="1"/>
  <c r="L68" i="3"/>
  <c r="O68" i="3" s="1"/>
  <c r="P55" i="4"/>
  <c r="P273" i="8"/>
  <c r="P329" i="8"/>
  <c r="K418" i="1"/>
  <c r="K620" i="1"/>
  <c r="L312" i="8"/>
  <c r="O312" i="8" s="1"/>
  <c r="P53" i="4"/>
  <c r="N140" i="11"/>
  <c r="P140" i="11" s="1"/>
  <c r="K589" i="1"/>
  <c r="P331" i="9"/>
  <c r="L14" i="2"/>
  <c r="O14" i="2" s="1"/>
  <c r="O120" i="3"/>
  <c r="M250" i="8"/>
  <c r="P250" i="8" s="1"/>
  <c r="M290" i="6"/>
  <c r="P290" i="6" s="1"/>
  <c r="O254" i="4"/>
  <c r="P22" i="11"/>
  <c r="P43" i="5"/>
  <c r="P329" i="14"/>
  <c r="P331" i="14"/>
  <c r="L292" i="10"/>
  <c r="O292" i="10" s="1"/>
  <c r="O142" i="10"/>
  <c r="P66" i="9"/>
  <c r="L29" i="6"/>
  <c r="O29" i="6" s="1"/>
  <c r="O314" i="9"/>
  <c r="P222" i="7"/>
  <c r="L273" i="2"/>
  <c r="O273" i="2" s="1"/>
  <c r="N11" i="12"/>
  <c r="N9" i="12" s="1"/>
  <c r="P98" i="1"/>
  <c r="P43" i="14"/>
  <c r="L120" i="14"/>
  <c r="O120" i="14" s="1"/>
  <c r="L120" i="11"/>
  <c r="O120" i="11" s="1"/>
  <c r="K431" i="1"/>
  <c r="P55" i="9"/>
  <c r="O140" i="8"/>
  <c r="L222" i="14"/>
  <c r="O222" i="14" s="1"/>
  <c r="M94" i="10"/>
  <c r="P94" i="10" s="1"/>
  <c r="O275" i="10"/>
  <c r="P55" i="5"/>
  <c r="O34" i="3"/>
  <c r="L11" i="2"/>
  <c r="O11" i="2" s="1"/>
  <c r="L273" i="15"/>
  <c r="L271" i="15" s="1"/>
  <c r="L55" i="15"/>
  <c r="O55" i="15" s="1"/>
  <c r="M94" i="9"/>
  <c r="P94" i="9" s="1"/>
  <c r="L66" i="5"/>
  <c r="O66" i="5" s="1"/>
  <c r="N11" i="7"/>
  <c r="N9" i="7" s="1"/>
  <c r="O70" i="5"/>
  <c r="P53" i="5"/>
  <c r="O68" i="6"/>
  <c r="N11" i="3"/>
  <c r="N9" i="3" s="1"/>
  <c r="M118" i="2"/>
  <c r="P118" i="2" s="1"/>
  <c r="O34" i="15"/>
  <c r="O435" i="1"/>
  <c r="K628" i="1"/>
  <c r="K424" i="1"/>
  <c r="K435" i="1"/>
  <c r="N31" i="1"/>
  <c r="N29" i="1" s="1"/>
  <c r="K425" i="1"/>
  <c r="K309" i="1"/>
  <c r="L142" i="2"/>
  <c r="L140" i="2" s="1"/>
  <c r="O140" i="2" s="1"/>
  <c r="M310" i="4"/>
  <c r="P310" i="4" s="1"/>
  <c r="L331" i="8"/>
  <c r="O331" i="8" s="1"/>
  <c r="K626" i="1"/>
  <c r="L68" i="13"/>
  <c r="L66" i="13" s="1"/>
  <c r="O66" i="13" s="1"/>
  <c r="M271" i="2"/>
  <c r="P271" i="2" s="1"/>
  <c r="L14" i="12"/>
  <c r="O14" i="12" s="1"/>
  <c r="K634" i="1"/>
  <c r="N329" i="12"/>
  <c r="N37" i="12" s="1"/>
  <c r="O331" i="12"/>
  <c r="P43" i="10"/>
  <c r="O34" i="8"/>
  <c r="O34" i="4"/>
  <c r="L22" i="14"/>
  <c r="L20" i="14" s="1"/>
  <c r="L18" i="14" s="1"/>
  <c r="P222" i="9"/>
  <c r="O383" i="1"/>
  <c r="O437" i="1"/>
  <c r="O537" i="1"/>
  <c r="O459" i="1"/>
  <c r="O271" i="13"/>
  <c r="P292" i="14"/>
  <c r="L13" i="12"/>
  <c r="O13" i="12" s="1"/>
  <c r="L222" i="10"/>
  <c r="O222" i="10" s="1"/>
  <c r="N41" i="2"/>
  <c r="N37" i="2" s="1"/>
  <c r="K633" i="1"/>
  <c r="O535" i="1"/>
  <c r="K419" i="1"/>
  <c r="P222" i="12"/>
  <c r="O16" i="14"/>
  <c r="L68" i="12"/>
  <c r="L66" i="12" s="1"/>
  <c r="O66" i="12" s="1"/>
  <c r="L222" i="12"/>
  <c r="O222" i="12" s="1"/>
  <c r="M250" i="10"/>
  <c r="P250" i="10" s="1"/>
  <c r="L222" i="8"/>
  <c r="O222" i="8" s="1"/>
  <c r="P222" i="8"/>
  <c r="O142" i="8"/>
  <c r="K615" i="1"/>
  <c r="L24" i="1"/>
  <c r="O24" i="1" s="1"/>
  <c r="K451" i="1"/>
  <c r="O30" i="7"/>
  <c r="O26" i="14"/>
  <c r="P118" i="8"/>
  <c r="L29" i="2"/>
  <c r="O29" i="2" s="1"/>
  <c r="O34" i="11"/>
  <c r="P120" i="8"/>
  <c r="P68" i="2"/>
  <c r="P250" i="3"/>
  <c r="K455" i="1"/>
  <c r="O354" i="1"/>
  <c r="P118" i="15"/>
  <c r="P16" i="14"/>
  <c r="L252" i="12"/>
  <c r="O252" i="12" s="1"/>
  <c r="L252" i="2"/>
  <c r="L250" i="2" s="1"/>
  <c r="O250" i="2" s="1"/>
  <c r="O118" i="15"/>
  <c r="K372" i="1"/>
  <c r="O30" i="13"/>
  <c r="P26" i="14"/>
  <c r="L11" i="12"/>
  <c r="O11" i="12" s="1"/>
  <c r="P120" i="15"/>
  <c r="K86" i="1"/>
  <c r="P142" i="14"/>
  <c r="O34" i="14"/>
  <c r="L96" i="15"/>
  <c r="O96" i="15" s="1"/>
  <c r="P310" i="13"/>
  <c r="P273" i="3"/>
  <c r="K611" i="1"/>
  <c r="O312" i="3"/>
  <c r="P142" i="15"/>
  <c r="L254" i="1"/>
  <c r="O254" i="1" s="1"/>
  <c r="K564" i="1"/>
  <c r="O312" i="15"/>
  <c r="O31" i="5"/>
  <c r="P22" i="3"/>
  <c r="L13" i="2"/>
  <c r="O13" i="2" s="1"/>
  <c r="K381" i="1"/>
  <c r="K464" i="1"/>
  <c r="L312" i="11"/>
  <c r="O312" i="11" s="1"/>
  <c r="N20" i="3"/>
  <c r="N18" i="3" s="1"/>
  <c r="L252" i="15"/>
  <c r="L250" i="15" s="1"/>
  <c r="L142" i="14"/>
  <c r="O142" i="14" s="1"/>
  <c r="O294" i="12"/>
  <c r="P140" i="15"/>
  <c r="O144" i="14"/>
  <c r="L55" i="11"/>
  <c r="M250" i="11"/>
  <c r="P250" i="11" s="1"/>
  <c r="P220" i="9"/>
  <c r="L55" i="9"/>
  <c r="O55" i="9" s="1"/>
  <c r="M220" i="8"/>
  <c r="P220" i="8" s="1"/>
  <c r="O32" i="7"/>
  <c r="L29" i="5"/>
  <c r="O29" i="5" s="1"/>
  <c r="L14" i="4"/>
  <c r="O14" i="4" s="1"/>
  <c r="L252" i="13"/>
  <c r="K617" i="1"/>
  <c r="L292" i="2"/>
  <c r="L290" i="2" s="1"/>
  <c r="O290" i="2" s="1"/>
  <c r="O30" i="10"/>
  <c r="L273" i="14"/>
  <c r="O273" i="14" s="1"/>
  <c r="N11" i="15"/>
  <c r="N9" i="15" s="1"/>
  <c r="O120" i="8"/>
  <c r="P94" i="5"/>
  <c r="P252" i="3"/>
  <c r="K616" i="1"/>
  <c r="L55" i="5"/>
  <c r="O55" i="5" s="1"/>
  <c r="O118" i="8"/>
  <c r="L142" i="11"/>
  <c r="L140" i="11" s="1"/>
  <c r="N11" i="11"/>
  <c r="N9" i="11" s="1"/>
  <c r="L252" i="9"/>
  <c r="O252" i="9" s="1"/>
  <c r="O292" i="7"/>
  <c r="L14" i="7"/>
  <c r="O14" i="7" s="1"/>
  <c r="P55" i="3"/>
  <c r="P94" i="4"/>
  <c r="L96" i="3"/>
  <c r="K595" i="1"/>
  <c r="P312" i="13"/>
  <c r="K593" i="1"/>
  <c r="M310" i="3"/>
  <c r="P310" i="3" s="1"/>
  <c r="L290" i="12"/>
  <c r="O290" i="12" s="1"/>
  <c r="K614" i="1"/>
  <c r="P26" i="11"/>
  <c r="O599" i="1"/>
  <c r="K465" i="1"/>
  <c r="O120" i="6"/>
  <c r="L118" i="6"/>
  <c r="O118" i="6" s="1"/>
  <c r="O68" i="10"/>
  <c r="L66" i="10"/>
  <c r="O66" i="10" s="1"/>
  <c r="L29" i="12"/>
  <c r="O29" i="12" s="1"/>
  <c r="L273" i="9"/>
  <c r="O273" i="9" s="1"/>
  <c r="L314" i="1"/>
  <c r="O314" i="1" s="1"/>
  <c r="O70" i="10"/>
  <c r="P96" i="5"/>
  <c r="P22" i="5"/>
  <c r="O252" i="3"/>
  <c r="O401" i="1"/>
  <c r="P55" i="2"/>
  <c r="K625" i="1"/>
  <c r="N33" i="1"/>
  <c r="N13" i="1" s="1"/>
  <c r="O53" i="6"/>
  <c r="M66" i="10"/>
  <c r="P66" i="10" s="1"/>
  <c r="L222" i="5"/>
  <c r="O222" i="5" s="1"/>
  <c r="L96" i="7"/>
  <c r="O96" i="7" s="1"/>
  <c r="K622" i="1"/>
  <c r="M66" i="11"/>
  <c r="P66" i="11" s="1"/>
  <c r="M290" i="5"/>
  <c r="P290" i="5" s="1"/>
  <c r="P222" i="2"/>
  <c r="K186" i="1"/>
  <c r="L142" i="3"/>
  <c r="M140" i="9"/>
  <c r="P140" i="9" s="1"/>
  <c r="N28" i="14"/>
  <c r="M20" i="11"/>
  <c r="M329" i="9"/>
  <c r="P329" i="9" s="1"/>
  <c r="M310" i="7"/>
  <c r="P310" i="7" s="1"/>
  <c r="L68" i="9"/>
  <c r="O68" i="9" s="1"/>
  <c r="O122" i="6"/>
  <c r="L310" i="15"/>
  <c r="P331" i="15"/>
  <c r="L55" i="7"/>
  <c r="O55" i="7" s="1"/>
  <c r="L312" i="5"/>
  <c r="K623" i="1"/>
  <c r="L55" i="2"/>
  <c r="O55" i="2" s="1"/>
  <c r="K621" i="1"/>
  <c r="P43" i="12"/>
  <c r="M16" i="11"/>
  <c r="M10" i="11" s="1"/>
  <c r="L55" i="8"/>
  <c r="L53" i="8" s="1"/>
  <c r="O53" i="8" s="1"/>
  <c r="L22" i="8"/>
  <c r="O22" i="8" s="1"/>
  <c r="L55" i="3"/>
  <c r="L53" i="3" s="1"/>
  <c r="O53" i="3" s="1"/>
  <c r="L96" i="2"/>
  <c r="L94" i="2" s="1"/>
  <c r="O94" i="2" s="1"/>
  <c r="O30" i="2"/>
  <c r="O298" i="1"/>
  <c r="K624" i="1"/>
  <c r="N34" i="1"/>
  <c r="N14" i="1" s="1"/>
  <c r="O32" i="3"/>
  <c r="O314" i="15"/>
  <c r="M94" i="14"/>
  <c r="P94" i="14" s="1"/>
  <c r="O68" i="15"/>
  <c r="L66" i="15"/>
  <c r="O66" i="15" s="1"/>
  <c r="L14" i="15"/>
  <c r="O14" i="15" s="1"/>
  <c r="O120" i="15"/>
  <c r="P142" i="5"/>
  <c r="P43" i="3"/>
  <c r="M22" i="1"/>
  <c r="L34" i="1"/>
  <c r="N28" i="12"/>
  <c r="O254" i="8"/>
  <c r="L252" i="8"/>
  <c r="L22" i="15"/>
  <c r="O22" i="15" s="1"/>
  <c r="L329" i="12"/>
  <c r="O43" i="13"/>
  <c r="P220" i="7"/>
  <c r="N37" i="6"/>
  <c r="L333" i="1"/>
  <c r="O333" i="1" s="1"/>
  <c r="M41" i="4"/>
  <c r="P41" i="4" s="1"/>
  <c r="L57" i="1"/>
  <c r="L55" i="1" s="1"/>
  <c r="O57" i="6"/>
  <c r="P120" i="13"/>
  <c r="N11" i="13"/>
  <c r="N9" i="13" s="1"/>
  <c r="L118" i="3"/>
  <c r="O118" i="3" s="1"/>
  <c r="O70" i="15"/>
  <c r="O144" i="13"/>
  <c r="L96" i="10"/>
  <c r="O96" i="10" s="1"/>
  <c r="P331" i="7"/>
  <c r="N28" i="10"/>
  <c r="L22" i="2"/>
  <c r="L20" i="2" s="1"/>
  <c r="L18" i="2" s="1"/>
  <c r="L140" i="10"/>
  <c r="N140" i="10"/>
  <c r="P140" i="10" s="1"/>
  <c r="M329" i="13"/>
  <c r="P329" i="13" s="1"/>
  <c r="L292" i="15"/>
  <c r="O292" i="15" s="1"/>
  <c r="P271" i="13"/>
  <c r="N20" i="11"/>
  <c r="N18" i="11" s="1"/>
  <c r="M271" i="6"/>
  <c r="P271" i="6" s="1"/>
  <c r="M331" i="5"/>
  <c r="P331" i="5" s="1"/>
  <c r="P331" i="8"/>
  <c r="P329" i="7"/>
  <c r="O55" i="6"/>
  <c r="L142" i="4"/>
  <c r="O142" i="4" s="1"/>
  <c r="L331" i="3"/>
  <c r="O32" i="10"/>
  <c r="O580" i="1"/>
  <c r="N11" i="6"/>
  <c r="N9" i="6" s="1"/>
  <c r="N29" i="6"/>
  <c r="N28" i="6" s="1"/>
  <c r="M250" i="14"/>
  <c r="P250" i="14" s="1"/>
  <c r="N11" i="9"/>
  <c r="N9" i="9" s="1"/>
  <c r="L331" i="7"/>
  <c r="P292" i="7"/>
  <c r="O34" i="5"/>
  <c r="L144" i="1"/>
  <c r="O144" i="1" s="1"/>
  <c r="N28" i="3"/>
  <c r="N28" i="7"/>
  <c r="N28" i="4"/>
  <c r="L30" i="3"/>
  <c r="O30" i="3" s="1"/>
  <c r="O385" i="1"/>
  <c r="O34" i="2"/>
  <c r="P222" i="14"/>
  <c r="O32" i="13"/>
  <c r="M26" i="5"/>
  <c r="P26" i="5" s="1"/>
  <c r="L310" i="3"/>
  <c r="O310" i="3" s="1"/>
  <c r="N12" i="3"/>
  <c r="N10" i="3" s="1"/>
  <c r="L331" i="11"/>
  <c r="L329" i="11" s="1"/>
  <c r="O329" i="11" s="1"/>
  <c r="O333" i="11"/>
  <c r="N37" i="4"/>
  <c r="N29" i="5"/>
  <c r="N28" i="5" s="1"/>
  <c r="N11" i="5"/>
  <c r="N9" i="5" s="1"/>
  <c r="O250" i="3"/>
  <c r="M140" i="14"/>
  <c r="P140" i="14" s="1"/>
  <c r="M142" i="1"/>
  <c r="N11" i="8"/>
  <c r="N9" i="8" s="1"/>
  <c r="L252" i="5"/>
  <c r="O254" i="5"/>
  <c r="O32" i="4"/>
  <c r="L30" i="4"/>
  <c r="O30" i="4" s="1"/>
  <c r="L250" i="10"/>
  <c r="O250" i="10" s="1"/>
  <c r="P337" i="15"/>
  <c r="M26" i="15"/>
  <c r="M16" i="15" s="1"/>
  <c r="P16" i="15" s="1"/>
  <c r="O34" i="10"/>
  <c r="O273" i="8"/>
  <c r="L271" i="8"/>
  <c r="O271" i="8" s="1"/>
  <c r="M41" i="14"/>
  <c r="P41" i="14" s="1"/>
  <c r="P16" i="7"/>
  <c r="N310" i="7"/>
  <c r="N312" i="1"/>
  <c r="L142" i="6"/>
  <c r="O144" i="6"/>
  <c r="L30" i="6"/>
  <c r="O30" i="6" s="1"/>
  <c r="O32" i="6"/>
  <c r="L29" i="4"/>
  <c r="O31" i="4"/>
  <c r="P337" i="8"/>
  <c r="M26" i="8"/>
  <c r="M20" i="8" s="1"/>
  <c r="M26" i="3"/>
  <c r="P102" i="3"/>
  <c r="M96" i="3"/>
  <c r="M96" i="1" s="1"/>
  <c r="M102" i="1"/>
  <c r="P102" i="1" s="1"/>
  <c r="P329" i="15"/>
  <c r="M118" i="10"/>
  <c r="P118" i="10" s="1"/>
  <c r="M331" i="4"/>
  <c r="P331" i="4" s="1"/>
  <c r="O43" i="8"/>
  <c r="L310" i="9"/>
  <c r="O310" i="9" s="1"/>
  <c r="P26" i="7"/>
  <c r="N220" i="15"/>
  <c r="P220" i="15" s="1"/>
  <c r="P312" i="15"/>
  <c r="N310" i="15"/>
  <c r="L331" i="14"/>
  <c r="O333" i="14"/>
  <c r="O254" i="6"/>
  <c r="L252" i="6"/>
  <c r="N53" i="7"/>
  <c r="P53" i="7" s="1"/>
  <c r="N28" i="13"/>
  <c r="P220" i="14"/>
  <c r="O122" i="7"/>
  <c r="L120" i="7"/>
  <c r="O34" i="13"/>
  <c r="N37" i="8"/>
  <c r="N96" i="1"/>
  <c r="L29" i="10"/>
  <c r="O31" i="10"/>
  <c r="O32" i="2"/>
  <c r="I367" i="1"/>
  <c r="K367" i="1" s="1"/>
  <c r="N94" i="1"/>
  <c r="L14" i="9"/>
  <c r="O14" i="9" s="1"/>
  <c r="O24" i="9"/>
  <c r="N32" i="1"/>
  <c r="O66" i="2"/>
  <c r="P41" i="12"/>
  <c r="M220" i="4"/>
  <c r="P220" i="4" s="1"/>
  <c r="P222" i="4"/>
  <c r="M222" i="1"/>
  <c r="M9" i="6"/>
  <c r="P11" i="6"/>
  <c r="P43" i="15"/>
  <c r="M41" i="15"/>
  <c r="P22" i="13"/>
  <c r="M12" i="13"/>
  <c r="M20" i="13"/>
  <c r="O26" i="7"/>
  <c r="L16" i="7"/>
  <c r="O16" i="7" s="1"/>
  <c r="P49" i="6"/>
  <c r="M26" i="6"/>
  <c r="M43" i="6"/>
  <c r="M49" i="1"/>
  <c r="P53" i="3"/>
  <c r="P312" i="14"/>
  <c r="M310" i="14"/>
  <c r="P310" i="14" s="1"/>
  <c r="P96" i="13"/>
  <c r="M94" i="13"/>
  <c r="P94" i="13" s="1"/>
  <c r="O32" i="14"/>
  <c r="L30" i="14"/>
  <c r="O30" i="14" s="1"/>
  <c r="P273" i="13"/>
  <c r="P68" i="13"/>
  <c r="M66" i="13"/>
  <c r="P66" i="13" s="1"/>
  <c r="M220" i="12"/>
  <c r="P220" i="12" s="1"/>
  <c r="O140" i="13"/>
  <c r="N28" i="15"/>
  <c r="N30" i="11"/>
  <c r="N28" i="11" s="1"/>
  <c r="N12" i="11"/>
  <c r="O26" i="11"/>
  <c r="L16" i="11"/>
  <c r="O16" i="11" s="1"/>
  <c r="M9" i="10"/>
  <c r="P11" i="10"/>
  <c r="O31" i="11"/>
  <c r="L29" i="11"/>
  <c r="L11" i="11"/>
  <c r="P292" i="11"/>
  <c r="M290" i="11"/>
  <c r="P290" i="11" s="1"/>
  <c r="P252" i="7"/>
  <c r="M250" i="7"/>
  <c r="P250" i="7" s="1"/>
  <c r="P41" i="5"/>
  <c r="P26" i="9"/>
  <c r="M16" i="9"/>
  <c r="P16" i="9" s="1"/>
  <c r="O26" i="6"/>
  <c r="L16" i="6"/>
  <c r="O16" i="6" s="1"/>
  <c r="P19" i="6"/>
  <c r="P68" i="8"/>
  <c r="M66" i="8"/>
  <c r="P66" i="8" s="1"/>
  <c r="P273" i="12"/>
  <c r="M271" i="12"/>
  <c r="P271" i="12" s="1"/>
  <c r="O222" i="6"/>
  <c r="L220" i="6"/>
  <c r="O220" i="6" s="1"/>
  <c r="N140" i="5"/>
  <c r="P140" i="5" s="1"/>
  <c r="N142" i="1"/>
  <c r="O19" i="4"/>
  <c r="O222" i="4"/>
  <c r="L23" i="1"/>
  <c r="O26" i="4"/>
  <c r="L16" i="4"/>
  <c r="O16" i="4" s="1"/>
  <c r="O26" i="2"/>
  <c r="N12" i="15"/>
  <c r="N10" i="15" s="1"/>
  <c r="N20" i="15"/>
  <c r="N18" i="15" s="1"/>
  <c r="O23" i="14"/>
  <c r="L13" i="14"/>
  <c r="O13" i="14" s="1"/>
  <c r="O122" i="10"/>
  <c r="L120" i="10"/>
  <c r="N118" i="7"/>
  <c r="N120" i="1"/>
  <c r="P222" i="6"/>
  <c r="M220" i="6"/>
  <c r="P220" i="6" s="1"/>
  <c r="N20" i="2"/>
  <c r="N18" i="2" s="1"/>
  <c r="P22" i="2"/>
  <c r="N12" i="2"/>
  <c r="M20" i="14"/>
  <c r="M18" i="14" s="1"/>
  <c r="P22" i="14"/>
  <c r="M12" i="14"/>
  <c r="O19" i="14"/>
  <c r="P55" i="13"/>
  <c r="M53" i="13"/>
  <c r="P53" i="13" s="1"/>
  <c r="N20" i="7"/>
  <c r="N18" i="7" s="1"/>
  <c r="N12" i="7"/>
  <c r="N10" i="7" s="1"/>
  <c r="P68" i="6"/>
  <c r="M66" i="6"/>
  <c r="P66" i="6" s="1"/>
  <c r="M68" i="1"/>
  <c r="O275" i="4"/>
  <c r="L273" i="4"/>
  <c r="L275" i="1"/>
  <c r="O275" i="1" s="1"/>
  <c r="L22" i="4"/>
  <c r="O45" i="4"/>
  <c r="L43" i="4"/>
  <c r="O16" i="2"/>
  <c r="N12" i="12"/>
  <c r="N10" i="12" s="1"/>
  <c r="N20" i="12"/>
  <c r="N18" i="12" s="1"/>
  <c r="P68" i="12"/>
  <c r="M66" i="12"/>
  <c r="P66" i="12" s="1"/>
  <c r="P312" i="11"/>
  <c r="M310" i="11"/>
  <c r="P310" i="11" s="1"/>
  <c r="P11" i="11"/>
  <c r="M9" i="11"/>
  <c r="O96" i="12"/>
  <c r="L94" i="12"/>
  <c r="O94" i="12" s="1"/>
  <c r="L13" i="11"/>
  <c r="O13" i="11" s="1"/>
  <c r="M41" i="10"/>
  <c r="O331" i="10"/>
  <c r="L329" i="10"/>
  <c r="L292" i="9"/>
  <c r="O294" i="9"/>
  <c r="O312" i="10"/>
  <c r="L310" i="10"/>
  <c r="O310" i="10" s="1"/>
  <c r="O24" i="8"/>
  <c r="L14" i="8"/>
  <c r="O14" i="8" s="1"/>
  <c r="P120" i="7"/>
  <c r="M118" i="7"/>
  <c r="P118" i="7" s="1"/>
  <c r="O224" i="7"/>
  <c r="L222" i="7"/>
  <c r="L224" i="1"/>
  <c r="O224" i="1" s="1"/>
  <c r="O23" i="9"/>
  <c r="L13" i="9"/>
  <c r="O13" i="9" s="1"/>
  <c r="P43" i="7"/>
  <c r="M9" i="5"/>
  <c r="P11" i="5"/>
  <c r="O24" i="5"/>
  <c r="L14" i="5"/>
  <c r="O14" i="5" s="1"/>
  <c r="P142" i="7"/>
  <c r="M140" i="7"/>
  <c r="P140" i="7" s="1"/>
  <c r="L30" i="5"/>
  <c r="O30" i="5" s="1"/>
  <c r="O32" i="5"/>
  <c r="L94" i="4"/>
  <c r="O94" i="4" s="1"/>
  <c r="O220" i="4"/>
  <c r="P11" i="2"/>
  <c r="M9" i="2"/>
  <c r="P11" i="1"/>
  <c r="M9" i="1"/>
  <c r="P66" i="2"/>
  <c r="L41" i="2"/>
  <c r="L26" i="1"/>
  <c r="L30" i="12"/>
  <c r="O30" i="12" s="1"/>
  <c r="O32" i="12"/>
  <c r="P55" i="12"/>
  <c r="M53" i="12"/>
  <c r="P53" i="12" s="1"/>
  <c r="O31" i="9"/>
  <c r="L11" i="9"/>
  <c r="L29" i="9"/>
  <c r="O294" i="6"/>
  <c r="L292" i="6"/>
  <c r="P19" i="5"/>
  <c r="P96" i="8"/>
  <c r="M94" i="8"/>
  <c r="P94" i="8" s="1"/>
  <c r="O142" i="13"/>
  <c r="O34" i="12"/>
  <c r="P22" i="9"/>
  <c r="M12" i="9"/>
  <c r="M20" i="9"/>
  <c r="O41" i="8"/>
  <c r="O122" i="4"/>
  <c r="L120" i="4"/>
  <c r="N20" i="13"/>
  <c r="N18" i="13" s="1"/>
  <c r="N12" i="13"/>
  <c r="N10" i="13" s="1"/>
  <c r="P252" i="12"/>
  <c r="M250" i="12"/>
  <c r="P250" i="12" s="1"/>
  <c r="M290" i="15"/>
  <c r="P290" i="15" s="1"/>
  <c r="P292" i="15"/>
  <c r="N290" i="14"/>
  <c r="N37" i="14" s="1"/>
  <c r="N292" i="1"/>
  <c r="M28" i="13"/>
  <c r="P28" i="13" s="1"/>
  <c r="L14" i="13"/>
  <c r="O14" i="13" s="1"/>
  <c r="O24" i="13"/>
  <c r="P142" i="13"/>
  <c r="M140" i="13"/>
  <c r="P140" i="13" s="1"/>
  <c r="P118" i="13"/>
  <c r="P142" i="12"/>
  <c r="M140" i="12"/>
  <c r="P140" i="12" s="1"/>
  <c r="P55" i="11"/>
  <c r="M53" i="11"/>
  <c r="P53" i="11" s="1"/>
  <c r="P49" i="10"/>
  <c r="M26" i="10"/>
  <c r="M20" i="10" s="1"/>
  <c r="O24" i="10"/>
  <c r="L14" i="10"/>
  <c r="O14" i="10" s="1"/>
  <c r="M53" i="9"/>
  <c r="P53" i="9" s="1"/>
  <c r="O26" i="9"/>
  <c r="L16" i="9"/>
  <c r="O16" i="9" s="1"/>
  <c r="P222" i="10"/>
  <c r="M220" i="10"/>
  <c r="P220" i="10" s="1"/>
  <c r="M310" i="10"/>
  <c r="P310" i="10" s="1"/>
  <c r="P331" i="6"/>
  <c r="M329" i="6"/>
  <c r="P329" i="6" s="1"/>
  <c r="L9" i="5"/>
  <c r="O11" i="5"/>
  <c r="L30" i="8"/>
  <c r="O30" i="8" s="1"/>
  <c r="O32" i="8"/>
  <c r="L16" i="8"/>
  <c r="O16" i="8" s="1"/>
  <c r="O26" i="8"/>
  <c r="O34" i="7"/>
  <c r="L22" i="9"/>
  <c r="O45" i="9"/>
  <c r="L43" i="9"/>
  <c r="P29" i="5"/>
  <c r="M28" i="5"/>
  <c r="P28" i="5" s="1"/>
  <c r="L22" i="7"/>
  <c r="O45" i="6"/>
  <c r="L43" i="6"/>
  <c r="L22" i="6"/>
  <c r="L22" i="3"/>
  <c r="O45" i="3"/>
  <c r="L43" i="3"/>
  <c r="O457" i="1"/>
  <c r="L32" i="1"/>
  <c r="P220" i="2"/>
  <c r="O19" i="1"/>
  <c r="L122" i="1"/>
  <c r="O122" i="1" s="1"/>
  <c r="P252" i="15"/>
  <c r="N250" i="15"/>
  <c r="N252" i="1"/>
  <c r="M28" i="15"/>
  <c r="P28" i="15" s="1"/>
  <c r="P30" i="15"/>
  <c r="P19" i="14"/>
  <c r="P19" i="7"/>
  <c r="P250" i="2"/>
  <c r="O11" i="4"/>
  <c r="L9" i="4"/>
  <c r="P29" i="3"/>
  <c r="M28" i="3"/>
  <c r="P28" i="3" s="1"/>
  <c r="O26" i="3"/>
  <c r="L16" i="3"/>
  <c r="O16" i="3" s="1"/>
  <c r="O70" i="4"/>
  <c r="L68" i="4"/>
  <c r="O26" i="15"/>
  <c r="L16" i="15"/>
  <c r="O16" i="15" s="1"/>
  <c r="M9" i="12"/>
  <c r="P11" i="12"/>
  <c r="O98" i="14"/>
  <c r="L96" i="14"/>
  <c r="P273" i="7"/>
  <c r="M271" i="7"/>
  <c r="P271" i="7" s="1"/>
  <c r="M273" i="1"/>
  <c r="P318" i="2"/>
  <c r="M312" i="2"/>
  <c r="M318" i="1"/>
  <c r="P318" i="1" s="1"/>
  <c r="M26" i="2"/>
  <c r="N20" i="4"/>
  <c r="N18" i="4" s="1"/>
  <c r="N12" i="4"/>
  <c r="N10" i="4" s="1"/>
  <c r="P68" i="15"/>
  <c r="M66" i="15"/>
  <c r="P66" i="15" s="1"/>
  <c r="M66" i="14"/>
  <c r="P66" i="14" s="1"/>
  <c r="L14" i="14"/>
  <c r="O14" i="14" s="1"/>
  <c r="O224" i="13"/>
  <c r="L222" i="13"/>
  <c r="O45" i="12"/>
  <c r="L43" i="12"/>
  <c r="L22" i="12"/>
  <c r="O23" i="15"/>
  <c r="L13" i="15"/>
  <c r="O13" i="15" s="1"/>
  <c r="P22" i="15"/>
  <c r="M12" i="15"/>
  <c r="N20" i="14"/>
  <c r="N18" i="14" s="1"/>
  <c r="N12" i="14"/>
  <c r="N10" i="14" s="1"/>
  <c r="M53" i="14"/>
  <c r="P53" i="14" s="1"/>
  <c r="M220" i="13"/>
  <c r="P220" i="13" s="1"/>
  <c r="L13" i="13"/>
  <c r="O13" i="13" s="1"/>
  <c r="P96" i="12"/>
  <c r="M94" i="12"/>
  <c r="P94" i="12" s="1"/>
  <c r="O31" i="13"/>
  <c r="L29" i="13"/>
  <c r="L11" i="13"/>
  <c r="P26" i="13"/>
  <c r="M16" i="13"/>
  <c r="P16" i="13" s="1"/>
  <c r="P120" i="12"/>
  <c r="M118" i="12"/>
  <c r="P118" i="12" s="1"/>
  <c r="O273" i="11"/>
  <c r="L271" i="11"/>
  <c r="O271" i="11" s="1"/>
  <c r="P19" i="11"/>
  <c r="L14" i="11"/>
  <c r="O14" i="11" s="1"/>
  <c r="O24" i="11"/>
  <c r="L94" i="11"/>
  <c r="O94" i="11" s="1"/>
  <c r="N329" i="10"/>
  <c r="N331" i="1"/>
  <c r="O11" i="10"/>
  <c r="L9" i="10"/>
  <c r="P30" i="10"/>
  <c r="M28" i="10"/>
  <c r="P28" i="10" s="1"/>
  <c r="O26" i="10"/>
  <c r="L16" i="10"/>
  <c r="O16" i="10" s="1"/>
  <c r="L271" i="10"/>
  <c r="O271" i="10" s="1"/>
  <c r="M329" i="11"/>
  <c r="P329" i="11" s="1"/>
  <c r="P331" i="11"/>
  <c r="N12" i="8"/>
  <c r="N10" i="8" s="1"/>
  <c r="N20" i="8"/>
  <c r="N18" i="8" s="1"/>
  <c r="O23" i="7"/>
  <c r="L13" i="7"/>
  <c r="O13" i="7" s="1"/>
  <c r="P222" i="5"/>
  <c r="M220" i="5"/>
  <c r="P220" i="5" s="1"/>
  <c r="M20" i="7"/>
  <c r="P22" i="7"/>
  <c r="M12" i="7"/>
  <c r="P96" i="6"/>
  <c r="M94" i="6"/>
  <c r="P94" i="6" s="1"/>
  <c r="P11" i="4"/>
  <c r="M9" i="4"/>
  <c r="L13" i="6"/>
  <c r="O13" i="6" s="1"/>
  <c r="O23" i="6"/>
  <c r="L14" i="6"/>
  <c r="O14" i="6" s="1"/>
  <c r="O57" i="4"/>
  <c r="L55" i="4"/>
  <c r="O23" i="3"/>
  <c r="L13" i="3"/>
  <c r="O13" i="3" s="1"/>
  <c r="O42" i="1"/>
  <c r="L14" i="3"/>
  <c r="O14" i="3" s="1"/>
  <c r="P337" i="2"/>
  <c r="M331" i="2"/>
  <c r="M337" i="1"/>
  <c r="P337" i="1" s="1"/>
  <c r="N222" i="1"/>
  <c r="P53" i="2"/>
  <c r="N37" i="3"/>
  <c r="L45" i="1"/>
  <c r="M26" i="4"/>
  <c r="O120" i="2"/>
  <c r="P22" i="10"/>
  <c r="M12" i="10"/>
  <c r="L9" i="6"/>
  <c r="O11" i="6"/>
  <c r="O23" i="8"/>
  <c r="L13" i="8"/>
  <c r="O13" i="8" s="1"/>
  <c r="N12" i="6"/>
  <c r="N10" i="6" s="1"/>
  <c r="N20" i="6"/>
  <c r="N18" i="6" s="1"/>
  <c r="L30" i="15"/>
  <c r="O30" i="15" s="1"/>
  <c r="O32" i="15"/>
  <c r="N66" i="13"/>
  <c r="N68" i="1"/>
  <c r="P9" i="8"/>
  <c r="P29" i="6"/>
  <c r="M28" i="6"/>
  <c r="P28" i="6" s="1"/>
  <c r="N43" i="1"/>
  <c r="N41" i="1" s="1"/>
  <c r="O49" i="1"/>
  <c r="N26" i="1"/>
  <c r="O23" i="4"/>
  <c r="L13" i="4"/>
  <c r="O13" i="4" s="1"/>
  <c r="O68" i="2"/>
  <c r="O31" i="15"/>
  <c r="L29" i="15"/>
  <c r="L11" i="15"/>
  <c r="P55" i="15"/>
  <c r="M53" i="15"/>
  <c r="P53" i="15" s="1"/>
  <c r="N11" i="14"/>
  <c r="N9" i="14" s="1"/>
  <c r="P11" i="14"/>
  <c r="M9" i="14"/>
  <c r="O26" i="13"/>
  <c r="L16" i="13"/>
  <c r="O16" i="13" s="1"/>
  <c r="P292" i="10"/>
  <c r="M290" i="10"/>
  <c r="P290" i="10" s="1"/>
  <c r="O252" i="11"/>
  <c r="L250" i="11"/>
  <c r="O250" i="11" s="1"/>
  <c r="L22" i="10"/>
  <c r="N20" i="9"/>
  <c r="N18" i="9" s="1"/>
  <c r="N12" i="9"/>
  <c r="N10" i="9" s="1"/>
  <c r="P11" i="9"/>
  <c r="M9" i="9"/>
  <c r="O314" i="6"/>
  <c r="L312" i="6"/>
  <c r="L250" i="7"/>
  <c r="O250" i="7" s="1"/>
  <c r="P55" i="8"/>
  <c r="M53" i="8"/>
  <c r="P53" i="8" s="1"/>
  <c r="O26" i="5"/>
  <c r="L16" i="5"/>
  <c r="O16" i="5" s="1"/>
  <c r="O31" i="8"/>
  <c r="L29" i="8"/>
  <c r="L11" i="8"/>
  <c r="P55" i="6"/>
  <c r="M53" i="6"/>
  <c r="P53" i="6" s="1"/>
  <c r="O45" i="5"/>
  <c r="L43" i="5"/>
  <c r="L22" i="5"/>
  <c r="P11" i="7"/>
  <c r="M9" i="7"/>
  <c r="O294" i="5"/>
  <c r="L292" i="5"/>
  <c r="L294" i="1"/>
  <c r="O294" i="1" s="1"/>
  <c r="L33" i="1"/>
  <c r="O33" i="1" s="1"/>
  <c r="O554" i="1"/>
  <c r="L250" i="4"/>
  <c r="O250" i="4" s="1"/>
  <c r="P142" i="6"/>
  <c r="M120" i="1"/>
  <c r="P96" i="4"/>
  <c r="L29" i="3"/>
  <c r="L11" i="3"/>
  <c r="O31" i="3"/>
  <c r="L98" i="1"/>
  <c r="O98" i="1" s="1"/>
  <c r="L31" i="1"/>
  <c r="O120" i="9"/>
  <c r="L118" i="9"/>
  <c r="O118" i="9" s="1"/>
  <c r="L70" i="1"/>
  <c r="O70" i="1" s="1"/>
  <c r="P43" i="8"/>
  <c r="M41" i="8"/>
  <c r="N12" i="5"/>
  <c r="N10" i="5" s="1"/>
  <c r="N20" i="5"/>
  <c r="N18" i="5" s="1"/>
  <c r="L29" i="14"/>
  <c r="O31" i="14"/>
  <c r="P120" i="14"/>
  <c r="M118" i="14"/>
  <c r="P118" i="14" s="1"/>
  <c r="L11" i="14"/>
  <c r="P273" i="14"/>
  <c r="M271" i="14"/>
  <c r="P271" i="14" s="1"/>
  <c r="P252" i="13"/>
  <c r="M250" i="13"/>
  <c r="P250" i="13" s="1"/>
  <c r="L290" i="13"/>
  <c r="P43" i="13"/>
  <c r="M41" i="13"/>
  <c r="O273" i="13"/>
  <c r="P19" i="12"/>
  <c r="O70" i="11"/>
  <c r="L68" i="11"/>
  <c r="P22" i="12"/>
  <c r="M12" i="12"/>
  <c r="L53" i="10"/>
  <c r="O53" i="10" s="1"/>
  <c r="M271" i="10"/>
  <c r="P271" i="10" s="1"/>
  <c r="L22" i="13"/>
  <c r="P43" i="11"/>
  <c r="M41" i="11"/>
  <c r="L22" i="11"/>
  <c r="O23" i="10"/>
  <c r="L13" i="10"/>
  <c r="O13" i="10" s="1"/>
  <c r="P312" i="9"/>
  <c r="M310" i="9"/>
  <c r="P310" i="9" s="1"/>
  <c r="P43" i="9"/>
  <c r="M41" i="9"/>
  <c r="P29" i="9"/>
  <c r="M28" i="9"/>
  <c r="P28" i="9" s="1"/>
  <c r="P41" i="7"/>
  <c r="P22" i="8"/>
  <c r="M12" i="8"/>
  <c r="O31" i="7"/>
  <c r="L29" i="7"/>
  <c r="L11" i="7"/>
  <c r="L13" i="5"/>
  <c r="O13" i="5" s="1"/>
  <c r="O23" i="5"/>
  <c r="O294" i="8"/>
  <c r="L292" i="8"/>
  <c r="L290" i="4"/>
  <c r="O290" i="4" s="1"/>
  <c r="M252" i="1"/>
  <c r="P22" i="6"/>
  <c r="M9" i="3"/>
  <c r="P11" i="3"/>
  <c r="P140" i="6"/>
  <c r="N273" i="1"/>
  <c r="O118" i="2"/>
  <c r="O222" i="3" l="1"/>
  <c r="L329" i="6"/>
  <c r="O329" i="6" s="1"/>
  <c r="L271" i="7"/>
  <c r="O271" i="7" s="1"/>
  <c r="L94" i="9"/>
  <c r="O94" i="9" s="1"/>
  <c r="L220" i="15"/>
  <c r="O220" i="15" s="1"/>
  <c r="P250" i="9"/>
  <c r="O96" i="8"/>
  <c r="O96" i="2"/>
  <c r="O68" i="8"/>
  <c r="L329" i="8"/>
  <c r="O329" i="8" s="1"/>
  <c r="O252" i="15"/>
  <c r="L310" i="4"/>
  <c r="O310" i="4" s="1"/>
  <c r="L28" i="2"/>
  <c r="O28" i="2" s="1"/>
  <c r="L140" i="9"/>
  <c r="O140" i="9" s="1"/>
  <c r="N8" i="5"/>
  <c r="L53" i="14"/>
  <c r="O53" i="14" s="1"/>
  <c r="O312" i="13"/>
  <c r="L250" i="14"/>
  <c r="O250" i="14" s="1"/>
  <c r="L94" i="13"/>
  <c r="O94" i="13" s="1"/>
  <c r="O55" i="12"/>
  <c r="L118" i="11"/>
  <c r="O118" i="11" s="1"/>
  <c r="M292" i="1"/>
  <c r="P292" i="1" s="1"/>
  <c r="P292" i="2"/>
  <c r="L290" i="14"/>
  <c r="O290" i="14" s="1"/>
  <c r="O273" i="12"/>
  <c r="O331" i="4"/>
  <c r="O331" i="15"/>
  <c r="L220" i="9"/>
  <c r="O220" i="9" s="1"/>
  <c r="L271" i="2"/>
  <c r="O271" i="2" s="1"/>
  <c r="O120" i="13"/>
  <c r="L220" i="5"/>
  <c r="O220" i="5" s="1"/>
  <c r="L250" i="12"/>
  <c r="O250" i="12" s="1"/>
  <c r="L271" i="6"/>
  <c r="O271" i="6" s="1"/>
  <c r="O312" i="14"/>
  <c r="L12" i="2"/>
  <c r="L10" i="2" s="1"/>
  <c r="L310" i="2"/>
  <c r="O290" i="13"/>
  <c r="L271" i="5"/>
  <c r="O271" i="5" s="1"/>
  <c r="L66" i="14"/>
  <c r="O66" i="14" s="1"/>
  <c r="O43" i="10"/>
  <c r="N8" i="10"/>
  <c r="L140" i="12"/>
  <c r="O140" i="12" s="1"/>
  <c r="L290" i="10"/>
  <c r="O290" i="10" s="1"/>
  <c r="N53" i="1"/>
  <c r="P53" i="1" s="1"/>
  <c r="N37" i="13"/>
  <c r="L220" i="10"/>
  <c r="O220" i="10" s="1"/>
  <c r="L53" i="13"/>
  <c r="O53" i="13" s="1"/>
  <c r="O68" i="12"/>
  <c r="L53" i="15"/>
  <c r="O53" i="15" s="1"/>
  <c r="L329" i="9"/>
  <c r="O329" i="9" s="1"/>
  <c r="M16" i="12"/>
  <c r="P16" i="12" s="1"/>
  <c r="O140" i="5"/>
  <c r="L310" i="11"/>
  <c r="O310" i="11" s="1"/>
  <c r="L140" i="15"/>
  <c r="O140" i="15" s="1"/>
  <c r="L271" i="3"/>
  <c r="O271" i="3" s="1"/>
  <c r="M20" i="12"/>
  <c r="P20" i="12" s="1"/>
  <c r="O142" i="11"/>
  <c r="L271" i="9"/>
  <c r="O271" i="9" s="1"/>
  <c r="L41" i="11"/>
  <c r="O41" i="11" s="1"/>
  <c r="M329" i="10"/>
  <c r="M37" i="10" s="1"/>
  <c r="O22" i="2"/>
  <c r="L118" i="14"/>
  <c r="O118" i="14" s="1"/>
  <c r="L329" i="2"/>
  <c r="O329" i="2" s="1"/>
  <c r="L329" i="5"/>
  <c r="O329" i="5" s="1"/>
  <c r="N8" i="7"/>
  <c r="L41" i="7"/>
  <c r="O41" i="7" s="1"/>
  <c r="L9" i="12"/>
  <c r="O9" i="12" s="1"/>
  <c r="L310" i="8"/>
  <c r="O310" i="8" s="1"/>
  <c r="O68" i="7"/>
  <c r="O68" i="13"/>
  <c r="L9" i="2"/>
  <c r="O9" i="2" s="1"/>
  <c r="N37" i="11"/>
  <c r="P20" i="11"/>
  <c r="N271" i="1"/>
  <c r="L41" i="15"/>
  <c r="O41" i="15" s="1"/>
  <c r="O140" i="11"/>
  <c r="M18" i="11"/>
  <c r="P18" i="11" s="1"/>
  <c r="L140" i="7"/>
  <c r="O140" i="7" s="1"/>
  <c r="O222" i="2"/>
  <c r="L220" i="8"/>
  <c r="O220" i="8" s="1"/>
  <c r="N37" i="10"/>
  <c r="M20" i="15"/>
  <c r="P20" i="15" s="1"/>
  <c r="O250" i="15"/>
  <c r="O96" i="5"/>
  <c r="L53" i="2"/>
  <c r="O53" i="2" s="1"/>
  <c r="N8" i="8"/>
  <c r="P26" i="15"/>
  <c r="L53" i="7"/>
  <c r="O53" i="7" s="1"/>
  <c r="O292" i="11"/>
  <c r="O30" i="11"/>
  <c r="O271" i="15"/>
  <c r="N8" i="4"/>
  <c r="L118" i="12"/>
  <c r="O118" i="12" s="1"/>
  <c r="L94" i="10"/>
  <c r="O94" i="10" s="1"/>
  <c r="L273" i="1"/>
  <c r="O273" i="1" s="1"/>
  <c r="L310" i="12"/>
  <c r="O310" i="12" s="1"/>
  <c r="L220" i="14"/>
  <c r="O220" i="14" s="1"/>
  <c r="M329" i="4"/>
  <c r="P329" i="4" s="1"/>
  <c r="L94" i="6"/>
  <c r="O94" i="6" s="1"/>
  <c r="L20" i="8"/>
  <c r="O20" i="8" s="1"/>
  <c r="O43" i="14"/>
  <c r="L12" i="8"/>
  <c r="O12" i="8" s="1"/>
  <c r="N8" i="12"/>
  <c r="L220" i="12"/>
  <c r="O220" i="12" s="1"/>
  <c r="L222" i="1"/>
  <c r="O222" i="1" s="1"/>
  <c r="P252" i="1"/>
  <c r="P16" i="11"/>
  <c r="O20" i="2"/>
  <c r="O18" i="2"/>
  <c r="M16" i="5"/>
  <c r="P16" i="5" s="1"/>
  <c r="L66" i="3"/>
  <c r="O66" i="3" s="1"/>
  <c r="P12" i="6"/>
  <c r="O310" i="15"/>
  <c r="N8" i="14"/>
  <c r="L140" i="4"/>
  <c r="O140" i="4" s="1"/>
  <c r="O142" i="2"/>
  <c r="P120" i="1"/>
  <c r="P41" i="2"/>
  <c r="L94" i="15"/>
  <c r="O94" i="15" s="1"/>
  <c r="L20" i="15"/>
  <c r="L18" i="15" s="1"/>
  <c r="O18" i="15" s="1"/>
  <c r="P96" i="1"/>
  <c r="M329" i="5"/>
  <c r="P329" i="5" s="1"/>
  <c r="O120" i="5"/>
  <c r="L118" i="5"/>
  <c r="O118" i="5" s="1"/>
  <c r="P329" i="12"/>
  <c r="N290" i="1"/>
  <c r="O292" i="2"/>
  <c r="O55" i="3"/>
  <c r="N220" i="1"/>
  <c r="L271" i="14"/>
  <c r="O271" i="14" s="1"/>
  <c r="L120" i="1"/>
  <c r="O120" i="1" s="1"/>
  <c r="N8" i="3"/>
  <c r="O329" i="12"/>
  <c r="N11" i="1"/>
  <c r="N9" i="1" s="1"/>
  <c r="L28" i="6"/>
  <c r="O28" i="6" s="1"/>
  <c r="L28" i="12"/>
  <c r="O28" i="12" s="1"/>
  <c r="L250" i="9"/>
  <c r="O250" i="9" s="1"/>
  <c r="O140" i="10"/>
  <c r="L252" i="1"/>
  <c r="O252" i="1" s="1"/>
  <c r="N8" i="15"/>
  <c r="O252" i="2"/>
  <c r="L12" i="14"/>
  <c r="L10" i="14" s="1"/>
  <c r="O10" i="14" s="1"/>
  <c r="O22" i="14"/>
  <c r="L331" i="1"/>
  <c r="O331" i="1" s="1"/>
  <c r="O331" i="11"/>
  <c r="O273" i="15"/>
  <c r="L94" i="7"/>
  <c r="O94" i="7" s="1"/>
  <c r="L140" i="14"/>
  <c r="O140" i="14" s="1"/>
  <c r="M20" i="5"/>
  <c r="M18" i="5" s="1"/>
  <c r="P18" i="5" s="1"/>
  <c r="O55" i="8"/>
  <c r="L142" i="1"/>
  <c r="O142" i="1" s="1"/>
  <c r="L94" i="3"/>
  <c r="O94" i="3" s="1"/>
  <c r="O96" i="3"/>
  <c r="L12" i="15"/>
  <c r="O12" i="15" s="1"/>
  <c r="L66" i="9"/>
  <c r="O66" i="9" s="1"/>
  <c r="N37" i="7"/>
  <c r="O252" i="13"/>
  <c r="L250" i="13"/>
  <c r="O250" i="13" s="1"/>
  <c r="O55" i="11"/>
  <c r="L53" i="11"/>
  <c r="O53" i="11" s="1"/>
  <c r="L68" i="1"/>
  <c r="O68" i="1" s="1"/>
  <c r="L53" i="9"/>
  <c r="O53" i="9" s="1"/>
  <c r="O57" i="1"/>
  <c r="N8" i="9"/>
  <c r="P20" i="7"/>
  <c r="L53" i="5"/>
  <c r="O53" i="5" s="1"/>
  <c r="N8" i="13"/>
  <c r="O312" i="5"/>
  <c r="L310" i="5"/>
  <c r="O310" i="5" s="1"/>
  <c r="L140" i="3"/>
  <c r="O140" i="3" s="1"/>
  <c r="O142" i="3"/>
  <c r="M12" i="1"/>
  <c r="P22" i="1"/>
  <c r="N8" i="6"/>
  <c r="O331" i="7"/>
  <c r="L329" i="7"/>
  <c r="O329" i="7" s="1"/>
  <c r="P12" i="3"/>
  <c r="L290" i="15"/>
  <c r="O290" i="15" s="1"/>
  <c r="N310" i="1"/>
  <c r="O331" i="3"/>
  <c r="L329" i="3"/>
  <c r="O329" i="3" s="1"/>
  <c r="P250" i="15"/>
  <c r="P142" i="1"/>
  <c r="L250" i="8"/>
  <c r="O250" i="8" s="1"/>
  <c r="O252" i="8"/>
  <c r="L28" i="5"/>
  <c r="O28" i="5" s="1"/>
  <c r="N37" i="15"/>
  <c r="O34" i="1"/>
  <c r="L14" i="1"/>
  <c r="O14" i="1" s="1"/>
  <c r="O120" i="7"/>
  <c r="L118" i="7"/>
  <c r="O118" i="7" s="1"/>
  <c r="P310" i="15"/>
  <c r="M16" i="8"/>
  <c r="P16" i="8" s="1"/>
  <c r="P26" i="8"/>
  <c r="N30" i="1"/>
  <c r="N28" i="1" s="1"/>
  <c r="N12" i="1"/>
  <c r="O252" i="6"/>
  <c r="L250" i="6"/>
  <c r="O250" i="6" s="1"/>
  <c r="O29" i="4"/>
  <c r="L28" i="4"/>
  <c r="O28" i="4" s="1"/>
  <c r="O29" i="10"/>
  <c r="L28" i="10"/>
  <c r="O28" i="10" s="1"/>
  <c r="O331" i="14"/>
  <c r="L329" i="14"/>
  <c r="O329" i="14" s="1"/>
  <c r="O252" i="5"/>
  <c r="L250" i="5"/>
  <c r="O250" i="5" s="1"/>
  <c r="M140" i="1"/>
  <c r="M94" i="3"/>
  <c r="P96" i="3"/>
  <c r="M18" i="7"/>
  <c r="P18" i="7" s="1"/>
  <c r="M37" i="14"/>
  <c r="P37" i="14" s="1"/>
  <c r="M16" i="3"/>
  <c r="P26" i="3"/>
  <c r="M20" i="3"/>
  <c r="O142" i="6"/>
  <c r="L140" i="6"/>
  <c r="O140" i="6" s="1"/>
  <c r="M10" i="7"/>
  <c r="P10" i="7" s="1"/>
  <c r="P12" i="7"/>
  <c r="O292" i="8"/>
  <c r="L290" i="8"/>
  <c r="O290" i="8" s="1"/>
  <c r="P9" i="3"/>
  <c r="P20" i="8"/>
  <c r="M18" i="8"/>
  <c r="P18" i="8" s="1"/>
  <c r="P9" i="7"/>
  <c r="P18" i="14"/>
  <c r="N66" i="1"/>
  <c r="P12" i="4"/>
  <c r="O26" i="1"/>
  <c r="L16" i="1"/>
  <c r="O120" i="10"/>
  <c r="L118" i="10"/>
  <c r="N329" i="1"/>
  <c r="M16" i="6"/>
  <c r="P26" i="6"/>
  <c r="M20" i="6"/>
  <c r="P41" i="9"/>
  <c r="M37" i="9"/>
  <c r="P37" i="9" s="1"/>
  <c r="O29" i="8"/>
  <c r="L28" i="8"/>
  <c r="O28" i="8" s="1"/>
  <c r="L20" i="12"/>
  <c r="O22" i="12"/>
  <c r="L12" i="12"/>
  <c r="M10" i="9"/>
  <c r="P10" i="9" s="1"/>
  <c r="P12" i="9"/>
  <c r="O292" i="9"/>
  <c r="L290" i="9"/>
  <c r="O290" i="9" s="1"/>
  <c r="P12" i="8"/>
  <c r="P12" i="12"/>
  <c r="L9" i="3"/>
  <c r="O11" i="3"/>
  <c r="O292" i="5"/>
  <c r="L290" i="5"/>
  <c r="L9" i="8"/>
  <c r="O11" i="8"/>
  <c r="L20" i="10"/>
  <c r="O22" i="10"/>
  <c r="L12" i="10"/>
  <c r="P20" i="10"/>
  <c r="M18" i="10"/>
  <c r="P18" i="10" s="1"/>
  <c r="L292" i="1"/>
  <c r="O292" i="1" s="1"/>
  <c r="O96" i="14"/>
  <c r="L94" i="14"/>
  <c r="O94" i="14" s="1"/>
  <c r="L41" i="3"/>
  <c r="O43" i="3"/>
  <c r="O43" i="9"/>
  <c r="L41" i="9"/>
  <c r="P26" i="10"/>
  <c r="M16" i="10"/>
  <c r="P16" i="10" s="1"/>
  <c r="P20" i="9"/>
  <c r="M18" i="9"/>
  <c r="P18" i="9" s="1"/>
  <c r="L28" i="9"/>
  <c r="O28" i="9" s="1"/>
  <c r="O29" i="9"/>
  <c r="P9" i="2"/>
  <c r="L20" i="4"/>
  <c r="L12" i="4"/>
  <c r="O22" i="4"/>
  <c r="M10" i="14"/>
  <c r="P10" i="14" s="1"/>
  <c r="P12" i="14"/>
  <c r="L9" i="11"/>
  <c r="O11" i="11"/>
  <c r="O20" i="14"/>
  <c r="N250" i="1"/>
  <c r="O312" i="6"/>
  <c r="L310" i="6"/>
  <c r="O310" i="6" s="1"/>
  <c r="O29" i="11"/>
  <c r="L28" i="11"/>
  <c r="O28" i="11" s="1"/>
  <c r="O29" i="7"/>
  <c r="L28" i="7"/>
  <c r="O28" i="7" s="1"/>
  <c r="M37" i="7"/>
  <c r="O22" i="11"/>
  <c r="L12" i="11"/>
  <c r="L20" i="11"/>
  <c r="O29" i="14"/>
  <c r="L28" i="14"/>
  <c r="O28" i="14" s="1"/>
  <c r="O43" i="5"/>
  <c r="L41" i="5"/>
  <c r="P9" i="14"/>
  <c r="L9" i="15"/>
  <c r="O11" i="15"/>
  <c r="M10" i="15"/>
  <c r="P12" i="15"/>
  <c r="L41" i="12"/>
  <c r="O43" i="12"/>
  <c r="M220" i="1"/>
  <c r="L20" i="3"/>
  <c r="O22" i="3"/>
  <c r="L12" i="3"/>
  <c r="O43" i="6"/>
  <c r="L41" i="6"/>
  <c r="O22" i="9"/>
  <c r="L12" i="9"/>
  <c r="L20" i="9"/>
  <c r="O120" i="4"/>
  <c r="L118" i="4"/>
  <c r="P9" i="11"/>
  <c r="M8" i="11"/>
  <c r="P20" i="14"/>
  <c r="M37" i="12"/>
  <c r="P37" i="12" s="1"/>
  <c r="L28" i="3"/>
  <c r="O28" i="3" s="1"/>
  <c r="O29" i="3"/>
  <c r="L20" i="6"/>
  <c r="O22" i="6"/>
  <c r="L12" i="6"/>
  <c r="L9" i="9"/>
  <c r="O11" i="9"/>
  <c r="P41" i="15"/>
  <c r="M37" i="15"/>
  <c r="M271" i="1"/>
  <c r="P41" i="11"/>
  <c r="M37" i="11"/>
  <c r="O68" i="11"/>
  <c r="L66" i="11"/>
  <c r="O66" i="11" s="1"/>
  <c r="P9" i="9"/>
  <c r="O29" i="15"/>
  <c r="L28" i="15"/>
  <c r="O28" i="15" s="1"/>
  <c r="M118" i="1"/>
  <c r="P273" i="1"/>
  <c r="P9" i="12"/>
  <c r="P12" i="5"/>
  <c r="P20" i="13"/>
  <c r="M18" i="13"/>
  <c r="P18" i="13" s="1"/>
  <c r="O55" i="1"/>
  <c r="L53" i="1"/>
  <c r="L20" i="5"/>
  <c r="O22" i="5"/>
  <c r="L12" i="5"/>
  <c r="O9" i="10"/>
  <c r="P41" i="13"/>
  <c r="M37" i="13"/>
  <c r="O31" i="1"/>
  <c r="L29" i="1"/>
  <c r="L11" i="1"/>
  <c r="L312" i="1"/>
  <c r="O312" i="1" s="1"/>
  <c r="P26" i="4"/>
  <c r="M16" i="4"/>
  <c r="M20" i="4"/>
  <c r="O55" i="4"/>
  <c r="L53" i="4"/>
  <c r="O53" i="4" s="1"/>
  <c r="P9" i="4"/>
  <c r="O41" i="14"/>
  <c r="O222" i="13"/>
  <c r="L220" i="13"/>
  <c r="O220" i="13" s="1"/>
  <c r="P26" i="2"/>
  <c r="M16" i="2"/>
  <c r="M20" i="2"/>
  <c r="O9" i="4"/>
  <c r="L30" i="1"/>
  <c r="O32" i="1"/>
  <c r="O292" i="6"/>
  <c r="L290" i="6"/>
  <c r="O290" i="6" s="1"/>
  <c r="M66" i="1"/>
  <c r="O329" i="10"/>
  <c r="N118" i="1"/>
  <c r="O273" i="4"/>
  <c r="L271" i="4"/>
  <c r="O271" i="4" s="1"/>
  <c r="N140" i="1"/>
  <c r="N37" i="5"/>
  <c r="M290" i="1"/>
  <c r="P9" i="10"/>
  <c r="M10" i="13"/>
  <c r="P12" i="13"/>
  <c r="P9" i="6"/>
  <c r="O9" i="5"/>
  <c r="O41" i="2"/>
  <c r="N10" i="11"/>
  <c r="N8" i="11" s="1"/>
  <c r="P12" i="11"/>
  <c r="O22" i="13"/>
  <c r="L12" i="13"/>
  <c r="L20" i="13"/>
  <c r="O11" i="14"/>
  <c r="L9" i="14"/>
  <c r="N16" i="1"/>
  <c r="N20" i="1"/>
  <c r="N18" i="1" s="1"/>
  <c r="O9" i="6"/>
  <c r="L22" i="1"/>
  <c r="O45" i="1"/>
  <c r="L43" i="1"/>
  <c r="P331" i="2"/>
  <c r="M331" i="1"/>
  <c r="P331" i="1" s="1"/>
  <c r="M329" i="2"/>
  <c r="L9" i="13"/>
  <c r="O11" i="13"/>
  <c r="L96" i="1"/>
  <c r="O96" i="1" s="1"/>
  <c r="O22" i="7"/>
  <c r="L12" i="7"/>
  <c r="L20" i="7"/>
  <c r="O222" i="7"/>
  <c r="L220" i="7"/>
  <c r="O220" i="7" s="1"/>
  <c r="P49" i="1"/>
  <c r="M43" i="1"/>
  <c r="M26" i="1"/>
  <c r="P222" i="1"/>
  <c r="O11" i="7"/>
  <c r="L9" i="7"/>
  <c r="O220" i="3"/>
  <c r="P41" i="8"/>
  <c r="M37" i="8"/>
  <c r="P37" i="8" s="1"/>
  <c r="P12" i="10"/>
  <c r="O29" i="13"/>
  <c r="L28" i="13"/>
  <c r="O28" i="13" s="1"/>
  <c r="P312" i="2"/>
  <c r="M312" i="1"/>
  <c r="P312" i="1" s="1"/>
  <c r="M310" i="2"/>
  <c r="O68" i="4"/>
  <c r="L66" i="4"/>
  <c r="M250" i="1"/>
  <c r="P9" i="1"/>
  <c r="P9" i="5"/>
  <c r="P41" i="10"/>
  <c r="O43" i="4"/>
  <c r="L41" i="4"/>
  <c r="P68" i="1"/>
  <c r="O18" i="14"/>
  <c r="N10" i="2"/>
  <c r="N8" i="2" s="1"/>
  <c r="P12" i="2"/>
  <c r="O23" i="1"/>
  <c r="L13" i="1"/>
  <c r="O13" i="1" s="1"/>
  <c r="P43" i="6"/>
  <c r="M41" i="6"/>
  <c r="O12" i="2" l="1"/>
  <c r="L8" i="2"/>
  <c r="O8" i="2" s="1"/>
  <c r="M18" i="12"/>
  <c r="P18" i="12" s="1"/>
  <c r="P37" i="7"/>
  <c r="L10" i="8"/>
  <c r="O10" i="8" s="1"/>
  <c r="L37" i="2"/>
  <c r="O37" i="2" s="1"/>
  <c r="O53" i="1"/>
  <c r="P37" i="13"/>
  <c r="P329" i="10"/>
  <c r="O310" i="2"/>
  <c r="P250" i="1"/>
  <c r="M10" i="12"/>
  <c r="P10" i="12" s="1"/>
  <c r="M10" i="5"/>
  <c r="P10" i="5" s="1"/>
  <c r="P37" i="10"/>
  <c r="P37" i="11"/>
  <c r="L18" i="8"/>
  <c r="O18" i="8" s="1"/>
  <c r="P271" i="1"/>
  <c r="M37" i="4"/>
  <c r="P37" i="4" s="1"/>
  <c r="M18" i="15"/>
  <c r="P18" i="15" s="1"/>
  <c r="P220" i="1"/>
  <c r="M37" i="5"/>
  <c r="P37" i="5" s="1"/>
  <c r="O20" i="15"/>
  <c r="P20" i="5"/>
  <c r="M10" i="10"/>
  <c r="P10" i="10" s="1"/>
  <c r="O12" i="14"/>
  <c r="P290" i="1"/>
  <c r="M10" i="8"/>
  <c r="P10" i="8" s="1"/>
  <c r="L310" i="1"/>
  <c r="O310" i="1" s="1"/>
  <c r="L250" i="1"/>
  <c r="O250" i="1" s="1"/>
  <c r="L37" i="15"/>
  <c r="O37" i="15" s="1"/>
  <c r="L10" i="15"/>
  <c r="O10" i="15" s="1"/>
  <c r="O30" i="1"/>
  <c r="L329" i="1"/>
  <c r="O329" i="1" s="1"/>
  <c r="L94" i="1"/>
  <c r="O94" i="1" s="1"/>
  <c r="P66" i="1"/>
  <c r="M8" i="7"/>
  <c r="P8" i="7" s="1"/>
  <c r="P140" i="1"/>
  <c r="P37" i="15"/>
  <c r="P12" i="1"/>
  <c r="L37" i="11"/>
  <c r="O37" i="11" s="1"/>
  <c r="L220" i="1"/>
  <c r="O220" i="1" s="1"/>
  <c r="P94" i="3"/>
  <c r="M37" i="3"/>
  <c r="P37" i="3" s="1"/>
  <c r="M8" i="9"/>
  <c r="P8" i="9" s="1"/>
  <c r="N37" i="1"/>
  <c r="P20" i="3"/>
  <c r="M18" i="3"/>
  <c r="P18" i="3" s="1"/>
  <c r="P10" i="11"/>
  <c r="N10" i="1"/>
  <c r="N8" i="1" s="1"/>
  <c r="P16" i="3"/>
  <c r="M10" i="3"/>
  <c r="M94" i="1"/>
  <c r="P94" i="1" s="1"/>
  <c r="L140" i="1"/>
  <c r="O140" i="1" s="1"/>
  <c r="P310" i="2"/>
  <c r="M310" i="1"/>
  <c r="P310" i="1" s="1"/>
  <c r="M37" i="2"/>
  <c r="P37" i="2" s="1"/>
  <c r="P43" i="1"/>
  <c r="M41" i="1"/>
  <c r="O9" i="14"/>
  <c r="L8" i="14"/>
  <c r="O8" i="14" s="1"/>
  <c r="L37" i="14"/>
  <c r="O37" i="14" s="1"/>
  <c r="P16" i="4"/>
  <c r="M10" i="4"/>
  <c r="P10" i="15"/>
  <c r="M8" i="15"/>
  <c r="P8" i="15" s="1"/>
  <c r="M8" i="14"/>
  <c r="P8" i="14" s="1"/>
  <c r="O12" i="11"/>
  <c r="L10" i="11"/>
  <c r="O10" i="11" s="1"/>
  <c r="O9" i="11"/>
  <c r="O12" i="12"/>
  <c r="L10" i="12"/>
  <c r="O20" i="7"/>
  <c r="L18" i="7"/>
  <c r="O18" i="7" s="1"/>
  <c r="O9" i="13"/>
  <c r="O22" i="1"/>
  <c r="L12" i="1"/>
  <c r="L20" i="1"/>
  <c r="P118" i="1"/>
  <c r="O20" i="6"/>
  <c r="L18" i="6"/>
  <c r="O18" i="6" s="1"/>
  <c r="O12" i="3"/>
  <c r="L10" i="3"/>
  <c r="O10" i="3" s="1"/>
  <c r="L37" i="13"/>
  <c r="O37" i="13" s="1"/>
  <c r="O41" i="3"/>
  <c r="L37" i="3"/>
  <c r="O37" i="3" s="1"/>
  <c r="O20" i="10"/>
  <c r="L18" i="10"/>
  <c r="O18" i="10" s="1"/>
  <c r="P16" i="6"/>
  <c r="M10" i="6"/>
  <c r="L10" i="7"/>
  <c r="O10" i="7" s="1"/>
  <c r="O12" i="7"/>
  <c r="L10" i="13"/>
  <c r="O10" i="13" s="1"/>
  <c r="O12" i="13"/>
  <c r="P20" i="2"/>
  <c r="M18" i="2"/>
  <c r="P18" i="2" s="1"/>
  <c r="O11" i="1"/>
  <c r="L9" i="1"/>
  <c r="O20" i="3"/>
  <c r="L18" i="3"/>
  <c r="O18" i="3" s="1"/>
  <c r="L271" i="1"/>
  <c r="O271" i="1" s="1"/>
  <c r="O9" i="8"/>
  <c r="O118" i="10"/>
  <c r="L37" i="10"/>
  <c r="O37" i="10" s="1"/>
  <c r="P16" i="2"/>
  <c r="M10" i="2"/>
  <c r="O29" i="1"/>
  <c r="L28" i="1"/>
  <c r="O28" i="1" s="1"/>
  <c r="O20" i="5"/>
  <c r="L18" i="5"/>
  <c r="O18" i="5" s="1"/>
  <c r="P8" i="11"/>
  <c r="O20" i="9"/>
  <c r="L18" i="9"/>
  <c r="O18" i="9" s="1"/>
  <c r="L10" i="4"/>
  <c r="O12" i="4"/>
  <c r="O290" i="5"/>
  <c r="L290" i="1"/>
  <c r="O290" i="1" s="1"/>
  <c r="O118" i="4"/>
  <c r="L118" i="1"/>
  <c r="O118" i="1" s="1"/>
  <c r="L10" i="9"/>
  <c r="O10" i="9" s="1"/>
  <c r="O12" i="9"/>
  <c r="O10" i="2"/>
  <c r="O20" i="4"/>
  <c r="L18" i="4"/>
  <c r="O18" i="4" s="1"/>
  <c r="O16" i="1"/>
  <c r="O20" i="13"/>
  <c r="L18" i="13"/>
  <c r="O18" i="13" s="1"/>
  <c r="O41" i="5"/>
  <c r="L37" i="5"/>
  <c r="O37" i="5" s="1"/>
  <c r="O20" i="12"/>
  <c r="L18" i="12"/>
  <c r="O18" i="12" s="1"/>
  <c r="M37" i="6"/>
  <c r="P37" i="6" s="1"/>
  <c r="P41" i="6"/>
  <c r="P329" i="2"/>
  <c r="M329" i="1"/>
  <c r="P329" i="1" s="1"/>
  <c r="O41" i="4"/>
  <c r="L37" i="4"/>
  <c r="O37" i="4" s="1"/>
  <c r="O66" i="4"/>
  <c r="L66" i="1"/>
  <c r="O66" i="1" s="1"/>
  <c r="L37" i="8"/>
  <c r="O37" i="8" s="1"/>
  <c r="P10" i="13"/>
  <c r="M8" i="13"/>
  <c r="P8" i="13" s="1"/>
  <c r="O9" i="9"/>
  <c r="O41" i="12"/>
  <c r="L37" i="12"/>
  <c r="O37" i="12" s="1"/>
  <c r="O41" i="9"/>
  <c r="L37" i="9"/>
  <c r="O37" i="9" s="1"/>
  <c r="O12" i="5"/>
  <c r="L10" i="5"/>
  <c r="O9" i="7"/>
  <c r="M16" i="1"/>
  <c r="P26" i="1"/>
  <c r="M20" i="1"/>
  <c r="O43" i="1"/>
  <c r="L41" i="1"/>
  <c r="P20" i="4"/>
  <c r="M18" i="4"/>
  <c r="P18" i="4" s="1"/>
  <c r="O12" i="6"/>
  <c r="L10" i="6"/>
  <c r="L37" i="7"/>
  <c r="O37" i="7" s="1"/>
  <c r="L37" i="6"/>
  <c r="O37" i="6" s="1"/>
  <c r="O41" i="6"/>
  <c r="O9" i="15"/>
  <c r="O20" i="11"/>
  <c r="L18" i="11"/>
  <c r="O18" i="11" s="1"/>
  <c r="L10" i="10"/>
  <c r="O12" i="10"/>
  <c r="O9" i="3"/>
  <c r="P20" i="6"/>
  <c r="M18" i="6"/>
  <c r="P18" i="6" s="1"/>
  <c r="M8" i="5" l="1"/>
  <c r="P8" i="5" s="1"/>
  <c r="L8" i="8"/>
  <c r="O8" i="8" s="1"/>
  <c r="M8" i="12"/>
  <c r="P8" i="12" s="1"/>
  <c r="L8" i="9"/>
  <c r="O8" i="9" s="1"/>
  <c r="M8" i="8"/>
  <c r="P8" i="8" s="1"/>
  <c r="L8" i="3"/>
  <c r="O8" i="3" s="1"/>
  <c r="M8" i="10"/>
  <c r="P8" i="10" s="1"/>
  <c r="L8" i="7"/>
  <c r="O8" i="7" s="1"/>
  <c r="L8" i="15"/>
  <c r="O8" i="15" s="1"/>
  <c r="L8" i="13"/>
  <c r="O8" i="13" s="1"/>
  <c r="P10" i="3"/>
  <c r="M8" i="3"/>
  <c r="P8" i="3" s="1"/>
  <c r="O41" i="1"/>
  <c r="L37" i="1"/>
  <c r="O37" i="1" s="1"/>
  <c r="O9" i="1"/>
  <c r="P10" i="6"/>
  <c r="M8" i="6"/>
  <c r="P8" i="6" s="1"/>
  <c r="O10" i="10"/>
  <c r="L8" i="10"/>
  <c r="O8" i="10" s="1"/>
  <c r="P20" i="1"/>
  <c r="M18" i="1"/>
  <c r="P18" i="1" s="1"/>
  <c r="P41" i="1"/>
  <c r="M37" i="1"/>
  <c r="P37" i="1" s="1"/>
  <c r="P16" i="1"/>
  <c r="M10" i="1"/>
  <c r="O10" i="4"/>
  <c r="L8" i="4"/>
  <c r="O8" i="4" s="1"/>
  <c r="O10" i="6"/>
  <c r="L8" i="6"/>
  <c r="O8" i="6" s="1"/>
  <c r="P10" i="2"/>
  <c r="M8" i="2"/>
  <c r="P8" i="2" s="1"/>
  <c r="O10" i="12"/>
  <c r="L8" i="12"/>
  <c r="O8" i="12" s="1"/>
  <c r="O20" i="1"/>
  <c r="L18" i="1"/>
  <c r="O18" i="1" s="1"/>
  <c r="P10" i="4"/>
  <c r="M8" i="4"/>
  <c r="P8" i="4" s="1"/>
  <c r="O10" i="5"/>
  <c r="L8" i="5"/>
  <c r="O8" i="5" s="1"/>
  <c r="L10" i="1"/>
  <c r="O10" i="1" s="1"/>
  <c r="O12" i="1"/>
  <c r="L8" i="11"/>
  <c r="O8" i="11" s="1"/>
  <c r="P10" i="1" l="1"/>
  <c r="M8" i="1"/>
  <c r="P8" i="1" s="1"/>
  <c r="L8" i="1"/>
  <c r="O8" i="1" s="1"/>
</calcChain>
</file>

<file path=xl/sharedStrings.xml><?xml version="1.0" encoding="utf-8"?>
<sst xmlns="http://schemas.openxmlformats.org/spreadsheetml/2006/main" count="18750" uniqueCount="269">
  <si>
    <t>รายละเอียดแผนงาน/โครงการ ผลผลิต/กิจกรรม ปีงบประมาณ พ.ศ. 2565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</si>
  <si>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</si>
  <si>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</si>
  <si>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</si>
  <si>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</si>
  <si>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</si>
  <si>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</si>
  <si>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</si>
  <si>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</si>
  <si>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</si>
  <si>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</si>
  <si>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</si>
  <si>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</si>
  <si>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</si>
  <si>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</si>
  <si>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</si>
  <si>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</si>
  <si>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</si>
  <si>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</si>
  <si>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</si>
  <si>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</si>
  <si>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</si>
  <si>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</si>
  <si>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</si>
  <si>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</si>
  <si>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</si>
  <si>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</si>
  <si>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</si>
  <si>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</si>
  <si>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</si>
  <si>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</si>
  <si>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</si>
  <si>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</si>
  <si>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</si>
  <si>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</si>
  <si>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</si>
  <si>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</si>
  <si>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</si>
  <si>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งบประมาณ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</si>
  <si>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</si>
  <si>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</si>
  <si>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</si>
  <si>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</si>
  <si>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</si>
  <si>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</si>
  <si>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</si>
  <si>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</si>
  <si>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</si>
  <si>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</si>
  <si>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</si>
  <si>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</si>
  <si>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</si>
  <si>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</si>
  <si>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</si>
  <si>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</si>
  <si>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</si>
  <si>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</si>
  <si>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</si>
  <si>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</si>
  <si>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</si>
  <si>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</si>
  <si>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</si>
  <si>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</si>
  <si>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</si>
  <si>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</si>
  <si>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</si>
  <si>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</si>
  <si>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</si>
  <si>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</si>
  <si>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</si>
  <si>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</si>
  <si>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</si>
  <si>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</si>
  <si>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</si>
  <si>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</si>
  <si>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</si>
  <si>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</si>
  <si>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</si>
  <si>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</si>
  <si>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</si>
  <si>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</si>
  <si>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</si>
  <si>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</si>
  <si>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</si>
  <si>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</si>
  <si>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</si>
  <si>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</si>
  <si>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</si>
  <si>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</si>
  <si>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</si>
  <si>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</si>
  <si>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</si>
  <si>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</si>
  <si>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</si>
  <si>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</si>
  <si>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</si>
  <si>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</si>
  <si>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</si>
  <si>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</si>
  <si>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</si>
  <si>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</si>
  <si>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</si>
  <si>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</si>
  <si>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</si>
  <si>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</si>
  <si>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</si>
  <si>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</si>
  <si>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</si>
  <si>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</si>
  <si>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</si>
  <si>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</si>
  <si>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</si>
  <si>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</si>
  <si>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</si>
  <si>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</si>
  <si>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</si>
  <si>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</si>
  <si>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</si>
  <si>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</si>
  <si>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</si>
  <si>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</si>
  <si>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</si>
  <si>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</si>
  <si>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</si>
  <si>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</si>
  <si>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</si>
  <si>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</si>
  <si>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</si>
  <si>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</si>
  <si>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</si>
  <si>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</si>
  <si>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</si>
  <si>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</si>
  <si>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</si>
  <si>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</si>
  <si>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</si>
  <si>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</si>
  <si>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</si>
  <si>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</si>
  <si>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</si>
  <si>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</si>
  <si>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</si>
  <si>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</si>
  <si>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</si>
  <si>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</si>
  <si>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</si>
  <si>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</si>
  <si>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</si>
  <si>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</si>
  <si>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</si>
  <si>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</si>
  <si>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</si>
  <si>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</si>
  <si>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</si>
  <si>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</si>
  <si>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</si>
  <si>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</si>
  <si>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</si>
  <si>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</si>
  <si>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</si>
  <si>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</si>
  <si>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</si>
  <si>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</si>
  <si>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</si>
  <si>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</si>
  <si>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</si>
  <si>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</si>
  <si>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</si>
  <si>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</si>
  <si>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</si>
  <si>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</si>
  <si>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</si>
  <si>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</si>
  <si>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</si>
  <si>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</si>
  <si>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</si>
  <si>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</si>
  <si>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</si>
  <si>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</si>
  <si>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</si>
  <si>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</si>
  <si>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</si>
  <si>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</si>
  <si>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</si>
  <si>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</si>
  <si>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</si>
  <si>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</si>
  <si>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</si>
  <si>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</si>
  <si>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</si>
  <si>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</si>
  <si>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</si>
  <si>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</si>
  <si>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</si>
  <si>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</si>
  <si>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</si>
  <si>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</si>
  <si>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</si>
  <si>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</si>
  <si>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</si>
  <si>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</si>
  <si>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</si>
  <si>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</si>
  <si>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</si>
  <si>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</si>
  <si>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</si>
  <si>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</si>
  <si>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</si>
  <si>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</si>
  <si>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</si>
  <si>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</si>
  <si>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</si>
  <si>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</si>
  <si>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</si>
  <si>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</si>
  <si>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</si>
  <si>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</si>
  <si>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</si>
  <si>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</si>
  <si>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</si>
  <si>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</si>
  <si>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</si>
  <si>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</si>
  <si>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</si>
  <si>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</si>
  <si>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</si>
  <si>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</si>
  <si>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</si>
  <si>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</si>
  <si>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</si>
  <si>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</si>
  <si>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</si>
  <si>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</si>
  <si>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</si>
  <si>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</si>
  <si>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</si>
  <si>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</si>
  <si>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</si>
  <si>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กระบี่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</si>
  <si>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</si>
  <si>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ชุมพร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</si>
  <si>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</si>
  <si>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ตรัง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</si>
  <si>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</si>
  <si>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นครศรีธรรมราช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</si>
  <si>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</si>
  <si>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นราธิวาส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</si>
  <si>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</si>
  <si>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76,000 งบลงทุน 904,000)</t>
  </si>
  <si>
    <t>สำนักงานการปฏิรูปที่ดินจังหวัด ปัตตานี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</si>
  <si>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</si>
  <si>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พังงา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</si>
  <si>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</si>
  <si>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พัทลุง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</si>
  <si>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</si>
  <si>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110,900 งบลงทุน 103,000)</t>
  </si>
  <si>
    <t>สำนักงานการปฏิรูปที่ดินจังหวัด ภูเก็ต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</si>
  <si>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</si>
  <si>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ยะลา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</si>
  <si>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</si>
  <si>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ระนอง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</si>
  <si>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</si>
  <si>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สงขลา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</si>
  <si>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</si>
  <si>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สตูล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</si>
  <si>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</si>
  <si>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สุราษฎร์ธานี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</si>
  <si>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</si>
  <si>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15 มีนาคม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</si>
</sst>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2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b/>
      <sz val="15"/>
      <color theme="0"/>
      <name val="Calibri"/>
      <scheme val="minor"/>
    </font>
    <font>
      <sz val="11"/>
      <name val="Calibri"/>
    </font>
    <font>
      <b/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theme="0"/>
      <name val="Calibri"/>
      <scheme val="minor"/>
    </font>
    <font>
      <b/>
      <u/>
      <sz val="15"/>
      <color theme="1"/>
      <name val="Calibri"/>
    </font>
    <font>
      <b/>
      <u/>
      <sz val="15"/>
      <color rgb="FFCC4125"/>
      <name val="Calibri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53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/>
    <xf numFmtId="189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>
      <alignment horizontal="center"/>
    </xf>
    <xf numFmtId="188" fontId="5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8" fillId="11" borderId="12" xfId="0" applyFont="1" applyFill="1" applyBorder="1" applyAlignment="1">
      <alignment horizontal="left"/>
    </xf>
    <xf numFmtId="189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/>
    <xf numFmtId="0" fontId="5" fillId="12" borderId="13" xfId="0" applyFont="1" applyFill="1" applyBorder="1" applyAlignment="1"/>
    <xf numFmtId="0" fontId="5" fillId="12" borderId="15" xfId="0" applyFont="1" applyFill="1" applyBorder="1" applyAlignment="1">
      <alignment horizontal="center"/>
    </xf>
    <xf numFmtId="189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/>
    <xf numFmtId="0" fontId="5" fillId="13" borderId="17" xfId="0" applyFont="1" applyFill="1" applyBorder="1" applyAlignment="1"/>
    <xf numFmtId="0" fontId="5" fillId="13" borderId="18" xfId="0" applyFont="1" applyFill="1" applyBorder="1" applyAlignment="1">
      <alignment horizontal="left"/>
    </xf>
    <xf numFmtId="0" fontId="5" fillId="13" borderId="18" xfId="0" applyFont="1" applyFill="1" applyBorder="1" applyAlignment="1"/>
    <xf numFmtId="0" fontId="5" fillId="13" borderId="19" xfId="0" applyFont="1" applyFill="1" applyBorder="1" applyAlignment="1">
      <alignment horizontal="center"/>
    </xf>
    <xf numFmtId="189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188" fontId="11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188" fontId="2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14" fillId="2" borderId="30" xfId="0" quotePrefix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5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6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7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8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3" fillId="2" borderId="17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horizontal="left" vertical="center"/>
    </xf>
    <xf numFmtId="0" fontId="19" fillId="2" borderId="18" xfId="0" quotePrefix="1" applyFont="1" applyFill="1" applyBorder="1" applyAlignment="1">
      <alignment vertical="center"/>
    </xf>
    <xf numFmtId="0" fontId="19" fillId="2" borderId="18" xfId="0" applyFont="1" applyFill="1" applyBorder="1" applyAlignment="1">
      <alignment vertical="center"/>
    </xf>
    <xf numFmtId="0" fontId="19" fillId="2" borderId="20" xfId="0" applyFont="1" applyFill="1" applyBorder="1" applyAlignment="1">
      <alignment vertical="center"/>
    </xf>
    <xf numFmtId="0" fontId="19" fillId="2" borderId="19" xfId="0" applyFont="1" applyFill="1" applyBorder="1" applyAlignment="1">
      <alignment horizontal="center" vertical="center" wrapText="1"/>
    </xf>
    <xf numFmtId="189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8" fontId="1" fillId="10" borderId="19" xfId="0" applyNumberFormat="1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4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4" fillId="0" borderId="6" xfId="0" applyFont="1" applyBorder="1"/>
    <xf numFmtId="0" fontId="4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5" fillId="8" borderId="5" xfId="0" applyFont="1" applyFill="1" applyBorder="1" applyAlignment="1">
      <alignment horizontal="left"/>
    </xf>
    <xf numFmtId="0" fontId="6" fillId="9" borderId="14" xfId="0" applyFont="1" applyFill="1" applyBorder="1" applyAlignment="1">
      <alignment horizontal="left"/>
    </xf>
    <xf numFmtId="0" fontId="4" fillId="0" borderId="14" xfId="0" applyFont="1" applyBorder="1"/>
    <xf numFmtId="0" fontId="7" fillId="2" borderId="18" xfId="0" applyFont="1" applyFill="1" applyBorder="1" applyAlignment="1">
      <alignment horizontal="left"/>
    </xf>
    <xf numFmtId="0" fontId="4" fillId="0" borderId="18" xfId="0" applyFont="1" applyBorder="1"/>
    <xf numFmtId="0" fontId="5" fillId="11" borderId="5" xfId="0" applyFont="1" applyFill="1" applyBorder="1" applyAlignment="1">
      <alignment horizontal="left"/>
    </xf>
    <xf numFmtId="0" fontId="5" fillId="12" borderId="14" xfId="0" applyFont="1" applyFill="1" applyBorder="1" applyAlignment="1">
      <alignment horizontal="left"/>
    </xf>
    <xf numFmtId="0" fontId="9" fillId="14" borderId="18" xfId="0" applyFont="1" applyFill="1" applyBorder="1" applyAlignment="1">
      <alignment horizontal="left"/>
    </xf>
    <xf numFmtId="0" fontId="10" fillId="15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12" fillId="19" borderId="18" xfId="0" applyFont="1" applyFill="1" applyBorder="1" applyAlignment="1">
      <alignment horizontal="left"/>
    </xf>
    <xf numFmtId="0" fontId="13" fillId="2" borderId="14" xfId="0" applyFont="1" applyFill="1" applyBorder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activeCell="G23" sqref="G23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1.269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27" t="s">
        <v>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</row>
    <row r="2" spans="1:16" ht="18" customHeight="1" x14ac:dyDescent="0.35">
      <c r="A2" s="527" t="s">
        <v>1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</row>
    <row r="3" spans="1:16" ht="18" customHeight="1" x14ac:dyDescent="0.35">
      <c r="A3" s="527" t="s">
        <v>268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5" t="s">
        <v>2</v>
      </c>
      <c r="B5" s="536"/>
      <c r="C5" s="536"/>
      <c r="D5" s="536"/>
      <c r="E5" s="536"/>
      <c r="F5" s="536"/>
      <c r="G5" s="537"/>
      <c r="H5" s="528" t="s">
        <v>3</v>
      </c>
      <c r="I5" s="530" t="s">
        <v>4</v>
      </c>
      <c r="J5" s="531"/>
      <c r="K5" s="532"/>
      <c r="L5" s="533" t="s">
        <v>5</v>
      </c>
      <c r="M5" s="532"/>
      <c r="N5" s="534" t="s">
        <v>6</v>
      </c>
      <c r="O5" s="531"/>
      <c r="P5" s="532"/>
    </row>
    <row r="6" spans="1:16" ht="21.75" customHeight="1" x14ac:dyDescent="0.35">
      <c r="A6" s="538"/>
      <c r="B6" s="539"/>
      <c r="C6" s="539"/>
      <c r="D6" s="539"/>
      <c r="E6" s="539"/>
      <c r="F6" s="539"/>
      <c r="G6" s="540"/>
      <c r="H6" s="52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1" t="s">
        <v>15</v>
      </c>
      <c r="B7" s="531"/>
      <c r="C7" s="531"/>
      <c r="D7" s="531"/>
      <c r="E7" s="531"/>
      <c r="F7" s="531"/>
      <c r="G7" s="53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2" t="s">
        <v>17</v>
      </c>
      <c r="E8" s="543"/>
      <c r="F8" s="543"/>
      <c r="G8" s="543"/>
      <c r="H8" s="20" t="s">
        <v>12</v>
      </c>
      <c r="I8" s="21"/>
      <c r="J8" s="21"/>
      <c r="K8" s="22"/>
      <c r="L8" s="23">
        <f t="shared" ref="L8:N8" ca="1" si="0">L9+L10</f>
        <v>62970389</v>
      </c>
      <c r="M8" s="23">
        <f t="shared" ca="1" si="0"/>
        <v>29176984</v>
      </c>
      <c r="N8" s="23">
        <f t="shared" ca="1" si="0"/>
        <v>23900164</v>
      </c>
      <c r="O8" s="22">
        <f t="shared" ref="O8:O16" ca="1" si="1">IF(L8&gt;0,N8*100/L8,0)</f>
        <v>37.954607521957662</v>
      </c>
      <c r="P8" s="22">
        <f t="shared" ref="P8:P16" ca="1" si="2">IF(M8&gt;0,N8*100/M8,0)</f>
        <v>81.914443247458337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62970389</v>
      </c>
      <c r="M10" s="30">
        <f t="shared" ca="1" si="4"/>
        <v>29176984</v>
      </c>
      <c r="N10" s="30">
        <f t="shared" ca="1" si="4"/>
        <v>23900164</v>
      </c>
      <c r="O10" s="29">
        <f t="shared" ca="1" si="1"/>
        <v>37.954607521957662</v>
      </c>
      <c r="P10" s="29">
        <f t="shared" ca="1" si="2"/>
        <v>81.914443247458337</v>
      </c>
    </row>
    <row r="11" spans="1:16" ht="21.75" customHeight="1" x14ac:dyDescent="0.45">
      <c r="A11" s="31"/>
      <c r="B11" s="32"/>
      <c r="C11" s="33" t="s">
        <v>16</v>
      </c>
      <c r="D11" s="544" t="s">
        <v>20</v>
      </c>
      <c r="E11" s="545"/>
      <c r="F11" s="54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53243119</v>
      </c>
      <c r="M12" s="38">
        <f t="shared" ca="1" si="6"/>
        <v>19449714</v>
      </c>
      <c r="N12" s="38">
        <f t="shared" ca="1" si="6"/>
        <v>20694894</v>
      </c>
      <c r="O12" s="38">
        <f t="shared" ca="1" si="1"/>
        <v>38.868673339741797</v>
      </c>
      <c r="P12" s="38">
        <f t="shared" ca="1" si="2"/>
        <v>106.40204786558816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23850900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28385219</v>
      </c>
      <c r="M14" s="38">
        <f t="shared" si="8"/>
        <v>0</v>
      </c>
      <c r="N14" s="38">
        <f t="shared" ca="1" si="8"/>
        <v>5136028.9999999981</v>
      </c>
      <c r="O14" s="41">
        <f t="shared" ca="1" si="1"/>
        <v>18.094026331098583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44" t="s">
        <v>23</v>
      </c>
      <c r="E15" s="54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9727270</v>
      </c>
      <c r="M16" s="38">
        <f t="shared" ca="1" si="10"/>
        <v>9727270</v>
      </c>
      <c r="N16" s="38">
        <f t="shared" ca="1" si="10"/>
        <v>3205270</v>
      </c>
      <c r="O16" s="50">
        <f t="shared" ca="1" si="1"/>
        <v>32.951383070481235</v>
      </c>
      <c r="P16" s="50">
        <f t="shared" ca="1" si="2"/>
        <v>32.951383070481235</v>
      </c>
    </row>
    <row r="17" spans="1:16" ht="21.75" customHeight="1" x14ac:dyDescent="0.45">
      <c r="A17" s="541" t="s">
        <v>24</v>
      </c>
      <c r="B17" s="531"/>
      <c r="C17" s="531"/>
      <c r="D17" s="531"/>
      <c r="E17" s="531"/>
      <c r="F17" s="531"/>
      <c r="G17" s="53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2" t="s">
        <v>17</v>
      </c>
      <c r="E18" s="543"/>
      <c r="F18" s="543"/>
      <c r="G18" s="543"/>
      <c r="H18" s="20" t="s">
        <v>12</v>
      </c>
      <c r="I18" s="21"/>
      <c r="J18" s="21"/>
      <c r="K18" s="22"/>
      <c r="L18" s="23">
        <f t="shared" ref="L18:N18" ca="1" si="11">L19+L20</f>
        <v>44678395</v>
      </c>
      <c r="M18" s="23">
        <f t="shared" ca="1" si="11"/>
        <v>29176984</v>
      </c>
      <c r="N18" s="23">
        <f t="shared" ca="1" si="11"/>
        <v>18764135</v>
      </c>
      <c r="O18" s="22">
        <f t="shared" ref="O18:O26" ca="1" si="12">IF(L18&gt;0,N18*100/L18,0)</f>
        <v>41.998229793169607</v>
      </c>
      <c r="P18" s="22">
        <f t="shared" ref="P18:P26" ca="1" si="13">IF(M18&gt;0,N18*100/M18,0)</f>
        <v>64.311427802133352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44678395</v>
      </c>
      <c r="M20" s="30">
        <f t="shared" ca="1" si="15"/>
        <v>29176984</v>
      </c>
      <c r="N20" s="30">
        <f t="shared" ca="1" si="15"/>
        <v>18764135</v>
      </c>
      <c r="O20" s="29">
        <f t="shared" ca="1" si="12"/>
        <v>41.998229793169607</v>
      </c>
      <c r="P20" s="29">
        <f t="shared" ca="1" si="13"/>
        <v>64.311427802133352</v>
      </c>
    </row>
    <row r="21" spans="1:16" ht="21.75" customHeight="1" x14ac:dyDescent="0.45">
      <c r="A21" s="31"/>
      <c r="B21" s="32"/>
      <c r="C21" s="33" t="s">
        <v>16</v>
      </c>
      <c r="D21" s="544" t="s">
        <v>20</v>
      </c>
      <c r="E21" s="545"/>
      <c r="F21" s="54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si="12"/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7">L45+L57+L70+L98+L122+L144+L224+L254+L275+L294+L314+L333</f>
        <v>34951125</v>
      </c>
      <c r="M22" s="42">
        <f t="shared" ca="1" si="17"/>
        <v>19449714</v>
      </c>
      <c r="N22" s="41">
        <f t="shared" ca="1" si="17"/>
        <v>15558865</v>
      </c>
      <c r="O22" s="41">
        <f t="shared" ca="1" si="12"/>
        <v>44.516063502963064</v>
      </c>
      <c r="P22" s="41">
        <f t="shared" ca="1" si="13"/>
        <v>79.995340805525473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8">L46+L58+L71+L99+L123+L145+L225+L255+L276+L295+L315+L334</f>
        <v>23850900</v>
      </c>
      <c r="M23" s="42">
        <f t="shared" si="18"/>
        <v>0</v>
      </c>
      <c r="N23" s="41">
        <f t="shared" si="18"/>
        <v>0</v>
      </c>
      <c r="O23" s="41">
        <f t="shared" ca="1" si="12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19">L47+L59+L72+L100+L124+L146+L226+L256+L277+L296+L316+L335</f>
        <v>11100225</v>
      </c>
      <c r="M24" s="42">
        <f t="shared" si="19"/>
        <v>0</v>
      </c>
      <c r="N24" s="41">
        <f t="shared" si="19"/>
        <v>0</v>
      </c>
      <c r="O24" s="41">
        <f t="shared" ca="1" si="12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44" t="s">
        <v>23</v>
      </c>
      <c r="E25" s="54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9727270</v>
      </c>
      <c r="M26" s="50">
        <f t="shared" ca="1" si="21"/>
        <v>9727270</v>
      </c>
      <c r="N26" s="50">
        <f t="shared" ca="1" si="21"/>
        <v>3205270</v>
      </c>
      <c r="O26" s="50">
        <f t="shared" ca="1" si="12"/>
        <v>32.951383070481235</v>
      </c>
      <c r="P26" s="50">
        <f t="shared" ca="1" si="13"/>
        <v>32.951383070481235</v>
      </c>
    </row>
    <row r="27" spans="1:16" ht="21.75" customHeight="1" x14ac:dyDescent="0.45">
      <c r="A27" s="541" t="s">
        <v>25</v>
      </c>
      <c r="B27" s="531"/>
      <c r="C27" s="531"/>
      <c r="D27" s="531"/>
      <c r="E27" s="531"/>
      <c r="F27" s="531"/>
      <c r="G27" s="53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2" t="s">
        <v>17</v>
      </c>
      <c r="E28" s="543"/>
      <c r="F28" s="543"/>
      <c r="G28" s="543"/>
      <c r="H28" s="20" t="s">
        <v>12</v>
      </c>
      <c r="I28" s="21"/>
      <c r="J28" s="21"/>
      <c r="K28" s="22"/>
      <c r="L28" s="23">
        <f t="shared" ref="L28:N28" ca="1" si="22">L29+L30</f>
        <v>18291994</v>
      </c>
      <c r="M28" s="23">
        <f t="shared" si="22"/>
        <v>0</v>
      </c>
      <c r="N28" s="23">
        <f t="shared" ca="1" si="22"/>
        <v>5136028.9999999981</v>
      </c>
      <c r="O28" s="22">
        <f t="shared" ref="O28:O30" ca="1" si="23">IF(L28&gt;0,N28*100/L28,0)</f>
        <v>28.078015988852819</v>
      </c>
      <c r="P28" s="22">
        <f t="shared" ref="P28:P37" si="24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18291994</v>
      </c>
      <c r="M30" s="30">
        <f t="shared" si="26"/>
        <v>0</v>
      </c>
      <c r="N30" s="30">
        <f t="shared" ca="1" si="26"/>
        <v>5136028.9999999981</v>
      </c>
      <c r="O30" s="29">
        <f t="shared" ca="1" si="23"/>
        <v>28.078015988852819</v>
      </c>
      <c r="P30" s="29">
        <f t="shared" si="24"/>
        <v>0</v>
      </c>
    </row>
    <row r="31" spans="1:16" ht="21.75" customHeight="1" x14ac:dyDescent="0.45">
      <c r="A31" s="31"/>
      <c r="B31" s="32"/>
      <c r="C31" s="33" t="s">
        <v>16</v>
      </c>
      <c r="D31" s="544" t="s">
        <v>20</v>
      </c>
      <c r="E31" s="545"/>
      <c r="F31" s="545"/>
      <c r="G31" s="34" t="s">
        <v>18</v>
      </c>
      <c r="H31" s="35" t="s">
        <v>12</v>
      </c>
      <c r="I31" s="36"/>
      <c r="J31" s="36"/>
      <c r="K31" s="37"/>
      <c r="L31" s="41">
        <f t="shared" ref="L31:N31" ca="1" si="27">L351+L382+L403+L436+L456+L534+L552+L565+L581+L598</f>
        <v>0</v>
      </c>
      <c r="M31" s="41">
        <f t="shared" si="27"/>
        <v>0</v>
      </c>
      <c r="N31" s="41">
        <f t="shared" ca="1" si="27"/>
        <v>0</v>
      </c>
      <c r="O31" s="41">
        <f t="shared" ref="O31:O37" ca="1" si="28">IF(L31&gt;0,N31*100/L31,0)</f>
        <v>0</v>
      </c>
      <c r="P31" s="41">
        <f t="shared" si="24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29">L352+L383+L404+L437+L457+L535+L553+L566+L582+L599</f>
        <v>18291994</v>
      </c>
      <c r="M32" s="41">
        <f t="shared" si="29"/>
        <v>0</v>
      </c>
      <c r="N32" s="41">
        <f t="shared" ca="1" si="29"/>
        <v>5136028.9999999981</v>
      </c>
      <c r="O32" s="41">
        <f t="shared" ca="1" si="28"/>
        <v>28.078015988852819</v>
      </c>
      <c r="P32" s="41">
        <f t="shared" si="24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0">L353+L384+L405+L438+L458+L536+L554+L567+L583+L600</f>
        <v>0</v>
      </c>
      <c r="M33" s="41">
        <f t="shared" si="30"/>
        <v>0</v>
      </c>
      <c r="N33" s="41">
        <f t="shared" ca="1" si="30"/>
        <v>0</v>
      </c>
      <c r="O33" s="41">
        <f t="shared" ca="1" si="28"/>
        <v>0</v>
      </c>
      <c r="P33" s="41">
        <f t="shared" si="24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1">L354+L385+L406+L439+L459+L537+L555+L568+L584+L601</f>
        <v>17284994</v>
      </c>
      <c r="M34" s="41">
        <f t="shared" si="31"/>
        <v>0</v>
      </c>
      <c r="N34" s="41">
        <f t="shared" ca="1" si="31"/>
        <v>5136028.9999999981</v>
      </c>
      <c r="O34" s="41">
        <f t="shared" ca="1" si="28"/>
        <v>29.713802619775269</v>
      </c>
      <c r="P34" s="41">
        <f t="shared" si="24"/>
        <v>0</v>
      </c>
    </row>
    <row r="35" spans="1:16" ht="21.75" customHeight="1" x14ac:dyDescent="0.45">
      <c r="A35" s="31"/>
      <c r="B35" s="32"/>
      <c r="C35" s="33" t="s">
        <v>16</v>
      </c>
      <c r="D35" s="544" t="s">
        <v>23</v>
      </c>
      <c r="E35" s="54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8"/>
        <v>0</v>
      </c>
      <c r="P36" s="50">
        <f t="shared" si="24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44678395</v>
      </c>
      <c r="M37" s="55">
        <f t="shared" ca="1" si="32"/>
        <v>29176984</v>
      </c>
      <c r="N37" s="55">
        <f t="shared" ca="1" si="32"/>
        <v>18764135</v>
      </c>
      <c r="O37" s="56">
        <f t="shared" ca="1" si="28"/>
        <v>41.998229793169607</v>
      </c>
      <c r="P37" s="56">
        <f t="shared" ca="1" si="24"/>
        <v>64.311427802133352</v>
      </c>
    </row>
    <row r="38" spans="1:16" ht="21.75" customHeight="1" x14ac:dyDescent="0.45">
      <c r="A38" s="546" t="s">
        <v>27</v>
      </c>
      <c r="B38" s="531"/>
      <c r="C38" s="531"/>
      <c r="D38" s="531"/>
      <c r="E38" s="531"/>
      <c r="F38" s="531"/>
      <c r="G38" s="53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7" t="s">
        <v>28</v>
      </c>
      <c r="C39" s="543"/>
      <c r="D39" s="543"/>
      <c r="E39" s="543"/>
      <c r="F39" s="543"/>
      <c r="G39" s="54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48" t="s">
        <v>17</v>
      </c>
      <c r="E41" s="545"/>
      <c r="F41" s="545"/>
      <c r="G41" s="545"/>
      <c r="H41" s="76" t="s">
        <v>12</v>
      </c>
      <c r="I41" s="77"/>
      <c r="J41" s="77"/>
      <c r="K41" s="78"/>
      <c r="L41" s="79">
        <f t="shared" ref="L41:N41" ca="1" si="33">L42+L43</f>
        <v>10385600</v>
      </c>
      <c r="M41" s="79">
        <f t="shared" ca="1" si="33"/>
        <v>6044900</v>
      </c>
      <c r="N41" s="79">
        <f t="shared" ca="1" si="33"/>
        <v>5597967</v>
      </c>
      <c r="O41" s="78">
        <f t="shared" ref="O41:O43" ca="1" si="34">IF(L41&gt;0,N41*100/L41,0)</f>
        <v>53.901238252965648</v>
      </c>
      <c r="P41" s="78">
        <f t="shared" ref="P41:P43" ca="1" si="35">IF(M41&gt;0,N41*100/M41,0)</f>
        <v>92.606445102483079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10385600</v>
      </c>
      <c r="M43" s="79">
        <f t="shared" ca="1" si="37"/>
        <v>6044900</v>
      </c>
      <c r="N43" s="79">
        <f t="shared" ca="1" si="37"/>
        <v>5597967</v>
      </c>
      <c r="O43" s="78">
        <f t="shared" ca="1" si="34"/>
        <v>53.901238252965648</v>
      </c>
      <c r="P43" s="78">
        <f t="shared" ca="1" si="35"/>
        <v>92.606445102483079</v>
      </c>
    </row>
    <row r="44" spans="1:16" ht="21.75" customHeight="1" x14ac:dyDescent="0.45">
      <c r="A44" s="80"/>
      <c r="B44" s="81"/>
      <c r="C44" s="82" t="s">
        <v>16</v>
      </c>
      <c r="D44" s="549" t="s">
        <v>20</v>
      </c>
      <c r="E44" s="545"/>
      <c r="F44" s="545"/>
      <c r="G44" s="83" t="s">
        <v>18</v>
      </c>
      <c r="H44" s="84" t="s">
        <v>12</v>
      </c>
      <c r="I44" s="85"/>
      <c r="J44" s="85"/>
      <c r="K44" s="86"/>
      <c r="L44" s="38">
        <f>กระบี่!L44+ชุมพร!L44+ตรัง!L44+นครศรีธรรมราช!L44+นราธิวาส!L44+ปัตตานี!L44+พังงา!L44+พัทลุง!L44+ภูเก็ต!L44+ยะลา!L44+ระนอง!L44+สงขลา!L44+สตูล!L44+สุราษฎร์ธานี!L44</f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กระบี่!L45+ชุมพร!L45+ตรัง!L45+นครศรีธรรมราช!L45+นราธิวาส!L45+ปัตตานี!L45+พังงา!L45+พัทลุง!L45+ภูเก็ต!L45+ยะลา!L45+ระนอง!L45+สงขลา!L45+สตูล!L45+สุราษฎร์ธานี!L45</f>
        <v>8774300</v>
      </c>
      <c r="M45" s="91">
        <f ca="1">กระบี่!M45+ชุมพร!M45+ตรัง!M45+นครศรีธรรมราช!M45+นราธิวาส!M45+ปัตตานี!M45+พังงา!M45+พัทลุง!M45+ภูเก็ต!M45+ยะลา!M45+ระนอง!M45+สงขลา!M45+สตูล!M45+สุราษฎร์ธานี!M45</f>
        <v>4433600</v>
      </c>
      <c r="N45" s="91">
        <f ca="1">กระบี่!N45+ชุมพร!N45+ตรัง!N45+นครศรีธรรมราช!N45+นราธิวาส!N45+ปัตตานี!N45+พังงา!N45+พัทลุง!N45+ภูเก็ต!N45+ยะลา!N45+ระนอง!N45+สงขลา!N45+สตูล!N45+สุราษฎร์ธานี!N45</f>
        <v>3988667</v>
      </c>
      <c r="O45" s="92">
        <f ca="1">IF(L45&gt;0,N45*100/L45,0)</f>
        <v>45.458520907650751</v>
      </c>
      <c r="P45" s="92">
        <f ca="1">IF(M45&gt;0,N45*100/M45,0)</f>
        <v>89.964520931071817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กระบี่!L46+ชุมพร!L46+ตรัง!L46+นครศรีธรรมราช!L46+นราธิวาส!L46+ปัตตานี!L46+พังงา!L46+พัทลุง!L46+ภูเก็ต!L46+ยะลา!L46+ระนอง!L46+สงขลา!L46+สตูล!L46+สุราษฎร์ธานี!L46</f>
        <v>8774300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กระบี่!L47+ชุมพร!L47+ตรัง!L47+นครศรีธรรมราช!L47+นราธิวาส!L47+ปัตตานี!L47+พังงา!L47+พัทลุง!L47+ภูเก็ต!L47+ยะลา!L47+ระนอง!L47+สงขลา!L47+สตูล!L47+สุราษฎร์ธานี!L47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49" t="s">
        <v>23</v>
      </c>
      <c r="E48" s="545"/>
      <c r="F48" s="89"/>
      <c r="G48" s="83" t="s">
        <v>18</v>
      </c>
      <c r="H48" s="84" t="s">
        <v>12</v>
      </c>
      <c r="I48" s="85"/>
      <c r="J48" s="85"/>
      <c r="K48" s="86"/>
      <c r="L48" s="51">
        <f>กระบี่!L48+ชุมพร!L48+ตรัง!L48+นครศรีธรรมราช!L48+นราธิวาส!L48+ปัตตานี!L48+พังงา!L48+พัทลุง!L48+ภูเก็ต!L48+ยะลา!L48+ระนอง!L48+สงขลา!L48+สตูล!L48+สุราษฎร์ธานี!L48</f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กระบี่!L49+ชุมพร!L49+ตรัง!L49+นครศรีธรรมราช!L49+นราธิวาส!L49+ปัตตานี!L49+พังงา!L49+พัทลุง!L49+ภูเก็ต!L49+ยะลา!L49+ระนอง!L49+สงขลา!L49+สตูล!L49+สุราษฎร์ธานี!L49</f>
        <v>1611300</v>
      </c>
      <c r="M49" s="101">
        <f ca="1">กระบี่!M49+ชุมพร!M49+ตรัง!M49+นครศรีธรรมราช!M49+นราธิวาส!M49+ปัตตานี!M49+พังงา!M49+พัทลุง!M49+ภูเก็ต!M49+ยะลา!M49+ระนอง!M49+สงขลา!M49+สตูล!M49+สุราษฎร์ธานี!M49</f>
        <v>1611300</v>
      </c>
      <c r="N49" s="91">
        <f ca="1">กระบี่!N49+ชุมพร!N49+ตรัง!N49+นครศรีธรรมราช!N49+นราธิวาส!N49+ปัตตานี!N49+พังงา!N49+พัทลุง!N49+ภูเก็ต!N49+ยะลา!N49+ระนอง!N49+สงขลา!N49+สตูล!N49+สุราษฎร์ธานี!N49</f>
        <v>1609300</v>
      </c>
      <c r="O49" s="101">
        <f ca="1">IF(L49&gt;0,N49*100/L49,0)</f>
        <v>99.875876621361627</v>
      </c>
      <c r="P49" s="101">
        <f ca="1">IF(M49&gt;0,N49*100/M49,0)</f>
        <v>99.875876621361627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0" t="s">
        <v>32</v>
      </c>
      <c r="C52" s="545"/>
      <c r="D52" s="545"/>
      <c r="E52" s="545"/>
      <c r="F52" s="545"/>
      <c r="G52" s="54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1" t="s">
        <v>17</v>
      </c>
      <c r="E53" s="545"/>
      <c r="F53" s="545"/>
      <c r="G53" s="545"/>
      <c r="H53" s="122" t="s">
        <v>12</v>
      </c>
      <c r="I53" s="123"/>
      <c r="J53" s="123"/>
      <c r="K53" s="124"/>
      <c r="L53" s="125">
        <f t="shared" ref="L53:N53" ca="1" si="38">L54+L55</f>
        <v>5554200</v>
      </c>
      <c r="M53" s="125">
        <f t="shared" ca="1" si="38"/>
        <v>3214229</v>
      </c>
      <c r="N53" s="125">
        <f t="shared" ca="1" si="38"/>
        <v>2886920</v>
      </c>
      <c r="O53" s="124">
        <f t="shared" ref="O53:O55" ca="1" si="39">IF(L53&gt;0,N53*100/L53,0)</f>
        <v>51.977242447157103</v>
      </c>
      <c r="P53" s="124">
        <f t="shared" ref="P53:P55" ca="1" si="40">IF(M53&gt;0,N53*100/M53,0)</f>
        <v>89.816873657726319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5554200</v>
      </c>
      <c r="M55" s="125">
        <f t="shared" ca="1" si="42"/>
        <v>3214229</v>
      </c>
      <c r="N55" s="125">
        <f t="shared" ca="1" si="42"/>
        <v>2886920</v>
      </c>
      <c r="O55" s="124">
        <f t="shared" ca="1" si="39"/>
        <v>51.977242447157103</v>
      </c>
      <c r="P55" s="124">
        <f t="shared" ca="1" si="40"/>
        <v>89.816873657726319</v>
      </c>
    </row>
    <row r="56" spans="1:16" ht="21.75" customHeight="1" x14ac:dyDescent="0.45">
      <c r="A56" s="80"/>
      <c r="B56" s="81"/>
      <c r="C56" s="82" t="s">
        <v>16</v>
      </c>
      <c r="D56" s="549" t="s">
        <v>20</v>
      </c>
      <c r="E56" s="545"/>
      <c r="F56" s="545"/>
      <c r="G56" s="83" t="s">
        <v>18</v>
      </c>
      <c r="H56" s="84" t="s">
        <v>12</v>
      </c>
      <c r="I56" s="85"/>
      <c r="J56" s="85"/>
      <c r="K56" s="86"/>
      <c r="L56" s="88">
        <f>กระบี่!L56+ชุมพร!L56+ตรัง!L56+นครศรีธรรมราช!L56+นราธิวาส!L56+ปัตตานี!L56+พังงา!L56+พัทลุง!L56+ภูเก็ต!L56+ยะลา!L56+ระนอง!L56+สงขลา!L56+สตูล!L56+สุราษฎร์ธานี!L56</f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กระบี่!L57+ชุมพร!L57+ตรัง!L57+นครศรีธรรมราช!L57+นราธิวาส!L57+ปัตตานี!L57+พังงา!L57+พัทลุง!L57+ภูเก็ต!L57+ยะลา!L57+ระนอง!L57+สงขลา!L57+สตูล!L57+สุราษฎร์ธานี!L57</f>
        <v>5554200</v>
      </c>
      <c r="M57" s="91">
        <f ca="1">กระบี่!M57+ชุมพร!M57+ตรัง!M57+นครศรีธรรมราช!M57+นราธิวาส!M57+ปัตตานี!M57+พังงา!M57+พัทลุง!M57+ภูเก็ต!M57+ยะลา!M57+ระนอง!M57+สงขลา!M57+สตูล!M57+สุราษฎร์ธานี!M57</f>
        <v>3214229</v>
      </c>
      <c r="N57" s="91">
        <f ca="1">กระบี่!N57+ชุมพร!N57+ตรัง!N57+นครศรีธรรมราช!N57+นราธิวาส!N57+ปัตตานี!N57+พังงา!N57+พัทลุง!N57+ภูเก็ต!N57+ยะลา!N57+ระนอง!N57+สงขลา!N57+สตูล!N57+สุราษฎร์ธานี!N57</f>
        <v>2886920</v>
      </c>
      <c r="O57" s="92">
        <f ca="1">IF(L57&gt;0,N57*100/L57,0)</f>
        <v>51.977242447157103</v>
      </c>
      <c r="P57" s="92">
        <f ca="1">IF(M57&gt;0,N57*100/M57,0)</f>
        <v>89.816873657726319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กระบี่!L58+ชุมพร!L58+ตรัง!L58+นครศรีธรรมราช!L58+นราธิวาส!L58+ปัตตานี!L58+พังงา!L58+พัทลุง!L58+ภูเก็ต!L58+ยะลา!L58+ระนอง!L58+สงขลา!L58+สตูล!L58+สุราษฎร์ธานี!L58</f>
        <v>5554200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กระบี่!L59+ชุมพร!L59+ตรัง!L59+นครศรีธรรมราช!L59+นราธิวาส!L59+ปัตตานี!L59+พังงา!L59+พัทลุง!L59+ภูเก็ต!L59+ยะลา!L59+ระนอง!L59+สงขลา!L59+สตูล!L59+สุราษฎร์ธานี!L59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49" t="s">
        <v>23</v>
      </c>
      <c r="E60" s="545"/>
      <c r="F60" s="89"/>
      <c r="G60" s="83" t="s">
        <v>18</v>
      </c>
      <c r="H60" s="84" t="s">
        <v>12</v>
      </c>
      <c r="I60" s="85"/>
      <c r="J60" s="85"/>
      <c r="K60" s="86"/>
      <c r="L60" s="51">
        <f>กระบี่!L60+ชุมพร!L60+ตรัง!L60+นครศรีธรรมราช!L60+นราธิวาส!L60+ปัตตานี!L60+พังงา!L60+พัทลุง!L60+ภูเก็ต!L60+ยะลา!L60+ระนอง!L60+สงขลา!L60+สตูล!L60+สุราษฎร์ธานี!L60</f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กระบี่!L61+ชุมพร!L61+ตรัง!L61+นครศรีธรรมราช!L61+นราธิวาส!L61+ปัตตานี!L61+พังงา!L61+พัทลุง!L61+ภูเก็ต!L61+ยะลา!L61+ระนอง!L61+สงขลา!L61+สตูล!L61+สุราษฎร์ธานี!L61</f>
        <v>0</v>
      </c>
      <c r="M61" s="101"/>
      <c r="N61" s="91">
        <f ca="1">กระบี่!N61+ชุมพร!N61+ตรัง!N61+นครศรีธรรมราช!N61+นราธิวาส!N61+ปัตตานี!N61+พังงา!N61+พัทลุง!N61+ภูเก็ต!N61+ยะลา!N61+ระนอง!N61+สงขลา!N61+สตูล!N61+สุราษฎร์ธานี!N61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กระบี่!I64+ชุมพร!I64+ตรัง!I64+นครศรีธรรมราช!I64+นราธิวาส!I64+ปัตตานี!I64+พังงา!I64+พัทลุง!I64+ภูเก็ต!I64+ยะลา!I64+ระนอง!I64+สงขลา!I64+สตูล!I64+สุราษฎร์ธานี!I64</f>
        <v>4</v>
      </c>
      <c r="J64" s="146">
        <f ca="1">กระบี่!J64+ชุมพร!J64+ตรัง!J64+นครศรีธรรมราช!J64+นราธิวาส!J64+ปัตตานี!J64+พังงา!J64+พัทลุง!J64+ภูเก็ต!J64+ยะลา!J64+ระนอง!J64+สงขลา!J64+สตูล!J64+สุราษฎร์ธานี!J64</f>
        <v>4</v>
      </c>
      <c r="K64" s="147">
        <f t="shared" ref="K64:K65" ca="1" si="43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กระบี่!I65+ชุมพร!I65+ตรัง!I65+นครศรีธรรมราช!I65+นราธิวาส!I65+ปัตตานี!I65+พังงา!I65+พัทลุง!I65+ภูเก็ต!I65+ยะลา!I65+ระนอง!I65+สงขลา!I65+สตูล!I65+สุราษฎร์ธานี!I65</f>
        <v>130</v>
      </c>
      <c r="J65" s="146">
        <f ca="1">กระบี่!J65+ชุมพร!J65+ตรัง!J65+นครศรีธรรมราช!J65+นราธิวาส!J65+ปัตตานี!J65+พังงา!J65+พัทลุง!J65+ภูเก็ต!J65+ยะลา!J65+ระนอง!J65+สงขลา!J65+สตูล!J65+สุราษฎร์ธานี!J65</f>
        <v>130</v>
      </c>
      <c r="K65" s="147">
        <f t="shared" ca="1" si="43"/>
        <v>100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52" t="s">
        <v>17</v>
      </c>
      <c r="E66" s="543"/>
      <c r="F66" s="543"/>
      <c r="G66" s="543"/>
      <c r="H66" s="153" t="s">
        <v>12</v>
      </c>
      <c r="I66" s="154"/>
      <c r="J66" s="154"/>
      <c r="K66" s="155"/>
      <c r="L66" s="156">
        <f ca="1">กระบี่!L66+ชุมพร!L66+ตรัง!L66+นครศรีธรรมราช!L66+นราธิวาส!L66+ปัตตานี!L66+พังงา!L66+พัทลุง!L66+ภูเก็ต!L66+ยะลา!L66+ระนอง!L66+สงขลา!L66+สตูล!L66+สุราษฎร์ธานี!L66</f>
        <v>2053200</v>
      </c>
      <c r="M66" s="156">
        <f ca="1">กระบี่!M66+ชุมพร!M66+ตรัง!M66+นครศรีธรรมราช!M66+นราธิวาส!M66+ปัตตานี!M66+พังงา!M66+พัทลุง!M66+ภูเก็ต!M66+ยะลา!M66+ระนอง!M66+สงขลา!M66+สตูล!M66+สุราษฎร์ธานี!M66</f>
        <v>1172340</v>
      </c>
      <c r="N66" s="156">
        <f ca="1">กระบี่!N66+ชุมพร!N66+ตรัง!N66+นครศรีธรรมราช!N66+นราธิวาส!N66+ปัตตานี!N66+พังงา!N66+พัทลุง!N66+ภูเก็ต!N66+ยะลา!N66+ระนอง!N66+สงขลา!N66+สตูล!N66+สุราษฎร์ธานี!N66</f>
        <v>754447</v>
      </c>
      <c r="O66" s="155">
        <f t="shared" ref="O66:O68" ca="1" si="44">IF(L66&gt;0,N66*100/L66,0)</f>
        <v>36.744934736021818</v>
      </c>
      <c r="P66" s="155">
        <f t="shared" ref="P66:P68" ca="1" si="45">IF(M66&gt;0,N66*100/M66,0)</f>
        <v>64.353941689271025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>กระบี่!L67+ชุมพร!L67+ตรัง!L67+นครศรีธรรมราช!L67+นราธิวาส!L67+ปัตตานี!L67+พังงา!L67+พัทลุง!L67+ภูเก็ต!L67+ยะลา!L67+ระนอง!L67+สงขลา!L67+สตูล!L67+สุราษฎร์ธานี!L67</f>
        <v>0</v>
      </c>
      <c r="M67" s="161">
        <f>กระบี่!M67+ชุมพร!M67+ตรัง!M67+นครศรีธรรมราช!M67+นราธิวาส!M67+ปัตตานี!M67+พังงา!M67+พัทลุง!M67+ภูเก็ต!M67+ยะลา!M67+ระนอง!M67+สงขลา!M67+สตูล!M67+สุราษฎร์ธานี!M67</f>
        <v>0</v>
      </c>
      <c r="N67" s="161">
        <f>กระบี่!N67+ชุมพร!N67+ตรัง!N67+นครศรีธรรมราช!N67+นราธิวาส!N67+ปัตตานี!N67+พังงา!N67+พัทลุง!N67+ภูเก็ต!N67+ยะลา!N67+ระนอง!N67+สงขลา!N67+สตูล!N67+สุราษฎร์ธานี!N67</f>
        <v>0</v>
      </c>
      <c r="O67" s="160">
        <f t="shared" si="44"/>
        <v>0</v>
      </c>
      <c r="P67" s="160">
        <f t="shared" si="45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ca="1">กระบี่!L68+ชุมพร!L68+ตรัง!L68+นครศรีธรรมราช!L68+นราธิวาส!L68+ปัตตานี!L68+พังงา!L68+พัทลุง!L68+ภูเก็ต!L68+ยะลา!L68+ระนอง!L68+สงขลา!L68+สตูล!L68+สุราษฎร์ธานี!L68</f>
        <v>2053200</v>
      </c>
      <c r="M68" s="161">
        <f ca="1">กระบี่!M68+ชุมพร!M68+ตรัง!M68+นครศรีธรรมราช!M68+นราธิวาส!M68+ปัตตานี!M68+พังงา!M68+พัทลุง!M68+ภูเก็ต!M68+ยะลา!M68+ระนอง!M68+สงขลา!M68+สตูล!M68+สุราษฎร์ธานี!M68</f>
        <v>1172340</v>
      </c>
      <c r="N68" s="161">
        <f ca="1">กระบี่!N68+ชุมพร!N68+ตรัง!N68+นครศรีธรรมราช!N68+นราธิวาส!N68+ปัตตานี!N68+พังงา!N68+พัทลุง!N68+ภูเก็ต!N68+ยะลา!N68+ระนอง!N68+สงขลา!N68+สตูล!N68+สุราษฎร์ธานี!N68</f>
        <v>754447</v>
      </c>
      <c r="O68" s="160">
        <f t="shared" ca="1" si="44"/>
        <v>36.744934736021818</v>
      </c>
      <c r="P68" s="160">
        <f t="shared" ca="1" si="45"/>
        <v>64.353941689271025</v>
      </c>
    </row>
    <row r="69" spans="1:16" ht="21.75" customHeight="1" x14ac:dyDescent="0.35">
      <c r="A69" s="162"/>
      <c r="B69" s="163"/>
      <c r="C69" s="163" t="s">
        <v>16</v>
      </c>
      <c r="D69" s="164" t="s">
        <v>38</v>
      </c>
      <c r="E69" s="165"/>
      <c r="F69" s="165"/>
      <c r="G69" s="166" t="s">
        <v>39</v>
      </c>
      <c r="H69" s="167" t="s">
        <v>12</v>
      </c>
      <c r="I69" s="168" t="s">
        <v>40</v>
      </c>
      <c r="J69" s="168"/>
      <c r="K69" s="169"/>
      <c r="L69" s="170">
        <f>กระบี่!L69+ชุมพร!L69+ตรัง!L69+นครศรีธรรมราช!L69+นราธิวาส!L69+ปัตตานี!L69+พังงา!L69+พัทลุง!L69+ภูเก็ต!L69+ยะลา!L69+ระนอง!L69+สงขลา!L69+สตูล!L69+สุราษฎร์ธานี!L69</f>
        <v>0</v>
      </c>
      <c r="M69" s="170">
        <f>กระบี่!M69+ชุมพร!M69+ตรัง!M69+นครศรีธรรมราช!M69+นราธิวาส!M69+ปัตตานี!M69+พังงา!M69+พัทลุง!M69+ภูเก็ต!M69+ยะลา!M69+ระนอง!M69+สงขลา!M69+สตูล!M69+สุราษฎร์ธานี!M69</f>
        <v>0</v>
      </c>
      <c r="N69" s="170">
        <f>กระบี่!N69+ชุมพร!N69+ตรัง!N69+นครศรีธรรมราช!N69+นราธิวาส!N69+ปัตตานี!N69+พังงา!N69+พัทลุง!N69+ภูเก็ต!N69+ยะลา!N69+ระนอง!N69+สงขลา!N69+สตูล!N69+สุราษฎร์ธานี!N69</f>
        <v>0</v>
      </c>
      <c r="O69" s="171">
        <f>+IF(L69&gt;0,N69*100/L69,0)</f>
        <v>0</v>
      </c>
      <c r="P69" s="171"/>
    </row>
    <row r="70" spans="1:16" ht="21.75" customHeight="1" x14ac:dyDescent="0.35">
      <c r="A70" s="162"/>
      <c r="B70" s="163"/>
      <c r="C70" s="163"/>
      <c r="D70" s="172"/>
      <c r="E70" s="165"/>
      <c r="F70" s="165" t="s">
        <v>40</v>
      </c>
      <c r="G70" s="166" t="s">
        <v>41</v>
      </c>
      <c r="H70" s="167" t="s">
        <v>12</v>
      </c>
      <c r="I70" s="168"/>
      <c r="J70" s="168"/>
      <c r="K70" s="169"/>
      <c r="L70" s="173">
        <f ca="1">กระบี่!L70+ชุมพร!L70+ตรัง!L70+นครศรีธรรมราช!L70+นราธิวาส!L70+ปัตตานี!L70+พังงา!L70+พัทลุง!L70+ภูเก็ต!L70+ยะลา!L70+ระนอง!L70+สงขลา!L70+สตูล!L70+สุราษฎร์ธานี!L70</f>
        <v>2053200</v>
      </c>
      <c r="M70" s="174">
        <f ca="1">กระบี่!M70+ชุมพร!M70+ตรัง!M70+นครศรีธรรมราช!M70+นราธิวาส!M70+ปัตตานี!M70+พังงา!M70+พัทลุง!M70+ภูเก็ต!M70+ยะลา!M70+ระนอง!M70+สงขลา!M70+สตูล!M70+สุราษฎร์ธานี!M70</f>
        <v>1172340</v>
      </c>
      <c r="N70" s="175">
        <f ca="1">กระบี่!N70+ชุมพร!N70+ตรัง!N70+นครศรีธรรมราช!N70+นราธิวาส!N70+ปัตตานี!N70+พังงา!N70+พัทลุง!N70+ภูเก็ต!N70+ยะลา!N70+ระนอง!N70+สงขลา!N70+สตูล!N70+สุราษฎร์ธานี!N70</f>
        <v>754447</v>
      </c>
      <c r="O70" s="176">
        <f ca="1">IF(L70&gt;0,N70*100/L70,0)</f>
        <v>36.744934736021818</v>
      </c>
      <c r="P70" s="176">
        <f ca="1">IF(M70&gt;0,N70*100/M70,0)</f>
        <v>64.353941689271025</v>
      </c>
    </row>
    <row r="71" spans="1:16" ht="21.75" customHeight="1" x14ac:dyDescent="0.35">
      <c r="A71" s="162"/>
      <c r="B71" s="163"/>
      <c r="C71" s="163"/>
      <c r="D71" s="172"/>
      <c r="E71" s="165"/>
      <c r="F71" s="165"/>
      <c r="G71" s="177" t="s">
        <v>42</v>
      </c>
      <c r="H71" s="167" t="s">
        <v>12</v>
      </c>
      <c r="I71" s="168"/>
      <c r="J71" s="168"/>
      <c r="K71" s="169"/>
      <c r="L71" s="174">
        <f ca="1">กระบี่!L71+ชุมพร!L71+ตรัง!L71+นครศรีธรรมราช!L71+นราธิวาส!L71+ปัตตานี!L71+พังงา!L71+พัทลุง!L71+ภูเก็ต!L71+ยะลา!L71+ระนอง!L71+สงขลา!L71+สตูล!L71+สุราษฎร์ธานี!L71</f>
        <v>689200</v>
      </c>
      <c r="M71" s="173"/>
      <c r="N71" s="173"/>
      <c r="O71" s="176"/>
      <c r="P71" s="176"/>
    </row>
    <row r="72" spans="1:16" ht="21.75" customHeight="1" x14ac:dyDescent="0.35">
      <c r="A72" s="162"/>
      <c r="B72" s="163"/>
      <c r="C72" s="163"/>
      <c r="D72" s="172"/>
      <c r="E72" s="165"/>
      <c r="F72" s="165"/>
      <c r="G72" s="177" t="s">
        <v>43</v>
      </c>
      <c r="H72" s="167" t="s">
        <v>12</v>
      </c>
      <c r="I72" s="168"/>
      <c r="J72" s="168"/>
      <c r="K72" s="169"/>
      <c r="L72" s="174">
        <f ca="1">กระบี่!L72+ชุมพร!L72+ตรัง!L72+นครศรีธรรมราช!L72+นราธิวาส!L72+ปัตตานี!L72+พังงา!L72+พัทลุง!L72+ภูเก็ต!L72+ยะลา!L72+ระนอง!L72+สงขลา!L72+สตูล!L72+สุราษฎร์ธานี!L72</f>
        <v>1364000</v>
      </c>
      <c r="M72" s="173"/>
      <c r="N72" s="173"/>
      <c r="O72" s="176"/>
      <c r="P72" s="176"/>
    </row>
    <row r="73" spans="1:16" ht="21.75" customHeight="1" x14ac:dyDescent="0.45">
      <c r="A73" s="178"/>
      <c r="B73" s="81"/>
      <c r="C73" s="82" t="s">
        <v>16</v>
      </c>
      <c r="D73" s="549" t="s">
        <v>23</v>
      </c>
      <c r="E73" s="545"/>
      <c r="F73" s="89"/>
      <c r="G73" s="83" t="s">
        <v>18</v>
      </c>
      <c r="H73" s="179" t="s">
        <v>12</v>
      </c>
      <c r="I73" s="85"/>
      <c r="J73" s="85"/>
      <c r="K73" s="86"/>
      <c r="L73" s="93">
        <f>กระบี่!L73+ชุมพร!L73+ตรัง!L73+นครศรีธรรมราช!L73+นราธิวาส!L73+ปัตตานี!L73+พังงา!L73+พัทลุง!L73+ภูเก็ต!L73+ยะลา!L73+ระนอง!L73+สงขลา!L73+สตูล!L73+สุราษฎร์ธานี!L73</f>
        <v>0</v>
      </c>
      <c r="M73" s="93"/>
      <c r="N73" s="42"/>
      <c r="O73" s="93"/>
      <c r="P73" s="93"/>
    </row>
    <row r="74" spans="1:16" ht="21.75" customHeight="1" x14ac:dyDescent="0.45">
      <c r="A74" s="180"/>
      <c r="B74" s="95"/>
      <c r="C74" s="95"/>
      <c r="D74" s="181"/>
      <c r="E74" s="96"/>
      <c r="F74" s="96"/>
      <c r="G74" s="97" t="s">
        <v>19</v>
      </c>
      <c r="H74" s="182" t="s">
        <v>12</v>
      </c>
      <c r="I74" s="99"/>
      <c r="J74" s="99"/>
      <c r="K74" s="100"/>
      <c r="L74" s="91">
        <f ca="1">กระบี่!L74+ชุมพร!L74+ตรัง!L74+นครศรีธรรมราช!L74+นราธิวาส!L74+ปัตตานี!L74+พังงา!L74+พัทลุง!L74+ภูเก็ต!L74+ยะลา!L74+ระนอง!L74+สงขลา!L74+สตูล!L74+สุราษฎร์ธานี!L74</f>
        <v>0</v>
      </c>
      <c r="M74" s="101"/>
      <c r="N74" s="91">
        <f ca="1">กระบี่!N74+ชุมพร!N74+ตรัง!N74+นครศรีธรรมราช!N74+นราธิวาส!N74+ปัตตานี!N74+พังงา!N74+พัทลุง!N74+ภูเก็ต!N74+ยะลา!N74+ระนอง!N74+สงขลา!N74+สตูล!N74+สุราษฎร์ธานี!N74</f>
        <v>0</v>
      </c>
      <c r="O74" s="101">
        <f ca="1">IF(L74&gt;0,N74*100/L74,0)</f>
        <v>0</v>
      </c>
      <c r="P74" s="101"/>
    </row>
    <row r="75" spans="1:16" ht="21.75" customHeight="1" x14ac:dyDescent="0.35">
      <c r="A75" s="183"/>
      <c r="B75" s="184"/>
      <c r="C75" s="163" t="s">
        <v>16</v>
      </c>
      <c r="D75" s="185" t="s">
        <v>44</v>
      </c>
      <c r="E75" s="186"/>
      <c r="F75" s="186"/>
      <c r="G75" s="187"/>
      <c r="H75" s="188"/>
      <c r="I75" s="168"/>
      <c r="J75" s="168"/>
      <c r="K75" s="169"/>
      <c r="L75" s="189"/>
      <c r="M75" s="189"/>
      <c r="N75" s="189"/>
      <c r="O75" s="189"/>
      <c r="P75" s="189"/>
    </row>
    <row r="76" spans="1:16" ht="21.75" customHeight="1" x14ac:dyDescent="0.35">
      <c r="A76" s="183"/>
      <c r="B76" s="184"/>
      <c r="C76" s="184"/>
      <c r="D76" s="190">
        <v>1</v>
      </c>
      <c r="E76" s="191" t="s">
        <v>45</v>
      </c>
      <c r="F76" s="192"/>
      <c r="G76" s="193"/>
      <c r="H76" s="194"/>
      <c r="I76" s="195"/>
      <c r="J76" s="196">
        <f ca="1">กระบี่!J76+ชุมพร!J76+ตรัง!J76+นครศรีธรรมราช!J76+นราธิวาส!J76+ปัตตานี!J76+พังงา!J76+พัทลุง!J76+ภูเก็ต!J76+ยะลา!J76+ระนอง!J76+สงขลา!J76+สตูล!J76+สุราษฎร์ธานี!J76</f>
        <v>0</v>
      </c>
      <c r="K76" s="169"/>
      <c r="L76" s="189"/>
      <c r="M76" s="189"/>
      <c r="N76" s="189"/>
      <c r="O76" s="189"/>
      <c r="P76" s="189"/>
    </row>
    <row r="77" spans="1:16" ht="21.75" customHeight="1" x14ac:dyDescent="0.35">
      <c r="A77" s="183"/>
      <c r="B77" s="184"/>
      <c r="C77" s="184"/>
      <c r="D77" s="197">
        <v>2</v>
      </c>
      <c r="E77" s="198" t="s">
        <v>46</v>
      </c>
      <c r="F77" s="199"/>
      <c r="G77" s="200"/>
      <c r="H77" s="194"/>
      <c r="I77" s="195"/>
      <c r="J77" s="196">
        <f ca="1">กระบี่!J77+ชุมพร!J77+ตรัง!J77+นครศรีธรรมราช!J77+นราธิวาส!J77+ปัตตานี!J77+พังงา!J77+พัทลุง!J77+ภูเก็ต!J77+ยะลา!J77+ระนอง!J77+สงขลา!J77+สตูล!J77+สุราษฎร์ธานี!J77</f>
        <v>3</v>
      </c>
      <c r="K77" s="169"/>
      <c r="L77" s="189" t="s">
        <v>40</v>
      </c>
      <c r="M77" s="189"/>
      <c r="N77" s="189" t="s">
        <v>40</v>
      </c>
      <c r="O77" s="189"/>
      <c r="P77" s="189"/>
    </row>
    <row r="78" spans="1:16" ht="21.75" customHeight="1" x14ac:dyDescent="0.35">
      <c r="A78" s="183"/>
      <c r="B78" s="184"/>
      <c r="C78" s="184"/>
      <c r="D78" s="201"/>
      <c r="E78" s="202" t="s">
        <v>47</v>
      </c>
      <c r="F78" s="203"/>
      <c r="G78" s="204"/>
      <c r="H78" s="194"/>
      <c r="I78" s="195"/>
      <c r="J78" s="196">
        <f ca="1">กระบี่!J78+ชุมพร!J78+ตรัง!J78+นครศรีธรรมราช!J78+นราธิวาส!J78+ปัตตานี!J78+พังงา!J78+พัทลุง!J78+ภูเก็ต!J78+ยะลา!J78+ระนอง!J78+สงขลา!J78+สตูล!J78+สุราษฎร์ธานี!J78</f>
        <v>3</v>
      </c>
      <c r="K78" s="169"/>
      <c r="L78" s="189"/>
      <c r="M78" s="189"/>
      <c r="N78" s="189"/>
      <c r="O78" s="189"/>
      <c r="P78" s="189"/>
    </row>
    <row r="79" spans="1:16" ht="21.75" customHeight="1" x14ac:dyDescent="0.35">
      <c r="A79" s="183"/>
      <c r="B79" s="184"/>
      <c r="C79" s="184"/>
      <c r="D79" s="201"/>
      <c r="E79" s="202" t="s">
        <v>48</v>
      </c>
      <c r="F79" s="203"/>
      <c r="G79" s="204"/>
      <c r="H79" s="194"/>
      <c r="I79" s="195"/>
      <c r="J79" s="205">
        <f ca="1">กระบี่!J79+ชุมพร!J79+ตรัง!J79+นครศรีธรรมราช!J79+นราธิวาส!J79+ปัตตานี!J79+พังงา!J79+พัทลุง!J79+ภูเก็ต!J79+ยะลา!J79+ระนอง!J79+สงขลา!J79+สตูล!J79+สุราษฎร์ธานี!J79</f>
        <v>3</v>
      </c>
      <c r="K79" s="169"/>
      <c r="L79" s="189"/>
      <c r="M79" s="189"/>
      <c r="N79" s="189"/>
      <c r="O79" s="189"/>
      <c r="P79" s="189"/>
    </row>
    <row r="80" spans="1:16" ht="21.75" customHeight="1" x14ac:dyDescent="0.35">
      <c r="A80" s="183"/>
      <c r="B80" s="184"/>
      <c r="C80" s="184"/>
      <c r="D80" s="201"/>
      <c r="E80" s="206"/>
      <c r="F80" s="202" t="s">
        <v>49</v>
      </c>
      <c r="G80" s="203"/>
      <c r="H80" s="207" t="s">
        <v>36</v>
      </c>
      <c r="I80" s="208">
        <f ca="1">กระบี่!I80+ชุมพร!I80+ตรัง!I80+นครศรีธรรมราช!I80+นราธิวาส!I80+ปัตตานี!I80+พังงา!I80+พัทลุง!I80+ภูเก็ต!I80+ยะลา!I80+ระนอง!I80+สงขลา!I80+สตูล!I80+สุราษฎร์ธานี!I80</f>
        <v>4</v>
      </c>
      <c r="J80" s="208">
        <f ca="1">กระบี่!J80+ชุมพร!J80+ตรัง!J80+นครศรีธรรมราช!J80+นราธิวาส!J80+ปัตตานี!J80+พังงา!J80+พัทลุง!J80+ภูเก็ต!J80+ยะลา!J80+ระนอง!J80+สงขลา!J80+สตูล!J80+สุราษฎร์ธานี!J80</f>
        <v>4</v>
      </c>
      <c r="K80" s="209">
        <f t="shared" ref="K80:K88" ca="1" si="46">IF(I80&gt;0,J80*100/I80,0)</f>
        <v>100</v>
      </c>
      <c r="L80" s="189"/>
      <c r="M80" s="189"/>
      <c r="N80" s="189"/>
      <c r="O80" s="189"/>
      <c r="P80" s="189"/>
    </row>
    <row r="81" spans="1:16" ht="21.75" customHeight="1" x14ac:dyDescent="0.35">
      <c r="A81" s="183"/>
      <c r="B81" s="184"/>
      <c r="C81" s="184"/>
      <c r="D81" s="201"/>
      <c r="E81" s="206"/>
      <c r="F81" s="203"/>
      <c r="G81" s="204"/>
      <c r="H81" s="207" t="s">
        <v>37</v>
      </c>
      <c r="I81" s="208">
        <f ca="1">กระบี่!I81+ชุมพร!I81+ตรัง!I81+นครศรีธรรมราช!I81+นราธิวาส!I81+ปัตตานี!I81+พังงา!I81+พัทลุง!I81+ภูเก็ต!I81+ยะลา!I81+ระนอง!I81+สงขลา!I81+สตูล!I81+สุราษฎร์ธานี!I81</f>
        <v>130</v>
      </c>
      <c r="J81" s="208">
        <f ca="1">กระบี่!J81+ชุมพร!J81+ตรัง!J81+นครศรีธรรมราช!J81+นราธิวาส!J81+ปัตตานี!J81+พังงา!J81+พัทลุง!J81+ภูเก็ต!J81+ยะลา!J81+ระนอง!J81+สงขลา!J81+สตูล!J81+สุราษฎร์ธานี!J81</f>
        <v>130</v>
      </c>
      <c r="K81" s="209">
        <f t="shared" ca="1" si="46"/>
        <v>100</v>
      </c>
      <c r="L81" s="189"/>
      <c r="M81" s="189"/>
      <c r="N81" s="189"/>
      <c r="O81" s="189"/>
      <c r="P81" s="189"/>
    </row>
    <row r="82" spans="1:16" ht="21.75" customHeight="1" x14ac:dyDescent="0.35">
      <c r="A82" s="183"/>
      <c r="B82" s="184"/>
      <c r="C82" s="184"/>
      <c r="D82" s="201"/>
      <c r="E82" s="206"/>
      <c r="F82" s="203"/>
      <c r="G82" s="203" t="s">
        <v>50</v>
      </c>
      <c r="H82" s="188" t="s">
        <v>36</v>
      </c>
      <c r="I82" s="210">
        <f ca="1">กระบี่!I82+ชุมพร!I82+ตรัง!I82+นครศรีธรรมราช!I82+นราธิวาส!I82+ปัตตานี!I82+พังงา!I82+พัทลุง!I82+ภูเก็ต!I82+ยะลา!I82+ระนอง!I82+สงขลา!I82+สตูล!I82+สุราษฎร์ธานี!I82</f>
        <v>1</v>
      </c>
      <c r="J82" s="211">
        <f ca="1">กระบี่!J82+ชุมพร!J82+ตรัง!J82+นครศรีธรรมราช!J82+นราธิวาส!J82+ปัตตานี!J82+พังงา!J82+พัทลุง!J82+ภูเก็ต!J82+ยะลา!J82+ระนอง!J82+สงขลา!J82+สตูล!J82+สุราษฎร์ธานี!J82</f>
        <v>1</v>
      </c>
      <c r="K82" s="169">
        <f t="shared" ca="1" si="46"/>
        <v>100</v>
      </c>
      <c r="L82" s="189"/>
      <c r="M82" s="189"/>
      <c r="N82" s="189"/>
      <c r="O82" s="189"/>
      <c r="P82" s="189"/>
    </row>
    <row r="83" spans="1:16" ht="21.75" customHeight="1" x14ac:dyDescent="0.35">
      <c r="A83" s="183"/>
      <c r="B83" s="184"/>
      <c r="C83" s="184"/>
      <c r="D83" s="201"/>
      <c r="E83" s="206"/>
      <c r="F83" s="203"/>
      <c r="G83" s="204"/>
      <c r="H83" s="188" t="s">
        <v>37</v>
      </c>
      <c r="I83" s="210">
        <f ca="1">กระบี่!I83+ชุมพร!I83+ตรัง!I83+นครศรีธรรมราช!I83+นราธิวาส!I83+ปัตตานี!I83+พังงา!I83+พัทลุง!I83+ภูเก็ต!I83+ยะลา!I83+ระนอง!I83+สงขลา!I83+สตูล!I83+สุราษฎร์ธานี!I83</f>
        <v>30</v>
      </c>
      <c r="J83" s="211">
        <f ca="1">กระบี่!J83+ชุมพร!J83+ตรัง!J83+นครศรีธรรมราช!J83+นราธิวาส!J83+ปัตตานี!J83+พังงา!J83+พัทลุง!J83+ภูเก็ต!J83+ยะลา!J83+ระนอง!J83+สงขลา!J83+สตูล!J83+สุราษฎร์ธานี!J83</f>
        <v>30</v>
      </c>
      <c r="K83" s="169">
        <f t="shared" ca="1" si="46"/>
        <v>100</v>
      </c>
      <c r="L83" s="189"/>
      <c r="M83" s="189"/>
      <c r="N83" s="189"/>
      <c r="O83" s="189"/>
      <c r="P83" s="189"/>
    </row>
    <row r="84" spans="1:16" ht="21.75" customHeight="1" x14ac:dyDescent="0.35">
      <c r="A84" s="183"/>
      <c r="B84" s="184"/>
      <c r="C84" s="184"/>
      <c r="D84" s="201"/>
      <c r="E84" s="206"/>
      <c r="F84" s="203"/>
      <c r="G84" s="203" t="s">
        <v>51</v>
      </c>
      <c r="H84" s="188" t="s">
        <v>36</v>
      </c>
      <c r="I84" s="210">
        <f ca="1">กระบี่!I84+ชุมพร!I84+ตรัง!I84+นครศรีธรรมราช!I84+นราธิวาส!I84+ปัตตานี!I84+พังงา!I84+พัทลุง!I84+ภูเก็ต!I84+ยะลา!I84+ระนอง!I84+สงขลา!I84+สตูล!I84+สุราษฎร์ธานี!I84</f>
        <v>1</v>
      </c>
      <c r="J84" s="196">
        <f ca="1">กระบี่!J84+ชุมพร!J84+ตรัง!J84+นครศรีธรรมราช!J84+นราธิวาส!J84+ปัตตานี!J84+พังงา!J84+พัทลุง!J84+ภูเก็ต!J84+ยะลา!J84+ระนอง!J84+สงขลา!J84+สตูล!J84+สุราษฎร์ธานี!J84</f>
        <v>1</v>
      </c>
      <c r="K84" s="169">
        <f t="shared" ca="1" si="46"/>
        <v>100</v>
      </c>
      <c r="L84" s="189"/>
      <c r="M84" s="189"/>
      <c r="N84" s="189"/>
      <c r="O84" s="189"/>
      <c r="P84" s="189"/>
    </row>
    <row r="85" spans="1:16" ht="21.75" customHeight="1" x14ac:dyDescent="0.35">
      <c r="A85" s="183"/>
      <c r="B85" s="184"/>
      <c r="C85" s="184"/>
      <c r="D85" s="201"/>
      <c r="E85" s="206"/>
      <c r="F85" s="203"/>
      <c r="G85" s="204"/>
      <c r="H85" s="188" t="s">
        <v>37</v>
      </c>
      <c r="I85" s="210">
        <f ca="1">กระบี่!I85+ชุมพร!I85+ตรัง!I85+นครศรีธรรมราช!I85+นราธิวาส!I85+ปัตตานี!I85+พังงา!I85+พัทลุง!I85+ภูเก็ต!I85+ยะลา!I85+ระนอง!I85+สงขลา!I85+สตูล!I85+สุราษฎร์ธานี!I85</f>
        <v>30</v>
      </c>
      <c r="J85" s="196">
        <f ca="1">กระบี่!J85+ชุมพร!J85+ตรัง!J85+นครศรีธรรมราช!J85+นราธิวาส!J85+ปัตตานี!J85+พังงา!J85+พัทลุง!J85+ภูเก็ต!J85+ยะลา!J85+ระนอง!J85+สงขลา!J85+สตูล!J85+สุราษฎร์ธานี!J85</f>
        <v>30</v>
      </c>
      <c r="K85" s="169">
        <f t="shared" ca="1" si="46"/>
        <v>100</v>
      </c>
      <c r="L85" s="189"/>
      <c r="M85" s="189"/>
      <c r="N85" s="189"/>
      <c r="O85" s="189"/>
      <c r="P85" s="189"/>
    </row>
    <row r="86" spans="1:16" ht="21.75" customHeight="1" x14ac:dyDescent="0.35">
      <c r="A86" s="183"/>
      <c r="B86" s="184"/>
      <c r="C86" s="184"/>
      <c r="D86" s="201"/>
      <c r="E86" s="206"/>
      <c r="F86" s="203"/>
      <c r="G86" s="203" t="s">
        <v>52</v>
      </c>
      <c r="H86" s="188" t="s">
        <v>36</v>
      </c>
      <c r="I86" s="210">
        <f ca="1">กระบี่!I86+ชุมพร!I86+ตรัง!I86+นครศรีธรรมราช!I86+นราธิวาส!I86+ปัตตานี!I86+พังงา!I86+พัทลุง!I86+ภูเก็ต!I86+ยะลา!I86+ระนอง!I86+สงขลา!I86+สตูล!I86+สุราษฎร์ธานี!I86</f>
        <v>2</v>
      </c>
      <c r="J86" s="211">
        <f ca="1">กระบี่!J86+ชุมพร!J86+ตรัง!J86+นครศรีธรรมราช!J86+นราธิวาส!J86+ปัตตานี!J86+พังงา!J86+พัทลุง!J86+ภูเก็ต!J86+ยะลา!J86+ระนอง!J86+สงขลา!J86+สตูล!J86+สุราษฎร์ธานี!J86</f>
        <v>2</v>
      </c>
      <c r="K86" s="169">
        <f t="shared" ca="1" si="46"/>
        <v>100</v>
      </c>
      <c r="L86" s="189"/>
      <c r="M86" s="189"/>
      <c r="N86" s="189"/>
      <c r="O86" s="189"/>
      <c r="P86" s="189"/>
    </row>
    <row r="87" spans="1:16" ht="21.75" customHeight="1" x14ac:dyDescent="0.35">
      <c r="A87" s="183"/>
      <c r="B87" s="184"/>
      <c r="C87" s="184"/>
      <c r="D87" s="201"/>
      <c r="E87" s="206"/>
      <c r="F87" s="203"/>
      <c r="G87" s="204"/>
      <c r="H87" s="188" t="s">
        <v>37</v>
      </c>
      <c r="I87" s="210">
        <f ca="1">กระบี่!I87+ชุมพร!I87+ตรัง!I87+นครศรีธรรมราช!I87+นราธิวาส!I87+ปัตตานี!I87+พังงา!I87+พัทลุง!I87+ภูเก็ต!I87+ยะลา!I87+ระนอง!I87+สงขลา!I87+สตูล!I87+สุราษฎร์ธานี!I87</f>
        <v>70</v>
      </c>
      <c r="J87" s="211">
        <f ca="1">กระบี่!J87+ชุมพร!J87+ตรัง!J87+นครศรีธรรมราช!J87+นราธิวาส!J87+ปัตตานี!J87+พังงา!J87+พัทลุง!J87+ภูเก็ต!J87+ยะลา!J87+ระนอง!J87+สงขลา!J87+สตูล!J87+สุราษฎร์ธานี!J87</f>
        <v>70</v>
      </c>
      <c r="K87" s="169">
        <f t="shared" ca="1" si="46"/>
        <v>100</v>
      </c>
      <c r="L87" s="189"/>
      <c r="M87" s="189"/>
      <c r="N87" s="189"/>
      <c r="O87" s="189"/>
      <c r="P87" s="189"/>
    </row>
    <row r="88" spans="1:16" ht="21.75" customHeight="1" x14ac:dyDescent="0.35">
      <c r="A88" s="183"/>
      <c r="B88" s="184"/>
      <c r="C88" s="184"/>
      <c r="D88" s="201"/>
      <c r="E88" s="206"/>
      <c r="F88" s="212" t="s">
        <v>53</v>
      </c>
      <c r="G88" s="203"/>
      <c r="H88" s="188" t="s">
        <v>37</v>
      </c>
      <c r="I88" s="210">
        <f ca="1">กระบี่!I88+ชุมพร!I88+ตรัง!I88+นครศรีธรรมราช!I88+นราธิวาส!I88+ปัตตานี!I88+พังงา!I88+พัทลุง!I88+ภูเก็ต!I88+ยะลา!I88+ระนอง!I88+สงขลา!I88+สตูล!I88+สุราษฎร์ธานี!I88</f>
        <v>30</v>
      </c>
      <c r="J88" s="211">
        <f ca="1">กระบี่!J88+ชุมพร!J88+ตรัง!J88+นครศรีธรรมราช!J88+นราธิวาส!J88+ปัตตานี!J88+พังงา!J88+พัทลุง!J88+ภูเก็ต!J88+ยะลา!J88+ระนอง!J88+สงขลา!J88+สตูล!J88+สุราษฎร์ธานี!J88</f>
        <v>0</v>
      </c>
      <c r="K88" s="169">
        <f t="shared" ca="1" si="46"/>
        <v>0</v>
      </c>
      <c r="L88" s="189"/>
      <c r="M88" s="189"/>
      <c r="N88" s="189"/>
      <c r="O88" s="189"/>
      <c r="P88" s="189"/>
    </row>
    <row r="89" spans="1:16" ht="21.75" customHeight="1" x14ac:dyDescent="0.35">
      <c r="A89" s="183"/>
      <c r="B89" s="184"/>
      <c r="C89" s="184"/>
      <c r="D89" s="201"/>
      <c r="E89" s="202" t="s">
        <v>54</v>
      </c>
      <c r="F89" s="203"/>
      <c r="G89" s="204"/>
      <c r="H89" s="194"/>
      <c r="I89" s="195"/>
      <c r="J89" s="205">
        <f ca="1">กระบี่!J89+ชุมพร!J89+ตรัง!J89+นครศรีธรรมราช!J89+นราธิวาส!J89+ปัตตานี!J89+พังงา!J89+พัทลุง!J89+ภูเก็ต!J89+ยะลา!J89+ระนอง!J89+สงขลา!J89+สตูล!J89+สุราษฎร์ธานี!J89</f>
        <v>0</v>
      </c>
      <c r="K89" s="169"/>
      <c r="L89" s="189"/>
      <c r="M89" s="189"/>
      <c r="N89" s="189"/>
      <c r="O89" s="189"/>
      <c r="P89" s="189"/>
    </row>
    <row r="90" spans="1:16" ht="21.75" customHeight="1" x14ac:dyDescent="0.35">
      <c r="A90" s="183"/>
      <c r="B90" s="184"/>
      <c r="C90" s="184"/>
      <c r="D90" s="213">
        <v>3</v>
      </c>
      <c r="E90" s="214" t="s">
        <v>55</v>
      </c>
      <c r="F90" s="215"/>
      <c r="G90" s="216"/>
      <c r="H90" s="194"/>
      <c r="I90" s="195"/>
      <c r="J90" s="217">
        <f ca="1">กระบี่!J90+ชุมพร!J90+ตรัง!J90+นครศรีธรรมราช!J90+นราธิวาส!J90+ปัตตานี!J90+พังงา!J90+พัทลุง!J90+ภูเก็ต!J90+ยะลา!J90+ระนอง!J90+สงขลา!J90+สตูล!J90+สุราษฎร์ธานี!J90</f>
        <v>0</v>
      </c>
      <c r="K90" s="169"/>
      <c r="L90" s="189"/>
      <c r="M90" s="189"/>
      <c r="N90" s="189"/>
      <c r="O90" s="189"/>
      <c r="P90" s="189"/>
    </row>
    <row r="91" spans="1:16" ht="21.75" customHeight="1" x14ac:dyDescent="0.35">
      <c r="A91" s="218" t="s">
        <v>56</v>
      </c>
      <c r="B91" s="219"/>
      <c r="C91" s="220"/>
      <c r="D91" s="219"/>
      <c r="E91" s="221"/>
      <c r="F91" s="221"/>
      <c r="G91" s="222"/>
      <c r="H91" s="223"/>
      <c r="I91" s="224"/>
      <c r="J91" s="224"/>
      <c r="K91" s="225"/>
      <c r="L91" s="226"/>
      <c r="M91" s="226"/>
      <c r="N91" s="226"/>
      <c r="O91" s="227"/>
      <c r="P91" s="227"/>
    </row>
    <row r="92" spans="1:16" ht="21.75" customHeight="1" x14ac:dyDescent="0.35">
      <c r="A92" s="142"/>
      <c r="B92" s="143" t="s">
        <v>57</v>
      </c>
      <c r="C92" s="143"/>
      <c r="D92" s="144"/>
      <c r="E92" s="143"/>
      <c r="F92" s="143"/>
      <c r="G92" s="228"/>
      <c r="H92" s="145" t="s">
        <v>37</v>
      </c>
      <c r="I92" s="146">
        <f ca="1">กระบี่!I92+ชุมพร!I92+ตรัง!I92+นครศรีธรรมราช!I92+นราธิวาส!I92+ปัตตานี!I92+พังงา!I92+พัทลุง!I92+ภูเก็ต!I92+ยะลา!I92+ระนอง!I92+สงขลา!I92+สตูล!I92+สุราษฎร์ธานี!I92</f>
        <v>23</v>
      </c>
      <c r="J92" s="146">
        <f ca="1">กระบี่!J92+ชุมพร!J92+ตรัง!J92+นครศรีธรรมราช!J92+นราธิวาส!J92+ปัตตานี!J92+พังงา!J92+พัทลุง!J92+ภูเก็ต!J92+ยะลา!J92+ระนอง!J92+สงขลา!J92+สตูล!J92+สุราษฎร์ธานี!J92</f>
        <v>0</v>
      </c>
      <c r="K92" s="147">
        <f t="shared" ref="K92:K93" ca="1" si="47">IF(I92&gt;0,J92*100/I92,0)</f>
        <v>0</v>
      </c>
      <c r="L92" s="229"/>
      <c r="M92" s="229"/>
      <c r="N92" s="230"/>
      <c r="O92" s="147"/>
      <c r="P92" s="147"/>
    </row>
    <row r="93" spans="1:16" ht="21.75" customHeight="1" x14ac:dyDescent="0.35">
      <c r="A93" s="142"/>
      <c r="B93" s="143"/>
      <c r="C93" s="143"/>
      <c r="D93" s="144" t="s">
        <v>58</v>
      </c>
      <c r="E93" s="143"/>
      <c r="F93" s="143"/>
      <c r="G93" s="228"/>
      <c r="H93" s="145" t="s">
        <v>59</v>
      </c>
      <c r="I93" s="146">
        <f ca="1">กระบี่!I93+ชุมพร!I93+ตรัง!I93+นครศรีธรรมราช!I93+นราธิวาส!I93+ปัตตานี!I93+พังงา!I93+พัทลุง!I93+ภูเก็ต!I93+ยะลา!I93+ระนอง!I93+สงขลา!I93+สตูล!I93+สุราษฎร์ธานี!I93</f>
        <v>6</v>
      </c>
      <c r="J93" s="146">
        <f ca="1">กระบี่!J93+ชุมพร!J93+ตรัง!J93+นครศรีธรรมราช!J93+นราธิวาส!J93+ปัตตานี!J93+พังงา!J93+พัทลุง!J93+ภูเก็ต!J93+ยะลา!J93+ระนอง!J93+สงขลา!J93+สตูล!J93+สุราษฎร์ธานี!J93</f>
        <v>3</v>
      </c>
      <c r="K93" s="147">
        <f t="shared" ca="1" si="47"/>
        <v>50</v>
      </c>
      <c r="L93" s="230"/>
      <c r="M93" s="230"/>
      <c r="N93" s="230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52" t="s">
        <v>17</v>
      </c>
      <c r="E94" s="543"/>
      <c r="F94" s="543"/>
      <c r="G94" s="543"/>
      <c r="H94" s="153" t="s">
        <v>12</v>
      </c>
      <c r="I94" s="168"/>
      <c r="J94" s="168"/>
      <c r="K94" s="169"/>
      <c r="L94" s="156">
        <f ca="1">กระบี่!L94+ชุมพร!L94+ตรัง!L94+นครศรีธรรมราช!L94+นราธิวาส!L94+ปัตตานี!L94+พังงา!L94+พัทลุง!L94+ภูเก็ต!L94+ยะลา!L94+ระนอง!L94+สงขลา!L94+สตูล!L94+สุราษฎร์ธานี!L94</f>
        <v>1177800</v>
      </c>
      <c r="M94" s="156">
        <f ca="1">กระบี่!M94+ชุมพร!M94+ตรัง!M94+นครศรีธรรมราช!M94+นราธิวาส!M94+ปัตตานี!M94+พังงา!M94+พัทลุง!M94+ภูเก็ต!M94+ยะลา!M94+ระนอง!M94+สงขลา!M94+สตูล!M94+สุราษฎร์ธานี!M94</f>
        <v>910110</v>
      </c>
      <c r="N94" s="156">
        <f ca="1">กระบี่!N94+ชุมพร!N94+ตรัง!N94+นครศรีธรรมราช!N94+นราธิวาส!N94+ปัตตานี!N94+พังงา!N94+พัทลุง!N94+ภูเก็ต!N94+ยะลา!N94+ระนอง!N94+สงขลา!N94+สตูล!N94+สุราษฎร์ธานี!N94</f>
        <v>667740</v>
      </c>
      <c r="O94" s="155">
        <f t="shared" ref="O94:O96" ca="1" si="48">IF(L94&gt;0,N94*100/L94,0)</f>
        <v>56.693835965359142</v>
      </c>
      <c r="P94" s="155">
        <f t="shared" ref="P94:P96" ca="1" si="49">IF(M94&gt;0,N94*100/M94,0)</f>
        <v>73.369153179286016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8"/>
      <c r="J95" s="168"/>
      <c r="K95" s="169"/>
      <c r="L95" s="161">
        <f>กระบี่!L95+ชุมพร!L95+ตรัง!L95+นครศรีธรรมราช!L95+นราธิวาส!L95+ปัตตานี!L95+พังงา!L95+พัทลุง!L95+ภูเก็ต!L95+ยะลา!L95+ระนอง!L95+สงขลา!L95+สตูล!L95+สุราษฎร์ธานี!L95</f>
        <v>0</v>
      </c>
      <c r="M95" s="161">
        <f>กระบี่!M95+ชุมพร!M95+ตรัง!M95+นครศรีธรรมราช!M95+นราธิวาส!M95+ปัตตานี!M95+พังงา!M95+พัทลุง!M95+ภูเก็ต!M95+ยะลา!M95+ระนอง!M95+สงขลา!M95+สตูล!M95+สุราษฎร์ธานี!M95</f>
        <v>0</v>
      </c>
      <c r="N95" s="161">
        <f>กระบี่!N95+ชุมพร!N95+ตรัง!N95+นครศรีธรรมราช!N95+นราธิวาส!N95+ปัตตานี!N95+พังงา!N95+พัทลุง!N95+ภูเก็ต!N95+ยะลา!N95+ระนอง!N95+สงขลา!N95+สตูล!N95+สุราษฎร์ธานี!N95</f>
        <v>0</v>
      </c>
      <c r="O95" s="160">
        <f t="shared" si="48"/>
        <v>0</v>
      </c>
      <c r="P95" s="160">
        <f t="shared" si="49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8"/>
      <c r="J96" s="168"/>
      <c r="K96" s="169"/>
      <c r="L96" s="161">
        <f ca="1">กระบี่!L96+ชุมพร!L96+ตรัง!L96+นครศรีธรรมราช!L96+นราธิวาส!L96+ปัตตานี!L96+พังงา!L96+พัทลุง!L96+ภูเก็ต!L96+ยะลา!L96+ระนอง!L96+สงขลา!L96+สตูล!L96+สุราษฎร์ธานี!L96</f>
        <v>1177800</v>
      </c>
      <c r="M96" s="161">
        <f ca="1">กระบี่!M96+ชุมพร!M96+ตรัง!M96+นครศรีธรรมราช!M96+นราธิวาส!M96+ปัตตานี!M96+พังงา!M96+พัทลุง!M96+ภูเก็ต!M96+ยะลา!M96+ระนอง!M96+สงขลา!M96+สตูล!M96+สุราษฎร์ธานี!M96</f>
        <v>910110</v>
      </c>
      <c r="N96" s="161">
        <f ca="1">กระบี่!N96+ชุมพร!N96+ตรัง!N96+นครศรีธรรมราช!N96+นราธิวาส!N96+ปัตตานี!N96+พังงา!N96+พัทลุง!N96+ภูเก็ต!N96+ยะลา!N96+ระนอง!N96+สงขลา!N96+สตูล!N96+สุราษฎร์ธานี!N96</f>
        <v>667740</v>
      </c>
      <c r="O96" s="160">
        <f t="shared" ca="1" si="48"/>
        <v>56.693835965359142</v>
      </c>
      <c r="P96" s="160">
        <f t="shared" ca="1" si="49"/>
        <v>73.369153179286016</v>
      </c>
    </row>
    <row r="97" spans="1:16" ht="21.75" customHeight="1" x14ac:dyDescent="0.35">
      <c r="A97" s="162"/>
      <c r="B97" s="163"/>
      <c r="C97" s="163" t="s">
        <v>16</v>
      </c>
      <c r="D97" s="164" t="s">
        <v>38</v>
      </c>
      <c r="E97" s="165"/>
      <c r="F97" s="165"/>
      <c r="G97" s="166" t="s">
        <v>39</v>
      </c>
      <c r="H97" s="167" t="s">
        <v>12</v>
      </c>
      <c r="I97" s="168" t="s">
        <v>40</v>
      </c>
      <c r="J97" s="168"/>
      <c r="K97" s="169"/>
      <c r="L97" s="170">
        <f>กระบี่!L97+ชุมพร!L97+ตรัง!L97+นครศรีธรรมราช!L97+นราธิวาส!L97+ปัตตานี!L97+พังงา!L97+พัทลุง!L97+ภูเก็ต!L97+ยะลา!L97+ระนอง!L97+สงขลา!L97+สตูล!L97+สุราษฎร์ธานี!L97</f>
        <v>0</v>
      </c>
      <c r="M97" s="170">
        <f>กระบี่!M97+ชุมพร!M97+ตรัง!M97+นครศรีธรรมราช!M97+นราธิวาส!M97+ปัตตานี!M97+พังงา!M97+พัทลุง!M97+ภูเก็ต!M97+ยะลา!M97+ระนอง!M97+สงขลา!M97+สตูล!M97+สุราษฎร์ธานี!M97</f>
        <v>0</v>
      </c>
      <c r="N97" s="170">
        <f>กระบี่!N97+ชุมพร!N97+ตรัง!N97+นครศรีธรรมราช!N97+นราธิวาส!N97+ปัตตานี!N97+พังงา!N97+พัทลุง!N97+ภูเก็ต!N97+ยะลา!N97+ระนอง!N97+สงขลา!N97+สตูล!N97+สุราษฎร์ธานี!N97</f>
        <v>0</v>
      </c>
      <c r="O97" s="171">
        <f>+IF(L97&gt;0,N97*100/L97,0)</f>
        <v>0</v>
      </c>
      <c r="P97" s="171"/>
    </row>
    <row r="98" spans="1:16" ht="21.75" customHeight="1" x14ac:dyDescent="0.35">
      <c r="A98" s="162"/>
      <c r="B98" s="163"/>
      <c r="C98" s="163"/>
      <c r="D98" s="172"/>
      <c r="E98" s="165"/>
      <c r="F98" s="165" t="s">
        <v>40</v>
      </c>
      <c r="G98" s="166" t="s">
        <v>41</v>
      </c>
      <c r="H98" s="167" t="s">
        <v>12</v>
      </c>
      <c r="I98" s="168"/>
      <c r="J98" s="168"/>
      <c r="K98" s="169"/>
      <c r="L98" s="173">
        <f ca="1">กระบี่!L98+ชุมพร!L98+ตรัง!L98+นครศรีธรรมราช!L98+นราธิวาส!L98+ปัตตานี!L98+พังงา!L98+พัทลุง!L98+ภูเก็ต!L98+ยะลา!L98+ระนอง!L98+สงขลา!L98+สตูล!L98+สุราษฎร์ธานี!L98</f>
        <v>623400</v>
      </c>
      <c r="M98" s="174">
        <f ca="1">กระบี่!M98+ชุมพร!M98+ตรัง!M98+นครศรีธรรมราช!M98+นราธิวาส!M98+ปัตตานี!M98+พังงา!M98+พัทลุง!M98+ภูเก็ต!M98+ยะลา!M98+ระนอง!M98+สงขลา!M98+สตูล!M98+สุราษฎร์ธานี!M98</f>
        <v>355710</v>
      </c>
      <c r="N98" s="175">
        <f ca="1">กระบี่!N98+ชุมพร!N98+ตรัง!N98+นครศรีธรรมราช!N98+นราธิวาส!N98+ปัตตานี!N98+พังงา!N98+พัทลุง!N98+ภูเก็ต!N98+ยะลา!N98+ระนอง!N98+สงขลา!N98+สตูล!N98+สุราษฎร์ธานี!N98</f>
        <v>113340</v>
      </c>
      <c r="O98" s="176">
        <f ca="1">IF(L98&gt;0,N98*100/L98,0)</f>
        <v>18.180943214629451</v>
      </c>
      <c r="P98" s="176">
        <f ca="1">IF(M98&gt;0,N98*100/M98,0)</f>
        <v>31.863034494391499</v>
      </c>
    </row>
    <row r="99" spans="1:16" ht="21.75" customHeight="1" x14ac:dyDescent="0.35">
      <c r="A99" s="162"/>
      <c r="B99" s="163"/>
      <c r="C99" s="163"/>
      <c r="D99" s="172"/>
      <c r="E99" s="165"/>
      <c r="F99" s="165"/>
      <c r="G99" s="177" t="s">
        <v>42</v>
      </c>
      <c r="H99" s="167" t="s">
        <v>12</v>
      </c>
      <c r="I99" s="168"/>
      <c r="J99" s="168"/>
      <c r="K99" s="169"/>
      <c r="L99" s="174">
        <f ca="1">กระบี่!L99+ชุมพร!L99+ตรัง!L99+นครศรีธรรมราช!L99+นราธิวาส!L99+ปัตตานี!L99+พังงา!L99+พัทลุง!L99+ภูเก็ต!L99+ยะลา!L99+ระนอง!L99+สงขลา!L99+สตูล!L99+สุราษฎร์ธานี!L99</f>
        <v>0</v>
      </c>
      <c r="M99" s="173"/>
      <c r="N99" s="173"/>
      <c r="O99" s="176"/>
      <c r="P99" s="176"/>
    </row>
    <row r="100" spans="1:16" ht="21.75" customHeight="1" x14ac:dyDescent="0.35">
      <c r="A100" s="162"/>
      <c r="B100" s="163"/>
      <c r="C100" s="163"/>
      <c r="D100" s="172"/>
      <c r="E100" s="165"/>
      <c r="F100" s="165"/>
      <c r="G100" s="177" t="s">
        <v>43</v>
      </c>
      <c r="H100" s="167" t="s">
        <v>12</v>
      </c>
      <c r="I100" s="168"/>
      <c r="J100" s="195"/>
      <c r="K100" s="231"/>
      <c r="L100" s="174">
        <f ca="1">กระบี่!L100+ชุมพร!L100+ตรัง!L100+นครศรีธรรมราช!L100+นราธิวาส!L100+ปัตตานี!L100+พังงา!L100+พัทลุง!L100+ภูเก็ต!L100+ยะลา!L100+ระนอง!L100+สงขลา!L100+สตูล!L100+สุราษฎร์ธานี!L100</f>
        <v>623400</v>
      </c>
      <c r="M100" s="173"/>
      <c r="N100" s="173"/>
      <c r="O100" s="176"/>
      <c r="P100" s="176"/>
    </row>
    <row r="101" spans="1:16" ht="21.75" customHeight="1" x14ac:dyDescent="0.45">
      <c r="A101" s="178"/>
      <c r="B101" s="81"/>
      <c r="C101" s="82" t="s">
        <v>16</v>
      </c>
      <c r="D101" s="549" t="s">
        <v>23</v>
      </c>
      <c r="E101" s="545"/>
      <c r="F101" s="89"/>
      <c r="G101" s="83" t="s">
        <v>18</v>
      </c>
      <c r="H101" s="179" t="s">
        <v>12</v>
      </c>
      <c r="I101" s="195"/>
      <c r="J101" s="195"/>
      <c r="K101" s="231"/>
      <c r="L101" s="93">
        <f>กระบี่!L101+ชุมพร!L101+ตรัง!L101+นครศรีธรรมราช!L101+นราธิวาส!L101+ปัตตานี!L101+พังงา!L101+พัทลุง!L101+ภูเก็ต!L101+ยะลา!L101+ระนอง!L101+สงขลา!L101+สตูล!L101+สุราษฎร์ธานี!L101</f>
        <v>0</v>
      </c>
      <c r="M101" s="93"/>
      <c r="N101" s="42"/>
      <c r="O101" s="93"/>
      <c r="P101" s="93"/>
    </row>
    <row r="102" spans="1:16" ht="21.75" customHeight="1" x14ac:dyDescent="0.45">
      <c r="A102" s="180"/>
      <c r="B102" s="95"/>
      <c r="C102" s="95"/>
      <c r="D102" s="181"/>
      <c r="E102" s="96"/>
      <c r="F102" s="96"/>
      <c r="G102" s="97" t="s">
        <v>19</v>
      </c>
      <c r="H102" s="182" t="s">
        <v>12</v>
      </c>
      <c r="I102" s="195"/>
      <c r="J102" s="195"/>
      <c r="K102" s="231"/>
      <c r="L102" s="91">
        <f ca="1">กระบี่!L102+ชุมพร!L102+ตรัง!L102+นครศรีธรรมราช!L102+นราธิวาส!L102+ปัตตานี!L102+พังงา!L102+พัทลุง!L102+ภูเก็ต!L102+ยะลา!L102+ระนอง!L102+สงขลา!L102+สตูล!L102+สุราษฎร์ธานี!L102</f>
        <v>554400</v>
      </c>
      <c r="M102" s="101">
        <f ca="1">กระบี่!M102+ชุมพร!M102+ตรัง!M102+นครศรีธรรมราช!M102+นราธิวาส!M102+ปัตตานี!M102+พังงา!M102+พัทลุง!M102+ภูเก็ต!M102+ยะลา!M102+ระนอง!M102+สงขลา!M102+สตูล!M102+สุราษฎร์ธานี!M102</f>
        <v>554400</v>
      </c>
      <c r="N102" s="91">
        <f ca="1">กระบี่!N102+ชุมพร!N102+ตรัง!N102+นครศรีธรรมราช!N102+นราธิวาส!N102+ปัตตานี!N102+พังงา!N102+พัทลุง!N102+ภูเก็ต!N102+ยะลา!N102+ระนอง!N102+สงขลา!N102+สตูล!N102+สุราษฎร์ธานี!N102</f>
        <v>554400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3"/>
      <c r="B103" s="184"/>
      <c r="C103" s="163" t="s">
        <v>16</v>
      </c>
      <c r="D103" s="185" t="s">
        <v>44</v>
      </c>
      <c r="E103" s="186"/>
      <c r="F103" s="186"/>
      <c r="G103" s="187"/>
      <c r="H103" s="188"/>
      <c r="I103" s="168"/>
      <c r="J103" s="195"/>
      <c r="K103" s="231"/>
      <c r="L103" s="176"/>
      <c r="M103" s="176"/>
      <c r="N103" s="176"/>
      <c r="O103" s="189"/>
      <c r="P103" s="189"/>
    </row>
    <row r="104" spans="1:16" ht="21.75" customHeight="1" x14ac:dyDescent="0.35">
      <c r="A104" s="183"/>
      <c r="B104" s="184"/>
      <c r="C104" s="184"/>
      <c r="D104" s="190">
        <v>1</v>
      </c>
      <c r="E104" s="191" t="s">
        <v>45</v>
      </c>
      <c r="F104" s="192"/>
      <c r="G104" s="193"/>
      <c r="H104" s="194"/>
      <c r="I104" s="195"/>
      <c r="J104" s="195">
        <f ca="1">กระบี่!J104+ชุมพร!J104+ตรัง!J104+นครศรีธรรมราช!J104+นราธิวาส!J104+ปัตตานี!J104+พังงา!J104+พัทลุง!J104+ภูเก็ต!J104+ยะลา!J104+ระนอง!J104+สงขลา!J104+สตูล!J104+สุราษฎร์ธานี!J104</f>
        <v>0</v>
      </c>
      <c r="K104" s="231"/>
      <c r="L104" s="176"/>
      <c r="M104" s="176"/>
      <c r="N104" s="176"/>
      <c r="O104" s="189"/>
      <c r="P104" s="189"/>
    </row>
    <row r="105" spans="1:16" ht="21.75" customHeight="1" x14ac:dyDescent="0.35">
      <c r="A105" s="183"/>
      <c r="B105" s="184"/>
      <c r="C105" s="184"/>
      <c r="D105" s="197">
        <v>2</v>
      </c>
      <c r="E105" s="198" t="s">
        <v>46</v>
      </c>
      <c r="F105" s="199"/>
      <c r="G105" s="200"/>
      <c r="H105" s="194"/>
      <c r="I105" s="195"/>
      <c r="J105" s="195">
        <f ca="1">กระบี่!J105+ชุมพร!J105+ตรัง!J105+นครศรีธรรมราช!J105+นราธิวาส!J105+ปัตตานี!J105+พังงา!J105+พัทลุง!J105+ภูเก็ต!J105+ยะลา!J105+ระนอง!J105+สงขลา!J105+สตูล!J105+สุราษฎร์ธานี!J105</f>
        <v>5</v>
      </c>
      <c r="K105" s="231"/>
      <c r="L105" s="176" t="s">
        <v>40</v>
      </c>
      <c r="M105" s="176"/>
      <c r="N105" s="176" t="s">
        <v>40</v>
      </c>
      <c r="O105" s="189"/>
      <c r="P105" s="189"/>
    </row>
    <row r="106" spans="1:16" ht="21.75" customHeight="1" x14ac:dyDescent="0.35">
      <c r="A106" s="183"/>
      <c r="B106" s="184"/>
      <c r="C106" s="184"/>
      <c r="D106" s="201"/>
      <c r="E106" s="202" t="s">
        <v>47</v>
      </c>
      <c r="F106" s="203"/>
      <c r="G106" s="204"/>
      <c r="H106" s="194"/>
      <c r="I106" s="195"/>
      <c r="J106" s="195">
        <f ca="1">กระบี่!J106+ชุมพร!J106+ตรัง!J106+นครศรีธรรมราช!J106+นราธิวาส!J106+ปัตตานี!J106+พังงา!J106+พัทลุง!J106+ภูเก็ต!J106+ยะลา!J106+ระนอง!J106+สงขลา!J106+สตูล!J106+สุราษฎร์ธานี!J106</f>
        <v>5</v>
      </c>
      <c r="K106" s="231"/>
      <c r="L106" s="176"/>
      <c r="M106" s="176"/>
      <c r="N106" s="176"/>
      <c r="O106" s="189"/>
      <c r="P106" s="189"/>
    </row>
    <row r="107" spans="1:16" ht="21.75" customHeight="1" x14ac:dyDescent="0.35">
      <c r="A107" s="183"/>
      <c r="B107" s="184"/>
      <c r="C107" s="184"/>
      <c r="D107" s="201"/>
      <c r="E107" s="202" t="s">
        <v>48</v>
      </c>
      <c r="F107" s="203"/>
      <c r="G107" s="204"/>
      <c r="H107" s="194"/>
      <c r="I107" s="195"/>
      <c r="J107" s="195">
        <f ca="1">กระบี่!J107+ชุมพร!J107+ตรัง!J107+นครศรีธรรมราช!J107+นราธิวาส!J107+ปัตตานี!J107+พังงา!J107+พัทลุง!J107+ภูเก็ต!J107+ยะลา!J107+ระนอง!J107+สงขลา!J107+สตูล!J107+สุราษฎร์ธานี!J107</f>
        <v>5</v>
      </c>
      <c r="K107" s="231"/>
      <c r="L107" s="176"/>
      <c r="M107" s="176"/>
      <c r="N107" s="176"/>
      <c r="O107" s="189"/>
      <c r="P107" s="189"/>
    </row>
    <row r="108" spans="1:16" ht="21.75" customHeight="1" x14ac:dyDescent="0.35">
      <c r="A108" s="183"/>
      <c r="B108" s="184"/>
      <c r="C108" s="184"/>
      <c r="D108" s="201"/>
      <c r="E108" s="203"/>
      <c r="F108" s="203" t="s">
        <v>60</v>
      </c>
      <c r="G108" s="203"/>
      <c r="H108" s="188" t="s">
        <v>61</v>
      </c>
      <c r="I108" s="210">
        <f ca="1">กระบี่!I108+ชุมพร!I108+ตรัง!I108+นครศรีธรรมราช!I108+นราธิวาส!I108+ปัตตานี!I108+พังงา!I108+พัทลุง!I108+ภูเก็ต!I108+ยะลา!I108+ระนอง!I108+สงขลา!I108+สตูล!I108+สุราษฎร์ธานี!I108</f>
        <v>5</v>
      </c>
      <c r="J108" s="211">
        <f ca="1">กระบี่!J108+ชุมพร!J108+ตรัง!J108+นครศรีธรรมราช!J108+นราธิวาส!J108+ปัตตานี!J108+พังงา!J108+พัทลุง!J108+ภูเก็ต!J108+ยะลา!J108+ระนอง!J108+สงขลา!J108+สตูล!J108+สุราษฎร์ธานี!J108</f>
        <v>2</v>
      </c>
      <c r="K108" s="231">
        <f t="shared" ref="K108:K113" ca="1" si="50">IF(I108&gt;0,J108*100/I108,0)</f>
        <v>40</v>
      </c>
      <c r="L108" s="176"/>
      <c r="M108" s="176"/>
      <c r="N108" s="176"/>
      <c r="O108" s="189"/>
      <c r="P108" s="189"/>
    </row>
    <row r="109" spans="1:16" ht="21.75" customHeight="1" x14ac:dyDescent="0.35">
      <c r="A109" s="183"/>
      <c r="B109" s="184"/>
      <c r="C109" s="184"/>
      <c r="D109" s="201"/>
      <c r="E109" s="206"/>
      <c r="F109" s="202" t="s">
        <v>62</v>
      </c>
      <c r="G109" s="203"/>
      <c r="H109" s="188" t="s">
        <v>37</v>
      </c>
      <c r="I109" s="210">
        <f ca="1">กระบี่!I109+ชุมพร!I109+ตรัง!I109+นครศรีธรรมราช!I109+นราธิวาส!I109+ปัตตานี!I109+พังงา!I109+พัทลุง!I109+ภูเก็ต!I109+ยะลา!I109+ระนอง!I109+สงขลา!I109+สตูล!I109+สุราษฎร์ธานี!I109</f>
        <v>23</v>
      </c>
      <c r="J109" s="211">
        <f ca="1">กระบี่!J109+ชุมพร!J109+ตรัง!J109+นครศรีธรรมราช!J109+นราธิวาส!J109+ปัตตานี!J109+พังงา!J109+พัทลุง!J109+ภูเก็ต!J109+ยะลา!J109+ระนอง!J109+สงขลา!J109+สตูล!J109+สุราษฎร์ธานี!J109</f>
        <v>0</v>
      </c>
      <c r="K109" s="231">
        <f t="shared" ca="1" si="50"/>
        <v>0</v>
      </c>
      <c r="L109" s="176"/>
      <c r="M109" s="176"/>
      <c r="N109" s="176"/>
      <c r="O109" s="189"/>
      <c r="P109" s="189"/>
    </row>
    <row r="110" spans="1:16" ht="21.75" customHeight="1" x14ac:dyDescent="0.35">
      <c r="A110" s="183"/>
      <c r="B110" s="184"/>
      <c r="C110" s="184"/>
      <c r="D110" s="201"/>
      <c r="E110" s="206"/>
      <c r="F110" s="203"/>
      <c r="G110" s="232" t="s">
        <v>63</v>
      </c>
      <c r="H110" s="188" t="s">
        <v>37</v>
      </c>
      <c r="I110" s="210">
        <f ca="1">กระบี่!I110+ชุมพร!I110+ตรัง!I110+นครศรีธรรมราช!I110+นราธิวาส!I110+ปัตตานี!I110+พังงา!I110+พัทลุง!I110+ภูเก็ต!I110+ยะลา!I110+ระนอง!I110+สงขลา!I110+สตูล!I110+สุราษฎร์ธานี!I110</f>
        <v>23</v>
      </c>
      <c r="J110" s="211">
        <f ca="1">กระบี่!J110+ชุมพร!J110+ตรัง!J110+นครศรีธรรมราช!J110+นราธิวาส!J110+ปัตตานี!J110+พังงา!J110+พัทลุง!J110+ภูเก็ต!J110+ยะลา!J110+ระนอง!J110+สงขลา!J110+สตูล!J110+สุราษฎร์ธานี!J110</f>
        <v>23</v>
      </c>
      <c r="K110" s="231">
        <f t="shared" ca="1" si="50"/>
        <v>100</v>
      </c>
      <c r="L110" s="176"/>
      <c r="M110" s="176"/>
      <c r="N110" s="176"/>
      <c r="O110" s="189"/>
      <c r="P110" s="189"/>
    </row>
    <row r="111" spans="1:16" ht="21.75" customHeight="1" x14ac:dyDescent="0.35">
      <c r="A111" s="183"/>
      <c r="B111" s="184"/>
      <c r="C111" s="184"/>
      <c r="D111" s="201"/>
      <c r="E111" s="206"/>
      <c r="F111" s="203"/>
      <c r="G111" s="232" t="s">
        <v>64</v>
      </c>
      <c r="H111" s="188" t="s">
        <v>37</v>
      </c>
      <c r="I111" s="210">
        <f ca="1">กระบี่!I111+ชุมพร!I111+ตรัง!I111+นครศรีธรรมราช!I111+นราธิวาส!I111+ปัตตานี!I111+พังงา!I111+พัทลุง!I111+ภูเก็ต!I111+ยะลา!I111+ระนอง!I111+สงขลา!I111+สตูล!I111+สุราษฎร์ธานี!I111</f>
        <v>23</v>
      </c>
      <c r="J111" s="211">
        <f ca="1">กระบี่!J111+ชุมพร!J111+ตรัง!J111+นครศรีธรรมราช!J111+นราธิวาส!J111+ปัตตานี!J111+พังงา!J111+พัทลุง!J111+ภูเก็ต!J111+ยะลา!J111+ระนอง!J111+สงขลา!J111+สตูล!J111+สุราษฎร์ธานี!J111</f>
        <v>8</v>
      </c>
      <c r="K111" s="231">
        <f t="shared" ca="1" si="50"/>
        <v>34.782608695652172</v>
      </c>
      <c r="L111" s="176"/>
      <c r="M111" s="176"/>
      <c r="N111" s="176"/>
      <c r="O111" s="189"/>
      <c r="P111" s="189"/>
    </row>
    <row r="112" spans="1:16" ht="21.75" customHeight="1" x14ac:dyDescent="0.35">
      <c r="A112" s="183"/>
      <c r="B112" s="184"/>
      <c r="C112" s="184"/>
      <c r="D112" s="201"/>
      <c r="E112" s="206"/>
      <c r="F112" s="203"/>
      <c r="G112" s="233" t="s">
        <v>65</v>
      </c>
      <c r="H112" s="188" t="s">
        <v>37</v>
      </c>
      <c r="I112" s="210">
        <f ca="1">กระบี่!I112+ชุมพร!I112+ตรัง!I112+นครศรีธรรมราช!I112+นราธิวาส!I112+ปัตตานี!I112+พังงา!I112+พัทลุง!I112+ภูเก็ต!I112+ยะลา!I112+ระนอง!I112+สงขลา!I112+สตูล!I112+สุราษฎร์ธานี!I112</f>
        <v>23</v>
      </c>
      <c r="J112" s="211">
        <f ca="1">กระบี่!J112+ชุมพร!J112+ตรัง!J112+นครศรีธรรมราช!J112+นราธิวาส!J112+ปัตตานี!J112+พังงา!J112+พัทลุง!J112+ภูเก็ต!J112+ยะลา!J112+ระนอง!J112+สงขลา!J112+สตูล!J112+สุราษฎร์ธานี!J112</f>
        <v>0</v>
      </c>
      <c r="K112" s="231">
        <f t="shared" ca="1" si="50"/>
        <v>0</v>
      </c>
      <c r="L112" s="176"/>
      <c r="M112" s="176"/>
      <c r="N112" s="176"/>
      <c r="O112" s="189"/>
      <c r="P112" s="189"/>
    </row>
    <row r="113" spans="1:16" ht="21.75" customHeight="1" x14ac:dyDescent="0.35">
      <c r="A113" s="183"/>
      <c r="B113" s="184"/>
      <c r="C113" s="184"/>
      <c r="D113" s="201"/>
      <c r="E113" s="206"/>
      <c r="F113" s="203" t="s">
        <v>66</v>
      </c>
      <c r="G113" s="203"/>
      <c r="H113" s="188" t="s">
        <v>59</v>
      </c>
      <c r="I113" s="210">
        <f ca="1">กระบี่!I113+ชุมพร!I113+ตรัง!I113+นครศรีธรรมราช!I113+นราธิวาส!I113+ปัตตานี!I113+พังงา!I113+พัทลุง!I113+ภูเก็ต!I113+ยะลา!I113+ระนอง!I113+สงขลา!I113+สตูล!I113+สุราษฎร์ธานี!I113</f>
        <v>6</v>
      </c>
      <c r="J113" s="211">
        <f ca="1">กระบี่!J113+ชุมพร!J113+ตรัง!J113+นครศรีธรรมราช!J113+นราธิวาส!J113+ปัตตานี!J113+พังงา!J113+พัทลุง!J113+ภูเก็ต!J113+ยะลา!J113+ระนอง!J113+สงขลา!J113+สตูล!J113+สุราษฎร์ธานี!J113</f>
        <v>3</v>
      </c>
      <c r="K113" s="231">
        <f t="shared" ca="1" si="50"/>
        <v>50</v>
      </c>
      <c r="L113" s="176"/>
      <c r="M113" s="176"/>
      <c r="N113" s="176"/>
      <c r="O113" s="189"/>
      <c r="P113" s="189"/>
    </row>
    <row r="114" spans="1:16" ht="21.75" customHeight="1" x14ac:dyDescent="0.35">
      <c r="A114" s="183"/>
      <c r="B114" s="184"/>
      <c r="C114" s="184"/>
      <c r="D114" s="201"/>
      <c r="E114" s="202" t="s">
        <v>54</v>
      </c>
      <c r="F114" s="203"/>
      <c r="G114" s="204"/>
      <c r="H114" s="194"/>
      <c r="I114" s="195"/>
      <c r="J114" s="195">
        <f ca="1">กระบี่!J114+ชุมพร!J114+ตรัง!J114+นครศรีธรรมราช!J114+นราธิวาส!J114+ปัตตานี!J114+พังงา!J114+พัทลุง!J114+ภูเก็ต!J114+ยะลา!J114+ระนอง!J114+สงขลา!J114+สตูล!J114+สุราษฎร์ธานี!J114</f>
        <v>0</v>
      </c>
      <c r="K114" s="231"/>
      <c r="L114" s="176"/>
      <c r="M114" s="176"/>
      <c r="N114" s="176"/>
      <c r="O114" s="189"/>
      <c r="P114" s="189"/>
    </row>
    <row r="115" spans="1:16" ht="21.75" customHeight="1" x14ac:dyDescent="0.35">
      <c r="A115" s="183"/>
      <c r="B115" s="184"/>
      <c r="C115" s="184"/>
      <c r="D115" s="213">
        <v>3</v>
      </c>
      <c r="E115" s="214" t="s">
        <v>55</v>
      </c>
      <c r="F115" s="215"/>
      <c r="G115" s="216"/>
      <c r="H115" s="194"/>
      <c r="I115" s="195"/>
      <c r="J115" s="234">
        <f ca="1">กระบี่!J115+ชุมพร!J115+ตรัง!J115+นครศรีธรรมราช!J115+นราธิวาส!J115+ปัตตานี!J115+พังงา!J115+พัทลุง!J115+ภูเก็ต!J115+ยะลา!J115+ระนอง!J115+สงขลา!J115+สตูล!J115+สุราษฎร์ธานี!J115</f>
        <v>0</v>
      </c>
      <c r="K115" s="231"/>
      <c r="L115" s="176"/>
      <c r="M115" s="176"/>
      <c r="N115" s="176"/>
      <c r="O115" s="189"/>
      <c r="P115" s="189"/>
    </row>
    <row r="116" spans="1:16" ht="21.75" customHeight="1" x14ac:dyDescent="0.35">
      <c r="A116" s="218" t="s">
        <v>67</v>
      </c>
      <c r="B116" s="235"/>
      <c r="C116" s="236"/>
      <c r="D116" s="235"/>
      <c r="E116" s="237"/>
      <c r="F116" s="237"/>
      <c r="G116" s="238"/>
      <c r="H116" s="223"/>
      <c r="I116" s="224"/>
      <c r="J116" s="224"/>
      <c r="K116" s="225"/>
      <c r="L116" s="226"/>
      <c r="M116" s="226"/>
      <c r="N116" s="226"/>
      <c r="O116" s="227"/>
      <c r="P116" s="227"/>
    </row>
    <row r="117" spans="1:16" ht="21.75" customHeight="1" x14ac:dyDescent="0.35">
      <c r="A117" s="142"/>
      <c r="B117" s="143" t="s">
        <v>68</v>
      </c>
      <c r="C117" s="239"/>
      <c r="D117" s="144"/>
      <c r="E117" s="143"/>
      <c r="F117" s="143"/>
      <c r="G117" s="228"/>
      <c r="H117" s="145" t="s">
        <v>37</v>
      </c>
      <c r="I117" s="146">
        <f ca="1">กระบี่!I117+ชุมพร!I117+ตรัง!I117+นครศรีธรรมราช!I117+นราธิวาส!I117+ปัตตานี!I117+พังงา!I117+พัทลุง!I117+ภูเก็ต!I117+ยะลา!I117+ระนอง!I117+สงขลา!I117+สตูล!I117+สุราษฎร์ธานี!I117</f>
        <v>75</v>
      </c>
      <c r="J117" s="146">
        <f ca="1">กระบี่!J117+ชุมพร!J117+ตรัง!J117+นครศรีธรรมราช!J117+นราธิวาส!J117+ปัตตานี!J117+พังงา!J117+พัทลุง!J117+ภูเก็ต!J117+ยะลา!J117+ระนอง!J117+สงขลา!J117+สตูล!J117+สุราษฎร์ธานี!J117</f>
        <v>75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52" t="s">
        <v>17</v>
      </c>
      <c r="E118" s="543"/>
      <c r="F118" s="543"/>
      <c r="G118" s="543"/>
      <c r="H118" s="153" t="s">
        <v>12</v>
      </c>
      <c r="I118" s="168"/>
      <c r="J118" s="168"/>
      <c r="K118" s="169"/>
      <c r="L118" s="156">
        <f ca="1">กระบี่!L118+ชุมพร!L118+ตรัง!L118+นครศรีธรรมราช!L118+นราธิวาส!L118+ปัตตานี!L118+พังงา!L118+พัทลุง!L118+ภูเก็ต!L118+ยะลา!L118+ระนอง!L118+สงขลา!L118+สตูล!L118+สุราษฎร์ธานี!L118</f>
        <v>324450</v>
      </c>
      <c r="M118" s="156">
        <f ca="1">กระบี่!M118+ชุมพร!M118+ตรัง!M118+นครศรีธรรมราช!M118+นราธิวาส!M118+ปัตตานี!M118+พังงา!M118+พัทลุง!M118+ภูเก็ต!M118+ยะลา!M118+ระนอง!M118+สงขลา!M118+สตูล!M118+สุราษฎร์ธานี!M118</f>
        <v>264450</v>
      </c>
      <c r="N118" s="156">
        <f ca="1">กระบี่!N118+ชุมพร!N118+ตรัง!N118+นครศรีธรรมราช!N118+นราธิวาส!N118+ปัตตานี!N118+พังงา!N118+พัทลุง!N118+ภูเก็ต!N118+ยะลา!N118+ระนอง!N118+สงขลา!N118+สตูล!N118+สุราษฎร์ธานี!N118</f>
        <v>146930</v>
      </c>
      <c r="O118" s="155">
        <f t="shared" ref="O118:O120" ca="1" si="51">IF(L118&gt;0,N118*100/L118,0)</f>
        <v>45.285868392664511</v>
      </c>
      <c r="P118" s="155">
        <f t="shared" ref="P118:P120" ca="1" si="52">IF(M118&gt;0,N118*100/M118,0)</f>
        <v>55.560597466439781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8"/>
      <c r="J119" s="168"/>
      <c r="K119" s="169"/>
      <c r="L119" s="161">
        <f>กระบี่!L119+ชุมพร!L119+ตรัง!L119+นครศรีธรรมราช!L119+นราธิวาส!L119+ปัตตานี!L119+พังงา!L119+พัทลุง!L119+ภูเก็ต!L119+ยะลา!L119+ระนอง!L119+สงขลา!L119+สตูล!L119+สุราษฎร์ธานี!L119</f>
        <v>0</v>
      </c>
      <c r="M119" s="161">
        <f>กระบี่!M119+ชุมพร!M119+ตรัง!M119+นครศรีธรรมราช!M119+นราธิวาส!M119+ปัตตานี!M119+พังงา!M119+พัทลุง!M119+ภูเก็ต!M119+ยะลา!M119+ระนอง!M119+สงขลา!M119+สตูล!M119+สุราษฎร์ธานี!M119</f>
        <v>0</v>
      </c>
      <c r="N119" s="161">
        <f>กระบี่!N119+ชุมพร!N119+ตรัง!N119+นครศรีธรรมราช!N119+นราธิวาส!N119+ปัตตานี!N119+พังงา!N119+พัทลุง!N119+ภูเก็ต!N119+ยะลา!N119+ระนอง!N119+สงขลา!N119+สตูล!N119+สุราษฎร์ธานี!N119</f>
        <v>0</v>
      </c>
      <c r="O119" s="160">
        <f t="shared" si="51"/>
        <v>0</v>
      </c>
      <c r="P119" s="160">
        <f t="shared" si="52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8"/>
      <c r="J120" s="168"/>
      <c r="K120" s="169"/>
      <c r="L120" s="161">
        <f ca="1">กระบี่!L120+ชุมพร!L120+ตรัง!L120+นครศรีธรรมราช!L120+นราธิวาส!L120+ปัตตานี!L120+พังงา!L120+พัทลุง!L120+ภูเก็ต!L120+ยะลา!L120+ระนอง!L120+สงขลา!L120+สตูล!L120+สุราษฎร์ธานี!L120</f>
        <v>324450</v>
      </c>
      <c r="M120" s="161">
        <f ca="1">กระบี่!M120+ชุมพร!M120+ตรัง!M120+นครศรีธรรมราช!M120+นราธิวาส!M120+ปัตตานี!M120+พังงา!M120+พัทลุง!M120+ภูเก็ต!M120+ยะลา!M120+ระนอง!M120+สงขลา!M120+สตูล!M120+สุราษฎร์ธานี!M120</f>
        <v>264450</v>
      </c>
      <c r="N120" s="161">
        <f ca="1">กระบี่!N120+ชุมพร!N120+ตรัง!N120+นครศรีธรรมราช!N120+นราธิวาส!N120+ปัตตานี!N120+พังงา!N120+พัทลุง!N120+ภูเก็ต!N120+ยะลา!N120+ระนอง!N120+สงขลา!N120+สตูล!N120+สุราษฎร์ธานี!N120</f>
        <v>146930</v>
      </c>
      <c r="O120" s="160">
        <f t="shared" ca="1" si="51"/>
        <v>45.285868392664511</v>
      </c>
      <c r="P120" s="160">
        <f t="shared" ca="1" si="52"/>
        <v>55.560597466439781</v>
      </c>
    </row>
    <row r="121" spans="1:16" ht="21.75" customHeight="1" x14ac:dyDescent="0.35">
      <c r="A121" s="162"/>
      <c r="B121" s="163"/>
      <c r="C121" s="163" t="s">
        <v>16</v>
      </c>
      <c r="D121" s="164" t="s">
        <v>38</v>
      </c>
      <c r="E121" s="165"/>
      <c r="F121" s="165"/>
      <c r="G121" s="166" t="s">
        <v>39</v>
      </c>
      <c r="H121" s="167" t="s">
        <v>12</v>
      </c>
      <c r="I121" s="168" t="s">
        <v>40</v>
      </c>
      <c r="J121" s="168"/>
      <c r="K121" s="169"/>
      <c r="L121" s="170">
        <f>กระบี่!L121+ชุมพร!L121+ตรัง!L121+นครศรีธรรมราช!L121+นราธิวาส!L121+ปัตตานี!L121+พังงา!L121+พัทลุง!L121+ภูเก็ต!L121+ยะลา!L121+ระนอง!L121+สงขลา!L121+สตูล!L121+สุราษฎร์ธานี!L121</f>
        <v>0</v>
      </c>
      <c r="M121" s="170">
        <f>กระบี่!M121+ชุมพร!M121+ตรัง!M121+นครศรีธรรมราช!M121+นราธิวาส!M121+ปัตตานี!M121+พังงา!M121+พัทลุง!M121+ภูเก็ต!M121+ยะลา!M121+ระนอง!M121+สงขลา!M121+สตูล!M121+สุราษฎร์ธานี!M121</f>
        <v>0</v>
      </c>
      <c r="N121" s="170">
        <f>กระบี่!N121+ชุมพร!N121+ตรัง!N121+นครศรีธรรมราช!N121+นราธิวาส!N121+ปัตตานี!N121+พังงา!N121+พัทลุง!N121+ภูเก็ต!N121+ยะลา!N121+ระนอง!N121+สงขลา!N121+สตูล!N121+สุราษฎร์ธานี!N121</f>
        <v>0</v>
      </c>
      <c r="O121" s="171">
        <f>+IF(L121&gt;0,N121*100/L121,0)</f>
        <v>0</v>
      </c>
      <c r="P121" s="171"/>
    </row>
    <row r="122" spans="1:16" ht="21.75" customHeight="1" x14ac:dyDescent="0.35">
      <c r="A122" s="162"/>
      <c r="B122" s="163"/>
      <c r="C122" s="163"/>
      <c r="D122" s="172"/>
      <c r="E122" s="165"/>
      <c r="F122" s="165" t="s">
        <v>40</v>
      </c>
      <c r="G122" s="166" t="s">
        <v>41</v>
      </c>
      <c r="H122" s="167" t="s">
        <v>12</v>
      </c>
      <c r="I122" s="168"/>
      <c r="J122" s="168"/>
      <c r="K122" s="169"/>
      <c r="L122" s="173">
        <f ca="1">กระบี่!L122+ชุมพร!L122+ตรัง!L122+นครศรีธรรมราช!L122+นราธิวาส!L122+ปัตตานี!L122+พังงา!L122+พัทลุง!L122+ภูเก็ต!L122+ยะลา!L122+ระนอง!L122+สงขลา!L122+สตูล!L122+สุราษฎร์ธานี!L122</f>
        <v>324450</v>
      </c>
      <c r="M122" s="174">
        <f ca="1">กระบี่!M122+ชุมพร!M122+ตรัง!M122+นครศรีธรรมราช!M122+นราธิวาส!M122+ปัตตานี!M122+พังงา!M122+พัทลุง!M122+ภูเก็ต!M122+ยะลา!M122+ระนอง!M122+สงขลา!M122+สตูล!M122+สุราษฎร์ธานี!M122</f>
        <v>264450</v>
      </c>
      <c r="N122" s="175">
        <f ca="1">กระบี่!N122+ชุมพร!N122+ตรัง!N122+นครศรีธรรมราช!N122+นราธิวาส!N122+ปัตตานี!N122+พังงา!N122+พัทลุง!N122+ภูเก็ต!N122+ยะลา!N122+ระนอง!N122+สงขลา!N122+สตูล!N122+สุราษฎร์ธานี!N122</f>
        <v>146930</v>
      </c>
      <c r="O122" s="176">
        <f ca="1">IF(L122&gt;0,N122*100/L122,0)</f>
        <v>45.285868392664511</v>
      </c>
      <c r="P122" s="176">
        <f ca="1">IF(M122&gt;0,N122*100/M122,0)</f>
        <v>55.560597466439781</v>
      </c>
    </row>
    <row r="123" spans="1:16" ht="21.75" customHeight="1" x14ac:dyDescent="0.35">
      <c r="A123" s="162"/>
      <c r="B123" s="163"/>
      <c r="C123" s="163"/>
      <c r="D123" s="172"/>
      <c r="E123" s="165"/>
      <c r="F123" s="165"/>
      <c r="G123" s="177" t="s">
        <v>42</v>
      </c>
      <c r="H123" s="167" t="s">
        <v>12</v>
      </c>
      <c r="I123" s="168"/>
      <c r="J123" s="168"/>
      <c r="K123" s="169"/>
      <c r="L123" s="174">
        <f ca="1">กระบี่!L123+ชุมพร!L123+ตรัง!L123+นครศรีธรรมราช!L123+นราธิวาส!L123+ปัตตานี!L123+พังงา!L123+พัทลุง!L123+ภูเก็ต!L123+ยะลา!L123+ระนอง!L123+สงขลา!L123+สตูล!L123+สุราษฎร์ธานี!L123</f>
        <v>0</v>
      </c>
      <c r="M123" s="173"/>
      <c r="N123" s="173"/>
      <c r="O123" s="176"/>
      <c r="P123" s="176"/>
    </row>
    <row r="124" spans="1:16" ht="21.75" customHeight="1" x14ac:dyDescent="0.35">
      <c r="A124" s="162"/>
      <c r="B124" s="163"/>
      <c r="C124" s="163"/>
      <c r="D124" s="172"/>
      <c r="E124" s="165"/>
      <c r="F124" s="165"/>
      <c r="G124" s="177" t="s">
        <v>43</v>
      </c>
      <c r="H124" s="167" t="s">
        <v>12</v>
      </c>
      <c r="I124" s="168"/>
      <c r="J124" s="195"/>
      <c r="K124" s="231"/>
      <c r="L124" s="174">
        <f ca="1">กระบี่!L124+ชุมพร!L124+ตรัง!L124+นครศรีธรรมราช!L124+นราธิวาส!L124+ปัตตานี!L124+พังงา!L124+พัทลุง!L124+ภูเก็ต!L124+ยะลา!L124+ระนอง!L124+สงขลา!L124+สตูล!L124+สุราษฎร์ธานี!L124</f>
        <v>324450</v>
      </c>
      <c r="M124" s="173"/>
      <c r="N124" s="173"/>
      <c r="O124" s="176"/>
      <c r="P124" s="176"/>
    </row>
    <row r="125" spans="1:16" ht="21.75" customHeight="1" x14ac:dyDescent="0.45">
      <c r="A125" s="178"/>
      <c r="B125" s="81"/>
      <c r="C125" s="82" t="s">
        <v>16</v>
      </c>
      <c r="D125" s="549" t="s">
        <v>23</v>
      </c>
      <c r="E125" s="545"/>
      <c r="F125" s="89"/>
      <c r="G125" s="83" t="s">
        <v>18</v>
      </c>
      <c r="H125" s="179" t="s">
        <v>12</v>
      </c>
      <c r="I125" s="195"/>
      <c r="J125" s="195"/>
      <c r="K125" s="231"/>
      <c r="L125" s="93">
        <f>กระบี่!L125+ชุมพร!L125+ตรัง!L125+นครศรีธรรมราช!L125+นราธิวาส!L125+ปัตตานี!L125+พังงา!L125+พัทลุง!L125+ภูเก็ต!L125+ยะลา!L125+ระนอง!L125+สงขลา!L125+สตูล!L125+สุราษฎร์ธานี!L125</f>
        <v>0</v>
      </c>
      <c r="M125" s="93"/>
      <c r="N125" s="42"/>
      <c r="O125" s="93"/>
      <c r="P125" s="93"/>
    </row>
    <row r="126" spans="1:16" ht="21.75" customHeight="1" x14ac:dyDescent="0.45">
      <c r="A126" s="180"/>
      <c r="B126" s="95"/>
      <c r="C126" s="95"/>
      <c r="D126" s="181"/>
      <c r="E126" s="96"/>
      <c r="F126" s="96"/>
      <c r="G126" s="97" t="s">
        <v>19</v>
      </c>
      <c r="H126" s="182" t="s">
        <v>12</v>
      </c>
      <c r="I126" s="195"/>
      <c r="J126" s="195"/>
      <c r="K126" s="231"/>
      <c r="L126" s="91">
        <f ca="1">กระบี่!L126+ชุมพร!L126+ตรัง!L126+นครศรีธรรมราช!L126+นราธิวาส!L126+ปัตตานี!L126+พังงา!L126+พัทลุง!L126+ภูเก็ต!L126+ยะลา!L126+ระนอง!L126+สงขลา!L126+สตูล!L126+สุราษฎร์ธานี!L126</f>
        <v>0</v>
      </c>
      <c r="M126" s="101"/>
      <c r="N126" s="91">
        <f ca="1">กระบี่!N126+ชุมพร!N126+ตรัง!N126+นครศรีธรรมราช!N126+นราธิวาส!N126+ปัตตานี!N126+พังงา!N126+พัทลุง!N126+ภูเก็ต!N126+ยะลา!N126+ระนอง!N126+สงขลา!N126+สตูล!N126+สุราษฎร์ธานี!N126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3"/>
      <c r="B127" s="184"/>
      <c r="C127" s="163" t="s">
        <v>16</v>
      </c>
      <c r="D127" s="240" t="s">
        <v>69</v>
      </c>
      <c r="E127" s="186"/>
      <c r="F127" s="186"/>
      <c r="G127" s="187"/>
      <c r="H127" s="188"/>
      <c r="I127" s="168"/>
      <c r="J127" s="195"/>
      <c r="K127" s="231"/>
      <c r="L127" s="176"/>
      <c r="M127" s="176"/>
      <c r="N127" s="176"/>
      <c r="O127" s="189"/>
      <c r="P127" s="189"/>
    </row>
    <row r="128" spans="1:16" ht="21.75" customHeight="1" x14ac:dyDescent="0.35">
      <c r="A128" s="183"/>
      <c r="B128" s="184"/>
      <c r="C128" s="184"/>
      <c r="D128" s="190">
        <v>1</v>
      </c>
      <c r="E128" s="191" t="s">
        <v>45</v>
      </c>
      <c r="F128" s="192"/>
      <c r="G128" s="193"/>
      <c r="H128" s="194"/>
      <c r="I128" s="195"/>
      <c r="J128" s="211">
        <f ca="1">กระบี่!J128+ชุมพร!J128+ตรัง!J128+นครศรีธรรมราช!J128+นราธิวาส!J128+ปัตตานี!J128+พังงา!J128+พัทลุง!J128+ภูเก็ต!J128+ยะลา!J128+ระนอง!J128+สงขลา!J128+สตูล!J128+สุราษฎร์ธานี!J128</f>
        <v>0</v>
      </c>
      <c r="K128" s="231"/>
      <c r="L128" s="176"/>
      <c r="M128" s="176"/>
      <c r="N128" s="176"/>
      <c r="O128" s="189"/>
      <c r="P128" s="189"/>
    </row>
    <row r="129" spans="1:16" ht="21.75" customHeight="1" x14ac:dyDescent="0.35">
      <c r="A129" s="183"/>
      <c r="B129" s="184"/>
      <c r="C129" s="184"/>
      <c r="D129" s="197">
        <v>2</v>
      </c>
      <c r="E129" s="198" t="s">
        <v>46</v>
      </c>
      <c r="F129" s="199"/>
      <c r="G129" s="200"/>
      <c r="H129" s="194"/>
      <c r="I129" s="195"/>
      <c r="J129" s="195">
        <f ca="1">กระบี่!J129+ชุมพร!J129+ตรัง!J129+นครศรีธรรมราช!J129+นราธิวาส!J129+ปัตตานี!J129+พังงา!J129+พัทลุง!J129+ภูเก็ต!J129+ยะลา!J129+ระนอง!J129+สงขลา!J129+สตูล!J129+สุราษฎร์ธานี!J129</f>
        <v>5</v>
      </c>
      <c r="K129" s="231"/>
      <c r="L129" s="176" t="s">
        <v>40</v>
      </c>
      <c r="M129" s="176"/>
      <c r="N129" s="176" t="s">
        <v>40</v>
      </c>
      <c r="O129" s="189"/>
      <c r="P129" s="189"/>
    </row>
    <row r="130" spans="1:16" ht="21.75" customHeight="1" x14ac:dyDescent="0.35">
      <c r="A130" s="183"/>
      <c r="B130" s="184"/>
      <c r="C130" s="184"/>
      <c r="D130" s="201"/>
      <c r="E130" s="202" t="s">
        <v>47</v>
      </c>
      <c r="F130" s="203"/>
      <c r="G130" s="204"/>
      <c r="H130" s="194"/>
      <c r="I130" s="195"/>
      <c r="J130" s="195">
        <f ca="1">กระบี่!J130+ชุมพร!J130+ตรัง!J130+นครศรีธรรมราช!J130+นราธิวาส!J130+ปัตตานี!J130+พังงา!J130+พัทลุง!J130+ภูเก็ต!J130+ยะลา!J130+ระนอง!J130+สงขลา!J130+สตูล!J130+สุราษฎร์ธานี!J130</f>
        <v>5</v>
      </c>
      <c r="K130" s="231"/>
      <c r="L130" s="176"/>
      <c r="M130" s="176"/>
      <c r="N130" s="176"/>
      <c r="O130" s="189"/>
      <c r="P130" s="189"/>
    </row>
    <row r="131" spans="1:16" ht="21.75" customHeight="1" x14ac:dyDescent="0.35">
      <c r="A131" s="183"/>
      <c r="B131" s="184"/>
      <c r="C131" s="184"/>
      <c r="D131" s="201"/>
      <c r="E131" s="202" t="s">
        <v>48</v>
      </c>
      <c r="F131" s="203"/>
      <c r="G131" s="204"/>
      <c r="H131" s="194"/>
      <c r="I131" s="195"/>
      <c r="J131" s="195">
        <f ca="1">กระบี่!J131+ชุมพร!J131+ตรัง!J131+นครศรีธรรมราช!J131+นราธิวาส!J131+ปัตตานี!J131+พังงา!J131+พัทลุง!J131+ภูเก็ต!J131+ยะลา!J131+ระนอง!J131+สงขลา!J131+สตูล!J131+สุราษฎร์ธานี!J131</f>
        <v>5</v>
      </c>
      <c r="K131" s="231"/>
      <c r="L131" s="176"/>
      <c r="M131" s="176"/>
      <c r="N131" s="176"/>
      <c r="O131" s="189"/>
      <c r="P131" s="189"/>
    </row>
    <row r="132" spans="1:16" ht="21.75" customHeight="1" x14ac:dyDescent="0.35">
      <c r="A132" s="183"/>
      <c r="B132" s="184"/>
      <c r="C132" s="184"/>
      <c r="D132" s="201"/>
      <c r="E132" s="206"/>
      <c r="F132" s="202" t="s">
        <v>70</v>
      </c>
      <c r="G132" s="204"/>
      <c r="H132" s="188" t="s">
        <v>37</v>
      </c>
      <c r="I132" s="195">
        <f ca="1">กระบี่!I132+ชุมพร!I132+ตรัง!I132+นครศรีธรรมราช!I132+นราธิวาส!I132+ปัตตานี!I132+พังงา!I132+พัทลุง!I132+ภูเก็ต!I132+ยะลา!I132+ระนอง!I132+สงขลา!I132+สตูล!I132+สุราษฎร์ธานี!I132</f>
        <v>75</v>
      </c>
      <c r="J132" s="211">
        <f ca="1">กระบี่!J132+ชุมพร!J132+ตรัง!J132+นครศรีธรรมราช!J132+นราธิวาส!J132+ปัตตานี!J132+พังงา!J132+พัทลุง!J132+ภูเก็ต!J132+ยะลา!J132+ระนอง!J132+สงขลา!J132+สตูล!J132+สุราษฎร์ธานี!J132</f>
        <v>75</v>
      </c>
      <c r="K132" s="231">
        <f t="shared" ref="K132:K133" ca="1" si="53">IF(I132&gt;0,J132*100/I132,0)</f>
        <v>100</v>
      </c>
      <c r="L132" s="176"/>
      <c r="M132" s="176"/>
      <c r="N132" s="176"/>
      <c r="O132" s="189"/>
      <c r="P132" s="189"/>
    </row>
    <row r="133" spans="1:16" ht="21.75" customHeight="1" x14ac:dyDescent="0.35">
      <c r="A133" s="183"/>
      <c r="B133" s="184"/>
      <c r="C133" s="184"/>
      <c r="D133" s="201"/>
      <c r="E133" s="206"/>
      <c r="F133" s="202" t="s">
        <v>71</v>
      </c>
      <c r="G133" s="204"/>
      <c r="H133" s="188" t="s">
        <v>37</v>
      </c>
      <c r="I133" s="195">
        <f ca="1">กระบี่!I133+ชุมพร!I133+ตรัง!I133+นครศรีธรรมราช!I133+นราธิวาส!I133+ปัตตานี!I133+พังงา!I133+พัทลุง!I133+ภูเก็ต!I133+ยะลา!I133+ระนอง!I133+สงขลา!I133+สตูล!I133+สุราษฎร์ธานี!I133</f>
        <v>75</v>
      </c>
      <c r="J133" s="211">
        <f ca="1">กระบี่!J133+ชุมพร!J133+ตรัง!J133+นครศรีธรรมราช!J133+นราธิวาส!J133+ปัตตานี!J133+พังงา!J133+พัทลุง!J133+ภูเก็ต!J133+ยะลา!J133+ระนอง!J133+สงขลา!J133+สตูล!J133+สุราษฎร์ธานี!J133</f>
        <v>17</v>
      </c>
      <c r="K133" s="231">
        <f t="shared" ca="1" si="53"/>
        <v>22.666666666666668</v>
      </c>
      <c r="L133" s="176"/>
      <c r="M133" s="176"/>
      <c r="N133" s="176"/>
      <c r="O133" s="189"/>
      <c r="P133" s="189"/>
    </row>
    <row r="134" spans="1:16" ht="21.75" customHeight="1" x14ac:dyDescent="0.35">
      <c r="A134" s="183"/>
      <c r="B134" s="184"/>
      <c r="C134" s="184"/>
      <c r="D134" s="201"/>
      <c r="E134" s="202" t="s">
        <v>54</v>
      </c>
      <c r="F134" s="203"/>
      <c r="G134" s="204"/>
      <c r="H134" s="194"/>
      <c r="I134" s="195"/>
      <c r="J134" s="195">
        <f ca="1">กระบี่!J134+ชุมพร!J134+ตรัง!J134+นครศรีธรรมราช!J134+นราธิวาส!J134+ปัตตานี!J134+พังงา!J134+พัทลุง!J134+ภูเก็ต!J134+ยะลา!J134+ระนอง!J134+สงขลา!J134+สตูล!J134+สุราษฎร์ธานี!J134</f>
        <v>0</v>
      </c>
      <c r="K134" s="231"/>
      <c r="L134" s="176"/>
      <c r="M134" s="176"/>
      <c r="N134" s="176"/>
      <c r="O134" s="189"/>
      <c r="P134" s="189"/>
    </row>
    <row r="135" spans="1:16" ht="21.75" customHeight="1" x14ac:dyDescent="0.35">
      <c r="A135" s="241"/>
      <c r="B135" s="242"/>
      <c r="C135" s="242"/>
      <c r="D135" s="243">
        <v>3</v>
      </c>
      <c r="E135" s="244" t="s">
        <v>55</v>
      </c>
      <c r="F135" s="245"/>
      <c r="G135" s="246"/>
      <c r="H135" s="247"/>
      <c r="I135" s="248"/>
      <c r="J135" s="249">
        <f ca="1">กระบี่!J135+ชุมพร!J135+ตรัง!J135+นครศรีธรรมราช!J135+นราธิวาส!J135+ปัตตานี!J135+พังงา!J135+พัทลุง!J135+ภูเก็ต!J135+ยะลา!J135+ระนอง!J135+สงขลา!J135+สตูล!J135+สุราษฎร์ธานี!J135</f>
        <v>0</v>
      </c>
      <c r="K135" s="250"/>
      <c r="L135" s="251"/>
      <c r="M135" s="251"/>
      <c r="N135" s="251"/>
      <c r="O135" s="252"/>
      <c r="P135" s="252"/>
    </row>
    <row r="136" spans="1:16" ht="21.75" customHeight="1" x14ac:dyDescent="0.35">
      <c r="A136" s="253" t="s">
        <v>72</v>
      </c>
      <c r="B136" s="254"/>
      <c r="C136" s="254"/>
      <c r="D136" s="254"/>
      <c r="E136" s="255"/>
      <c r="F136" s="255"/>
      <c r="G136" s="256"/>
      <c r="H136" s="257"/>
      <c r="I136" s="258"/>
      <c r="J136" s="258"/>
      <c r="K136" s="259"/>
      <c r="L136" s="260"/>
      <c r="M136" s="260"/>
      <c r="N136" s="260"/>
      <c r="O136" s="260"/>
      <c r="P136" s="260"/>
    </row>
    <row r="137" spans="1:16" ht="21.75" customHeight="1" x14ac:dyDescent="0.35">
      <c r="A137" s="261" t="s">
        <v>73</v>
      </c>
      <c r="B137" s="262"/>
      <c r="C137" s="262"/>
      <c r="D137" s="263"/>
      <c r="E137" s="263"/>
      <c r="F137" s="263"/>
      <c r="G137" s="264"/>
      <c r="H137" s="265"/>
      <c r="I137" s="266"/>
      <c r="J137" s="266"/>
      <c r="K137" s="267"/>
      <c r="L137" s="267"/>
      <c r="M137" s="267"/>
      <c r="N137" s="267"/>
      <c r="O137" s="268"/>
      <c r="P137" s="268"/>
    </row>
    <row r="138" spans="1:16" ht="21.75" customHeight="1" x14ac:dyDescent="0.35">
      <c r="A138" s="269"/>
      <c r="B138" s="270" t="s">
        <v>74</v>
      </c>
      <c r="C138" s="271"/>
      <c r="D138" s="270"/>
      <c r="E138" s="270"/>
      <c r="F138" s="270"/>
      <c r="G138" s="272"/>
      <c r="H138" s="273" t="s">
        <v>37</v>
      </c>
      <c r="I138" s="274">
        <f ca="1">กระบี่!I138+ชุมพร!I138+ตรัง!I138+นครศรีธรรมราช!I138+นราธิวาส!I138+ปัตตานี!I138+พังงา!I138+พัทลุง!I138+ภูเก็ต!I138+ยะลา!I138+ระนอง!I138+สงขลา!I138+สตูล!I138+สุราษฎร์ธานี!I138</f>
        <v>160</v>
      </c>
      <c r="J138" s="274">
        <f ca="1">กระบี่!J138+ชุมพร!J138+ตรัง!J138+นครศรีธรรมราช!J138+นราธิวาส!J138+ปัตตานี!J138+พังงา!J138+พัทลุง!J138+ภูเก็ต!J138+ยะลา!J138+ระนอง!J138+สงขลา!J138+สตูล!J138+สุราษฎร์ธานี!J138</f>
        <v>112</v>
      </c>
      <c r="K138" s="275">
        <f ca="1">IF(I138&gt;0,J138*100/I138,0)</f>
        <v>70</v>
      </c>
      <c r="L138" s="276"/>
      <c r="M138" s="276"/>
      <c r="N138" s="276"/>
      <c r="O138" s="275"/>
      <c r="P138" s="275"/>
    </row>
    <row r="139" spans="1:16" ht="21.75" customHeight="1" x14ac:dyDescent="0.35">
      <c r="A139" s="269"/>
      <c r="B139" s="270" t="s">
        <v>75</v>
      </c>
      <c r="C139" s="271"/>
      <c r="D139" s="270"/>
      <c r="E139" s="270"/>
      <c r="F139" s="270"/>
      <c r="G139" s="272"/>
      <c r="H139" s="273"/>
      <c r="I139" s="274"/>
      <c r="J139" s="274"/>
      <c r="K139" s="275"/>
      <c r="L139" s="276"/>
      <c r="M139" s="276"/>
      <c r="N139" s="276"/>
      <c r="O139" s="275"/>
      <c r="P139" s="275"/>
    </row>
    <row r="140" spans="1:16" ht="21.75" customHeight="1" x14ac:dyDescent="0.45">
      <c r="A140" s="150"/>
      <c r="B140" s="151"/>
      <c r="C140" s="152" t="s">
        <v>16</v>
      </c>
      <c r="D140" s="552" t="s">
        <v>17</v>
      </c>
      <c r="E140" s="543"/>
      <c r="F140" s="543"/>
      <c r="G140" s="543"/>
      <c r="H140" s="153" t="s">
        <v>12</v>
      </c>
      <c r="I140" s="168"/>
      <c r="J140" s="168"/>
      <c r="K140" s="169"/>
      <c r="L140" s="156">
        <f ca="1">กระบี่!L140+ชุมพร!L140+ตรัง!L140+นครศรีธรรมราช!L140+นราธิวาส!L140+ปัตตานี!L140+พังงา!L140+พัทลุง!L140+ภูเก็ต!L140+ยะลา!L140+ระนอง!L140+สงขลา!L140+สตูล!L140+สุราษฎร์ธานี!L140</f>
        <v>2418600</v>
      </c>
      <c r="M140" s="156">
        <f ca="1">กระบี่!M140+ชุมพร!M140+ตรัง!M140+นครศรีธรรมราช!M140+นราธิวาส!M140+ปัตตานี!M140+พังงา!M140+พัทลุง!M140+ภูเก็ต!M140+ยะลา!M140+ระนอง!M140+สงขลา!M140+สตูล!M140+สุราษฎร์ธานี!M140</f>
        <v>1612200</v>
      </c>
      <c r="N140" s="156">
        <f ca="1">กระบี่!N140+ชุมพร!N140+ตรัง!N140+นครศรีธรรมราช!N140+นราธิวาส!N140+ปัตตานี!N140+พังงา!N140+พัทลุง!N140+ภูเก็ต!N140+ยะลา!N140+ระนอง!N140+สงขลา!N140+สตูล!N140+สุราษฎร์ธานี!N140</f>
        <v>1194041</v>
      </c>
      <c r="O140" s="155">
        <f t="shared" ref="O140:O142" ca="1" si="54">IF(L140&gt;0,N140*100/L140,0)</f>
        <v>49.369097825188128</v>
      </c>
      <c r="P140" s="155">
        <f t="shared" ref="P140:P142" ca="1" si="55">IF(M140&gt;0,N140*100/M140,0)</f>
        <v>74.062833395360371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8"/>
      <c r="J141" s="168"/>
      <c r="K141" s="169"/>
      <c r="L141" s="161">
        <f>กระบี่!L141+ชุมพร!L141+ตรัง!L141+นครศรีธรรมราช!L141+นราธิวาส!L141+ปัตตานี!L141+พังงา!L141+พัทลุง!L141+ภูเก็ต!L141+ยะลา!L141+ระนอง!L141+สงขลา!L141+สตูล!L141+สุราษฎร์ธานี!L141</f>
        <v>0</v>
      </c>
      <c r="M141" s="161">
        <f>กระบี่!M141+ชุมพร!M141+ตรัง!M141+นครศรีธรรมราช!M141+นราธิวาส!M141+ปัตตานี!M141+พังงา!M141+พัทลุง!M141+ภูเก็ต!M141+ยะลา!M141+ระนอง!M141+สงขลา!M141+สตูล!M141+สุราษฎร์ธานี!M141</f>
        <v>0</v>
      </c>
      <c r="N141" s="161">
        <f>กระบี่!N141+ชุมพร!N141+ตรัง!N141+นครศรีธรรมราช!N141+นราธิวาส!N141+ปัตตานี!N141+พังงา!N141+พัทลุง!N141+ภูเก็ต!N141+ยะลา!N141+ระนอง!N141+สงขลา!N141+สตูล!N141+สุราษฎร์ธานี!N141</f>
        <v>0</v>
      </c>
      <c r="O141" s="160">
        <f t="shared" si="54"/>
        <v>0</v>
      </c>
      <c r="P141" s="160">
        <f t="shared" si="55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8"/>
      <c r="J142" s="168"/>
      <c r="K142" s="169"/>
      <c r="L142" s="161">
        <f ca="1">กระบี่!L142+ชุมพร!L142+ตรัง!L142+นครศรีธรรมราช!L142+นราธิวาส!L142+ปัตตานี!L142+พังงา!L142+พัทลุง!L142+ภูเก็ต!L142+ยะลา!L142+ระนอง!L142+สงขลา!L142+สตูล!L142+สุราษฎร์ธานี!L142</f>
        <v>2418600</v>
      </c>
      <c r="M142" s="161">
        <f ca="1">กระบี่!M142+ชุมพร!M142+ตรัง!M142+นครศรีธรรมราช!M142+นราธิวาส!M142+ปัตตานี!M142+พังงา!M142+พัทลุง!M142+ภูเก็ต!M142+ยะลา!M142+ระนอง!M142+สงขลา!M142+สตูล!M142+สุราษฎร์ธานี!M142</f>
        <v>1612200</v>
      </c>
      <c r="N142" s="161">
        <f ca="1">กระบี่!N142+ชุมพร!N142+ตรัง!N142+นครศรีธรรมราช!N142+นราธิวาส!N142+ปัตตานี!N142+พังงา!N142+พัทลุง!N142+ภูเก็ต!N142+ยะลา!N142+ระนอง!N142+สงขลา!N142+สตูล!N142+สุราษฎร์ธานี!N142</f>
        <v>1194041</v>
      </c>
      <c r="O142" s="160">
        <f t="shared" ca="1" si="54"/>
        <v>49.369097825188128</v>
      </c>
      <c r="P142" s="160">
        <f t="shared" ca="1" si="55"/>
        <v>74.062833395360371</v>
      </c>
    </row>
    <row r="143" spans="1:16" ht="21.75" customHeight="1" x14ac:dyDescent="0.35">
      <c r="A143" s="162"/>
      <c r="B143" s="163"/>
      <c r="C143" s="163" t="s">
        <v>16</v>
      </c>
      <c r="D143" s="164" t="s">
        <v>38</v>
      </c>
      <c r="E143" s="165"/>
      <c r="F143" s="165"/>
      <c r="G143" s="166" t="s">
        <v>39</v>
      </c>
      <c r="H143" s="167" t="s">
        <v>12</v>
      </c>
      <c r="I143" s="168" t="s">
        <v>40</v>
      </c>
      <c r="J143" s="168"/>
      <c r="K143" s="169"/>
      <c r="L143" s="170">
        <f>กระบี่!L143+ชุมพร!L143+ตรัง!L143+นครศรีธรรมราช!L143+นราธิวาส!L143+ปัตตานี!L143+พังงา!L143+พัทลุง!L143+ภูเก็ต!L143+ยะลา!L143+ระนอง!L143+สงขลา!L143+สตูล!L143+สุราษฎร์ธานี!L143</f>
        <v>0</v>
      </c>
      <c r="M143" s="170">
        <f>กระบี่!M143+ชุมพร!M143+ตรัง!M143+นครศรีธรรมราช!M143+นราธิวาส!M143+ปัตตานี!M143+พังงา!M143+พัทลุง!M143+ภูเก็ต!M143+ยะลา!M143+ระนอง!M143+สงขลา!M143+สตูล!M143+สุราษฎร์ธานี!M143</f>
        <v>0</v>
      </c>
      <c r="N143" s="170">
        <f>กระบี่!N143+ชุมพร!N143+ตรัง!N143+นครศรีธรรมราช!N143+นราธิวาส!N143+ปัตตานี!N143+พังงา!N143+พัทลุง!N143+ภูเก็ต!N143+ยะลา!N143+ระนอง!N143+สงขลา!N143+สตูล!N143+สุราษฎร์ธานี!N143</f>
        <v>0</v>
      </c>
      <c r="O143" s="171">
        <f>+IF(L143&gt;0,N143*100/L143,0)</f>
        <v>0</v>
      </c>
      <c r="P143" s="171"/>
    </row>
    <row r="144" spans="1:16" ht="21.75" customHeight="1" x14ac:dyDescent="0.35">
      <c r="A144" s="162"/>
      <c r="B144" s="163"/>
      <c r="C144" s="163"/>
      <c r="D144" s="172"/>
      <c r="E144" s="165"/>
      <c r="F144" s="165" t="s">
        <v>40</v>
      </c>
      <c r="G144" s="166" t="s">
        <v>41</v>
      </c>
      <c r="H144" s="167" t="s">
        <v>12</v>
      </c>
      <c r="I144" s="168"/>
      <c r="J144" s="168"/>
      <c r="K144" s="169"/>
      <c r="L144" s="173">
        <f ca="1">กระบี่!L144+ชุมพร!L144+ตรัง!L144+นครศรีธรรมราช!L144+นราธิวาส!L144+ปัตตานี!L144+พังงา!L144+พัทลุง!L144+ภูเก็ต!L144+ยะลา!L144+ระนอง!L144+สงขลา!L144+สตูล!L144+สุราษฎร์ธานี!L144</f>
        <v>2418600</v>
      </c>
      <c r="M144" s="174">
        <f ca="1">กระบี่!M144+ชุมพร!M144+ตรัง!M144+นครศรีธรรมราช!M144+นราธิวาส!M144+ปัตตานี!M144+พังงา!M144+พัทลุง!M144+ภูเก็ต!M144+ยะลา!M144+ระนอง!M144+สงขลา!M144+สตูล!M144+สุราษฎร์ธานี!M144</f>
        <v>1612200</v>
      </c>
      <c r="N144" s="175">
        <f ca="1">กระบี่!N144+ชุมพร!N144+ตรัง!N144+นครศรีธรรมราช!N144+นราธิวาส!N144+ปัตตานี!N144+พังงา!N144+พัทลุง!N144+ภูเก็ต!N144+ยะลา!N144+ระนอง!N144+สงขลา!N144+สตูล!N144+สุราษฎร์ธานี!N144</f>
        <v>1194041</v>
      </c>
      <c r="O144" s="176">
        <f ca="1">IF(L144&gt;0,N144*100/L144,0)</f>
        <v>49.369097825188128</v>
      </c>
      <c r="P144" s="176">
        <f ca="1">IF(M144&gt;0,N144*100/M144,0)</f>
        <v>74.062833395360371</v>
      </c>
    </row>
    <row r="145" spans="1:16" ht="21.75" customHeight="1" x14ac:dyDescent="0.35">
      <c r="A145" s="162"/>
      <c r="B145" s="163"/>
      <c r="C145" s="163"/>
      <c r="D145" s="172"/>
      <c r="E145" s="165"/>
      <c r="F145" s="165"/>
      <c r="G145" s="177" t="s">
        <v>42</v>
      </c>
      <c r="H145" s="167" t="s">
        <v>12</v>
      </c>
      <c r="I145" s="168"/>
      <c r="J145" s="168"/>
      <c r="K145" s="169"/>
      <c r="L145" s="174">
        <f ca="1">กระบี่!L145+ชุมพร!L145+ตรัง!L145+นครศรีธรรมราช!L145+นราธิวาส!L145+ปัตตานี!L145+พังงา!L145+พัทลุง!L145+ภูเก็ต!L145+ยะลา!L145+ระนอง!L145+สงขลา!L145+สตูล!L145+สุราษฎร์ธานี!L145</f>
        <v>1111500</v>
      </c>
      <c r="M145" s="173"/>
      <c r="N145" s="173"/>
      <c r="O145" s="176"/>
      <c r="P145" s="176"/>
    </row>
    <row r="146" spans="1:16" ht="21.75" customHeight="1" x14ac:dyDescent="0.35">
      <c r="A146" s="162"/>
      <c r="B146" s="163"/>
      <c r="C146" s="163"/>
      <c r="D146" s="172"/>
      <c r="E146" s="165"/>
      <c r="F146" s="165"/>
      <c r="G146" s="177" t="s">
        <v>43</v>
      </c>
      <c r="H146" s="167" t="s">
        <v>12</v>
      </c>
      <c r="I146" s="168"/>
      <c r="J146" s="168"/>
      <c r="K146" s="169"/>
      <c r="L146" s="174">
        <f ca="1">กระบี่!L146+ชุมพร!L146+ตรัง!L146+นครศรีธรรมราช!L146+นราธิวาส!L146+ปัตตานี!L146+พังงา!L146+พัทลุง!L146+ภูเก็ต!L146+ยะลา!L146+ระนอง!L146+สงขลา!L146+สตูล!L146+สุราษฎร์ธานี!L146</f>
        <v>1307100</v>
      </c>
      <c r="M146" s="173"/>
      <c r="N146" s="173"/>
      <c r="O146" s="176"/>
      <c r="P146" s="176"/>
    </row>
    <row r="147" spans="1:16" ht="21.75" customHeight="1" x14ac:dyDescent="0.45">
      <c r="A147" s="178"/>
      <c r="B147" s="81"/>
      <c r="C147" s="82" t="s">
        <v>16</v>
      </c>
      <c r="D147" s="549" t="s">
        <v>23</v>
      </c>
      <c r="E147" s="545"/>
      <c r="F147" s="89"/>
      <c r="G147" s="83" t="s">
        <v>18</v>
      </c>
      <c r="H147" s="179" t="s">
        <v>12</v>
      </c>
      <c r="I147" s="195"/>
      <c r="J147" s="195"/>
      <c r="K147" s="231"/>
      <c r="L147" s="93">
        <f>กระบี่!L147+ชุมพร!L147+ตรัง!L147+นครศรีธรรมราช!L147+นราธิวาส!L147+ปัตตานี!L147+พังงา!L147+พัทลุง!L147+ภูเก็ต!L147+ยะลา!L147+ระนอง!L147+สงขลา!L147+สตูล!L147+สุราษฎร์ธานี!L147</f>
        <v>0</v>
      </c>
      <c r="M147" s="93"/>
      <c r="N147" s="42"/>
      <c r="O147" s="93"/>
      <c r="P147" s="93"/>
    </row>
    <row r="148" spans="1:16" ht="21.75" customHeight="1" x14ac:dyDescent="0.45">
      <c r="A148" s="180"/>
      <c r="B148" s="95"/>
      <c r="C148" s="95"/>
      <c r="D148" s="181"/>
      <c r="E148" s="96"/>
      <c r="F148" s="96"/>
      <c r="G148" s="97" t="s">
        <v>19</v>
      </c>
      <c r="H148" s="182" t="s">
        <v>12</v>
      </c>
      <c r="I148" s="195"/>
      <c r="J148" s="195"/>
      <c r="K148" s="231"/>
      <c r="L148" s="91">
        <f ca="1">กระบี่!L148+ชุมพร!L148+ตรัง!L148+นครศรีธรรมราช!L148+นราธิวาส!L148+ปัตตานี!L148+พังงา!L148+พัทลุง!L148+ภูเก็ต!L148+ยะลา!L148+ระนอง!L148+สงขลา!L148+สตูล!L148+สุราษฎร์ธานี!L148</f>
        <v>0</v>
      </c>
      <c r="M148" s="101"/>
      <c r="N148" s="91">
        <f ca="1">กระบี่!N148+ชุมพร!N148+ตรัง!N148+นครศรีธรรมราช!N148+นราธิวาส!N148+ปัตตานี!N148+พังงา!N148+พัทลุง!N148+ภูเก็ต!N148+ยะลา!N148+ระนอง!N148+สงขลา!N148+สตูล!N148+สุราษฎร์ธานี!N148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7"/>
      <c r="B149" s="278"/>
      <c r="C149" s="279" t="s">
        <v>76</v>
      </c>
      <c r="D149" s="279"/>
      <c r="E149" s="279"/>
      <c r="F149" s="279"/>
      <c r="G149" s="280"/>
      <c r="H149" s="281" t="s">
        <v>77</v>
      </c>
      <c r="I149" s="282">
        <f ca="1">กระบี่!I149+ชุมพร!I149+ตรัง!I149+นครศรีธรรมราช!I149+นราธิวาส!I149+ปัตตานี!I149+พังงา!I149+พัทลุง!I149+ภูเก็ต!I149+ยะลา!I149+ระนอง!I149+สงขลา!I149+สตูล!I149+สุราษฎร์ธานี!I149</f>
        <v>56</v>
      </c>
      <c r="J149" s="282">
        <f ca="1">กระบี่!J149+ชุมพร!J149+ตรัง!J149+นครศรีธรรมราช!J149+นราธิวาส!J149+ปัตตานี!J149+พังงา!J149+พัทลุง!J149+ภูเก็ต!J149+ยะลา!J149+ระนอง!J149+สงขลา!J149+สตูล!J149+สุราษฎร์ธานี!J149</f>
        <v>19</v>
      </c>
      <c r="K149" s="283">
        <f ca="1">IF(I149&gt;0,J149*100/I149,0)</f>
        <v>33.928571428571431</v>
      </c>
      <c r="L149" s="284"/>
      <c r="M149" s="284"/>
      <c r="N149" s="284"/>
      <c r="O149" s="284"/>
      <c r="P149" s="284"/>
    </row>
    <row r="150" spans="1:16" ht="21.75" customHeight="1" x14ac:dyDescent="0.35">
      <c r="A150" s="162"/>
      <c r="B150" s="163"/>
      <c r="C150" s="163" t="s">
        <v>16</v>
      </c>
      <c r="D150" s="164" t="s">
        <v>38</v>
      </c>
      <c r="E150" s="165"/>
      <c r="F150" s="165"/>
      <c r="G150" s="166" t="s">
        <v>39</v>
      </c>
      <c r="H150" s="167" t="s">
        <v>12</v>
      </c>
      <c r="I150" s="168" t="s">
        <v>40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 x14ac:dyDescent="0.35">
      <c r="A151" s="162"/>
      <c r="B151" s="163"/>
      <c r="C151" s="163"/>
      <c r="D151" s="172"/>
      <c r="E151" s="165"/>
      <c r="F151" s="165" t="s">
        <v>40</v>
      </c>
      <c r="G151" s="166" t="s">
        <v>41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 x14ac:dyDescent="0.35">
      <c r="A152" s="162"/>
      <c r="B152" s="163"/>
      <c r="C152" s="163"/>
      <c r="D152" s="172"/>
      <c r="E152" s="165"/>
      <c r="F152" s="165"/>
      <c r="G152" s="177" t="s">
        <v>43</v>
      </c>
      <c r="H152" s="167" t="s">
        <v>12</v>
      </c>
      <c r="I152" s="168"/>
      <c r="J152" s="168"/>
      <c r="K152" s="169"/>
      <c r="L152" s="176"/>
      <c r="M152" s="176"/>
      <c r="N152" s="173"/>
      <c r="O152" s="176"/>
      <c r="P152" s="176"/>
    </row>
    <row r="153" spans="1:16" ht="21.75" customHeight="1" x14ac:dyDescent="0.35">
      <c r="A153" s="183"/>
      <c r="B153" s="184"/>
      <c r="C153" s="163" t="s">
        <v>16</v>
      </c>
      <c r="D153" s="185" t="s">
        <v>44</v>
      </c>
      <c r="E153" s="186"/>
      <c r="F153" s="186"/>
      <c r="G153" s="187"/>
      <c r="H153" s="188"/>
      <c r="I153" s="168"/>
      <c r="J153" s="168"/>
      <c r="K153" s="169"/>
      <c r="L153" s="189"/>
      <c r="M153" s="189"/>
      <c r="N153" s="189"/>
      <c r="O153" s="189"/>
      <c r="P153" s="189"/>
    </row>
    <row r="154" spans="1:16" ht="21.75" customHeight="1" x14ac:dyDescent="0.35">
      <c r="A154" s="183"/>
      <c r="B154" s="184"/>
      <c r="C154" s="184"/>
      <c r="D154" s="190">
        <v>1</v>
      </c>
      <c r="E154" s="191" t="s">
        <v>45</v>
      </c>
      <c r="F154" s="192"/>
      <c r="G154" s="193"/>
      <c r="H154" s="194"/>
      <c r="I154" s="195"/>
      <c r="J154" s="196">
        <f ca="1">กระบี่!J154+ชุมพร!J154+ตรัง!J154+นครศรีธรรมราช!J154+นราธิวาส!J154+ปัตตานี!J154+พังงา!J154+พัทลุง!J154+ภูเก็ต!J154+ยะลา!J154+ระนอง!J154+สงขลา!J154+สตูล!J154+สุราษฎร์ธานี!J154</f>
        <v>0</v>
      </c>
      <c r="K154" s="169"/>
      <c r="L154" s="189"/>
      <c r="M154" s="189"/>
      <c r="N154" s="189"/>
      <c r="O154" s="189"/>
      <c r="P154" s="189"/>
    </row>
    <row r="155" spans="1:16" ht="21.75" customHeight="1" x14ac:dyDescent="0.35">
      <c r="A155" s="183"/>
      <c r="B155" s="184"/>
      <c r="C155" s="184"/>
      <c r="D155" s="197">
        <v>2</v>
      </c>
      <c r="E155" s="198" t="s">
        <v>46</v>
      </c>
      <c r="F155" s="199"/>
      <c r="G155" s="200"/>
      <c r="H155" s="194"/>
      <c r="I155" s="195"/>
      <c r="J155" s="205">
        <f ca="1">กระบี่!J155+ชุมพร!J155+ตรัง!J155+นครศรีธรรมราช!J155+นราธิวาส!J155+ปัตตานี!J155+พังงา!J155+พัทลุง!J155+ภูเก็ต!J155+ยะลา!J155+ระนอง!J155+สงขลา!J155+สตูล!J155+สุราษฎร์ธานี!J155</f>
        <v>14</v>
      </c>
      <c r="K155" s="169"/>
      <c r="L155" s="189"/>
      <c r="M155" s="189"/>
      <c r="N155" s="189"/>
      <c r="O155" s="189"/>
      <c r="P155" s="189"/>
    </row>
    <row r="156" spans="1:16" ht="21.75" customHeight="1" x14ac:dyDescent="0.35">
      <c r="A156" s="183"/>
      <c r="B156" s="184"/>
      <c r="C156" s="184"/>
      <c r="D156" s="201"/>
      <c r="E156" s="202" t="s">
        <v>47</v>
      </c>
      <c r="F156" s="203"/>
      <c r="G156" s="204"/>
      <c r="H156" s="194"/>
      <c r="I156" s="195"/>
      <c r="J156" s="205">
        <f ca="1">กระบี่!J156+ชุมพร!J156+ตรัง!J156+นครศรีธรรมราช!J156+นราธิวาส!J156+ปัตตานี!J156+พังงา!J156+พัทลุง!J156+ภูเก็ต!J156+ยะลา!J156+ระนอง!J156+สงขลา!J156+สตูล!J156+สุราษฎร์ธานี!J156</f>
        <v>14</v>
      </c>
      <c r="K156" s="169"/>
      <c r="L156" s="189"/>
      <c r="M156" s="189"/>
      <c r="N156" s="189"/>
      <c r="O156" s="189"/>
      <c r="P156" s="189"/>
    </row>
    <row r="157" spans="1:16" ht="21.75" customHeight="1" x14ac:dyDescent="0.35">
      <c r="A157" s="183"/>
      <c r="B157" s="184"/>
      <c r="C157" s="184"/>
      <c r="D157" s="201"/>
      <c r="E157" s="202" t="s">
        <v>48</v>
      </c>
      <c r="F157" s="203"/>
      <c r="G157" s="204"/>
      <c r="H157" s="194"/>
      <c r="I157" s="195"/>
      <c r="J157" s="205">
        <f ca="1">กระบี่!J157+ชุมพร!J157+ตรัง!J157+นครศรีธรรมราช!J157+นราธิวาส!J157+ปัตตานี!J157+พังงา!J157+พัทลุง!J157+ภูเก็ต!J157+ยะลา!J157+ระนอง!J157+สงขลา!J157+สตูล!J157+สุราษฎร์ธานี!J157</f>
        <v>14</v>
      </c>
      <c r="K157" s="169"/>
      <c r="L157" s="189"/>
      <c r="M157" s="189"/>
      <c r="N157" s="189"/>
      <c r="O157" s="189"/>
      <c r="P157" s="189"/>
    </row>
    <row r="158" spans="1:16" ht="21.75" customHeight="1" x14ac:dyDescent="0.35">
      <c r="A158" s="183"/>
      <c r="B158" s="184"/>
      <c r="C158" s="184"/>
      <c r="D158" s="201"/>
      <c r="E158" s="206"/>
      <c r="F158" s="202" t="s">
        <v>78</v>
      </c>
      <c r="G158" s="204"/>
      <c r="H158" s="188" t="s">
        <v>77</v>
      </c>
      <c r="I158" s="195">
        <f ca="1">กระบี่!I158+ชุมพร!I158+ตรัง!I158+นครศรีธรรมราช!I158+นราธิวาส!I158+ปัตตานี!I158+พังงา!I158+พัทลุง!I158+ภูเก็ต!I158+ยะลา!I158+ระนอง!I158+สงขลา!I158+สตูล!I158+สุราษฎร์ธานี!I158</f>
        <v>56</v>
      </c>
      <c r="J158" s="196">
        <f ca="1">กระบี่!J158+ชุมพร!J158+ตรัง!J158+นครศรีธรรมราช!J158+นราธิวาส!J158+ปัตตานี!J158+พังงา!J158+พัทลุง!J158+ภูเก็ต!J158+ยะลา!J158+ระนอง!J158+สงขลา!J158+สตูล!J158+สุราษฎร์ธานี!J158</f>
        <v>19</v>
      </c>
      <c r="K158" s="169">
        <f ca="1">IF(I158&gt;0,J158*100/I158,0)</f>
        <v>33.928571428571431</v>
      </c>
      <c r="L158" s="189"/>
      <c r="M158" s="189"/>
      <c r="N158" s="189"/>
      <c r="O158" s="189"/>
      <c r="P158" s="189"/>
    </row>
    <row r="159" spans="1:16" ht="21.75" customHeight="1" x14ac:dyDescent="0.35">
      <c r="A159" s="183"/>
      <c r="B159" s="184"/>
      <c r="C159" s="184"/>
      <c r="D159" s="201"/>
      <c r="E159" s="203"/>
      <c r="F159" s="285" t="s">
        <v>79</v>
      </c>
      <c r="G159" s="204"/>
      <c r="H159" s="286" t="s">
        <v>37</v>
      </c>
      <c r="I159" s="195"/>
      <c r="J159" s="211">
        <f ca="1">กระบี่!J159+ชุมพร!J159+ตรัง!J159+นครศรีธรรมราช!J159+นราธิวาส!J159+ปัตตานี!J159+พังงา!J159+พัทลุง!J159+ภูเก็ต!J159+ยะลา!J159+ระนอง!J159+สงขลา!J159+สตูล!J159+สุราษฎร์ธานี!J159</f>
        <v>556</v>
      </c>
      <c r="K159" s="169"/>
      <c r="L159" s="189"/>
      <c r="M159" s="189"/>
      <c r="N159" s="189"/>
      <c r="O159" s="189"/>
      <c r="P159" s="189"/>
    </row>
    <row r="160" spans="1:16" ht="21.75" customHeight="1" x14ac:dyDescent="0.45">
      <c r="A160" s="183"/>
      <c r="B160" s="184"/>
      <c r="C160" s="184"/>
      <c r="D160" s="201"/>
      <c r="E160" s="203"/>
      <c r="F160" s="203"/>
      <c r="G160" s="287" t="s">
        <v>80</v>
      </c>
      <c r="H160" s="286" t="s">
        <v>37</v>
      </c>
      <c r="I160" s="195"/>
      <c r="J160" s="288">
        <f ca="1">กระบี่!J160+ชุมพร!J160+ตรัง!J160+นครศรีธรรมราช!J160+นราธิวาส!J160+ปัตตานี!J160+พังงา!J160+พัทลุง!J160+ภูเก็ต!J160+ยะลา!J160+ระนอง!J160+สงขลา!J160+สตูล!J160+สุราษฎร์ธานี!J160</f>
        <v>511</v>
      </c>
      <c r="K160" s="169"/>
      <c r="L160" s="189"/>
      <c r="M160" s="189"/>
      <c r="N160" s="189"/>
      <c r="O160" s="189"/>
      <c r="P160" s="189"/>
    </row>
    <row r="161" spans="1:16" ht="21.75" customHeight="1" x14ac:dyDescent="0.45">
      <c r="A161" s="183"/>
      <c r="B161" s="184"/>
      <c r="C161" s="184"/>
      <c r="D161" s="201"/>
      <c r="E161" s="203"/>
      <c r="F161" s="203"/>
      <c r="G161" s="287" t="s">
        <v>81</v>
      </c>
      <c r="H161" s="286" t="s">
        <v>37</v>
      </c>
      <c r="I161" s="195"/>
      <c r="J161" s="288">
        <f ca="1">กระบี่!J161+ชุมพร!J161+ตรัง!J161+นครศรีธรรมราช!J161+นราธิวาส!J161+ปัตตานี!J161+พังงา!J161+พัทลุง!J161+ภูเก็ต!J161+ยะลา!J161+ระนอง!J161+สงขลา!J161+สตูล!J161+สุราษฎร์ธานี!J161</f>
        <v>45</v>
      </c>
      <c r="K161" s="169"/>
      <c r="L161" s="189"/>
      <c r="M161" s="189"/>
      <c r="N161" s="189"/>
      <c r="O161" s="189"/>
      <c r="P161" s="189"/>
    </row>
    <row r="162" spans="1:16" ht="21.75" customHeight="1" x14ac:dyDescent="0.35">
      <c r="A162" s="183"/>
      <c r="B162" s="184"/>
      <c r="C162" s="184"/>
      <c r="D162" s="201"/>
      <c r="E162" s="202" t="s">
        <v>54</v>
      </c>
      <c r="F162" s="203"/>
      <c r="G162" s="204"/>
      <c r="H162" s="194"/>
      <c r="I162" s="195"/>
      <c r="J162" s="205">
        <f ca="1">กระบี่!J162+ชุมพร!J162+ตรัง!J162+นครศรีธรรมราช!J162+นราธิวาส!J162+ปัตตานี!J162+พังงา!J162+พัทลุง!J162+ภูเก็ต!J162+ยะลา!J162+ระนอง!J162+สงขลา!J162+สตูล!J162+สุราษฎร์ธานี!J162</f>
        <v>0</v>
      </c>
      <c r="K162" s="169"/>
      <c r="L162" s="189"/>
      <c r="M162" s="189"/>
      <c r="N162" s="189"/>
      <c r="O162" s="189"/>
      <c r="P162" s="189"/>
    </row>
    <row r="163" spans="1:16" ht="21.75" customHeight="1" x14ac:dyDescent="0.35">
      <c r="A163" s="183"/>
      <c r="B163" s="184"/>
      <c r="C163" s="184"/>
      <c r="D163" s="213">
        <v>3</v>
      </c>
      <c r="E163" s="214" t="s">
        <v>55</v>
      </c>
      <c r="F163" s="215"/>
      <c r="G163" s="216"/>
      <c r="H163" s="194"/>
      <c r="I163" s="195"/>
      <c r="J163" s="217">
        <f ca="1">กระบี่!J163+ชุมพร!J163+ตรัง!J163+นครศรีธรรมราช!J163+นราธิวาส!J163+ปัตตานี!J163+พังงา!J163+พัทลุง!J163+ภูเก็ต!J163+ยะลา!J163+ระนอง!J163+สงขลา!J163+สตูล!J163+สุราษฎร์ธานี!J163</f>
        <v>0</v>
      </c>
      <c r="K163" s="169"/>
      <c r="L163" s="189"/>
      <c r="M163" s="189"/>
      <c r="N163" s="189"/>
      <c r="O163" s="189"/>
      <c r="P163" s="189"/>
    </row>
    <row r="164" spans="1:16" ht="21.75" customHeight="1" x14ac:dyDescent="0.35">
      <c r="A164" s="277"/>
      <c r="B164" s="278"/>
      <c r="C164" s="279" t="s">
        <v>82</v>
      </c>
      <c r="D164" s="279"/>
      <c r="E164" s="279"/>
      <c r="F164" s="279"/>
      <c r="G164" s="280"/>
      <c r="H164" s="289" t="s">
        <v>83</v>
      </c>
      <c r="I164" s="290">
        <f ca="1">กระบี่!I164+ชุมพร!I164+ตรัง!I164+นครศรีธรรมราช!I164+นราธิวาส!I164+ปัตตานี!I164+พังงา!I164+พัทลุง!I164+ภูเก็ต!I164+ยะลา!I164+ระนอง!I164+สงขลา!I164+สตูล!I164+สุราษฎร์ธานี!I164</f>
        <v>35</v>
      </c>
      <c r="J164" s="290">
        <f ca="1">กระบี่!J164+ชุมพร!J164+ตรัง!J164+นครศรีธรรมราช!J164+นราธิวาส!J164+ปัตตานี!J164+พังงา!J164+พัทลุง!J164+ภูเก็ต!J164+ยะลา!J164+ระนอง!J164+สงขลา!J164+สตูล!J164+สุราษฎร์ธานี!J164</f>
        <v>25</v>
      </c>
      <c r="K164" s="291">
        <f ca="1">IF(I164&gt;0,J164*100/I164,0)</f>
        <v>71.428571428571431</v>
      </c>
      <c r="L164" s="284"/>
      <c r="M164" s="284"/>
      <c r="N164" s="284"/>
      <c r="O164" s="284"/>
      <c r="P164" s="284"/>
    </row>
    <row r="165" spans="1:16" ht="21.75" customHeight="1" x14ac:dyDescent="0.35">
      <c r="A165" s="162"/>
      <c r="B165" s="163"/>
      <c r="C165" s="163" t="s">
        <v>16</v>
      </c>
      <c r="D165" s="164" t="s">
        <v>38</v>
      </c>
      <c r="E165" s="165"/>
      <c r="F165" s="165"/>
      <c r="G165" s="166" t="s">
        <v>39</v>
      </c>
      <c r="H165" s="167" t="s">
        <v>12</v>
      </c>
      <c r="I165" s="168" t="s">
        <v>40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 x14ac:dyDescent="0.35">
      <c r="A166" s="162"/>
      <c r="B166" s="163"/>
      <c r="C166" s="163"/>
      <c r="D166" s="172"/>
      <c r="E166" s="165"/>
      <c r="F166" s="165" t="s">
        <v>40</v>
      </c>
      <c r="G166" s="166" t="s">
        <v>41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 x14ac:dyDescent="0.35">
      <c r="A167" s="162"/>
      <c r="B167" s="163"/>
      <c r="C167" s="163"/>
      <c r="D167" s="172"/>
      <c r="E167" s="165"/>
      <c r="F167" s="165"/>
      <c r="G167" s="177" t="s">
        <v>43</v>
      </c>
      <c r="H167" s="167" t="s">
        <v>12</v>
      </c>
      <c r="I167" s="168"/>
      <c r="J167" s="168"/>
      <c r="K167" s="169"/>
      <c r="L167" s="176"/>
      <c r="M167" s="176"/>
      <c r="N167" s="173"/>
      <c r="O167" s="176"/>
      <c r="P167" s="176"/>
    </row>
    <row r="168" spans="1:16" ht="21.75" customHeight="1" x14ac:dyDescent="0.35">
      <c r="A168" s="183"/>
      <c r="B168" s="184"/>
      <c r="C168" s="163" t="s">
        <v>16</v>
      </c>
      <c r="D168" s="185" t="s">
        <v>44</v>
      </c>
      <c r="E168" s="186"/>
      <c r="F168" s="186"/>
      <c r="G168" s="187"/>
      <c r="H168" s="188"/>
      <c r="I168" s="168"/>
      <c r="J168" s="168"/>
      <c r="K168" s="169"/>
      <c r="L168" s="189"/>
      <c r="M168" s="189"/>
      <c r="N168" s="189"/>
      <c r="O168" s="189"/>
      <c r="P168" s="189"/>
    </row>
    <row r="169" spans="1:16" ht="21.75" customHeight="1" x14ac:dyDescent="0.35">
      <c r="A169" s="183"/>
      <c r="B169" s="184"/>
      <c r="C169" s="184"/>
      <c r="D169" s="190">
        <v>1</v>
      </c>
      <c r="E169" s="191" t="s">
        <v>45</v>
      </c>
      <c r="F169" s="192"/>
      <c r="G169" s="193"/>
      <c r="H169" s="194"/>
      <c r="I169" s="195"/>
      <c r="J169" s="196">
        <f ca="1">กระบี่!J169+ชุมพร!J169+ตรัง!J169+นครศรีธรรมราช!J169+นราธิวาส!J169+ปัตตานี!J169+พังงา!J169+พัทลุง!J169+ภูเก็ต!J169+ยะลา!J169+ระนอง!J169+สงขลา!J169+สตูล!J169+สุราษฎร์ธานี!J169</f>
        <v>0</v>
      </c>
      <c r="K169" s="169"/>
      <c r="L169" s="189"/>
      <c r="M169" s="189"/>
      <c r="N169" s="189"/>
      <c r="O169" s="189"/>
      <c r="P169" s="189"/>
    </row>
    <row r="170" spans="1:16" ht="21.75" customHeight="1" x14ac:dyDescent="0.35">
      <c r="A170" s="183"/>
      <c r="B170" s="184"/>
      <c r="C170" s="184"/>
      <c r="D170" s="197">
        <v>2</v>
      </c>
      <c r="E170" s="198" t="s">
        <v>46</v>
      </c>
      <c r="F170" s="199"/>
      <c r="G170" s="200"/>
      <c r="H170" s="194"/>
      <c r="I170" s="195">
        <f>กระบี่!I170+ชุมพร!I170+ตรัง!I170+นครศรีธรรมราช!I170+นราธิวาส!I170+ปัตตานี!I170+พังงา!I170+พัทลุง!I170+ภูเก็ต!I170+ยะลา!I170+ระนอง!I170+สงขลา!I170+สตูล!I170+สุราษฎร์ธานี!I170</f>
        <v>0</v>
      </c>
      <c r="J170" s="205">
        <f ca="1">กระบี่!J170+ชุมพร!J170+ตรัง!J170+นครศรีธรรมราช!J170+นราธิวาส!J170+ปัตตานี!J170+พังงา!J170+พัทลุง!J170+ภูเก็ต!J170+ยะลา!J170+ระนอง!J170+สงขลา!J170+สตูล!J170+สุราษฎร์ธานี!J170</f>
        <v>14</v>
      </c>
      <c r="K170" s="169"/>
      <c r="L170" s="189"/>
      <c r="M170" s="189"/>
      <c r="N170" s="189"/>
      <c r="O170" s="189"/>
      <c r="P170" s="189"/>
    </row>
    <row r="171" spans="1:16" ht="21.75" customHeight="1" x14ac:dyDescent="0.35">
      <c r="A171" s="183"/>
      <c r="B171" s="184"/>
      <c r="C171" s="184"/>
      <c r="D171" s="201"/>
      <c r="E171" s="202" t="s">
        <v>47</v>
      </c>
      <c r="F171" s="203"/>
      <c r="G171" s="204"/>
      <c r="H171" s="194"/>
      <c r="I171" s="195">
        <f>กระบี่!I171+ชุมพร!I171+ตรัง!I171+นครศรีธรรมราช!I171+นราธิวาส!I171+ปัตตานี!I171+พังงา!I171+พัทลุง!I171+ภูเก็ต!I171+ยะลา!I171+ระนอง!I171+สงขลา!I171+สตูล!I171+สุราษฎร์ธานี!I171</f>
        <v>0</v>
      </c>
      <c r="J171" s="205">
        <f ca="1">กระบี่!J171+ชุมพร!J171+ตรัง!J171+นครศรีธรรมราช!J171+นราธิวาส!J171+ปัตตานี!J171+พังงา!J171+พัทลุง!J171+ภูเก็ต!J171+ยะลา!J171+ระนอง!J171+สงขลา!J171+สตูล!J171+สุราษฎร์ธานี!J171</f>
        <v>14</v>
      </c>
      <c r="K171" s="169"/>
      <c r="L171" s="189"/>
      <c r="M171" s="189"/>
      <c r="N171" s="189"/>
      <c r="O171" s="189"/>
      <c r="P171" s="189"/>
    </row>
    <row r="172" spans="1:16" ht="21.75" customHeight="1" x14ac:dyDescent="0.35">
      <c r="A172" s="183"/>
      <c r="B172" s="184"/>
      <c r="C172" s="184"/>
      <c r="D172" s="201"/>
      <c r="E172" s="202" t="s">
        <v>48</v>
      </c>
      <c r="F172" s="203"/>
      <c r="G172" s="204"/>
      <c r="H172" s="194"/>
      <c r="I172" s="195">
        <f>กระบี่!I172+ชุมพร!I172+ตรัง!I172+นครศรีธรรมราช!I172+นราธิวาส!I172+ปัตตานี!I172+พังงา!I172+พัทลุง!I172+ภูเก็ต!I172+ยะลา!I172+ระนอง!I172+สงขลา!I172+สตูล!I172+สุราษฎร์ธานี!I172</f>
        <v>0</v>
      </c>
      <c r="J172" s="205">
        <f ca="1">กระบี่!J172+ชุมพร!J172+ตรัง!J172+นครศรีธรรมราช!J172+นราธิวาส!J172+ปัตตานี!J172+พังงา!J172+พัทลุง!J172+ภูเก็ต!J172+ยะลา!J172+ระนอง!J172+สงขลา!J172+สตูล!J172+สุราษฎร์ธานี!J172</f>
        <v>14</v>
      </c>
      <c r="K172" s="169"/>
      <c r="L172" s="189"/>
      <c r="M172" s="189"/>
      <c r="N172" s="189"/>
      <c r="O172" s="189"/>
      <c r="P172" s="189"/>
    </row>
    <row r="173" spans="1:16" ht="21.75" customHeight="1" x14ac:dyDescent="0.35">
      <c r="A173" s="183"/>
      <c r="B173" s="184"/>
      <c r="C173" s="184"/>
      <c r="D173" s="201"/>
      <c r="E173" s="206"/>
      <c r="F173" s="212" t="s">
        <v>84</v>
      </c>
      <c r="G173" s="204"/>
      <c r="H173" s="188" t="s">
        <v>83</v>
      </c>
      <c r="I173" s="195">
        <f ca="1">กระบี่!I173+ชุมพร!I173+ตรัง!I173+นครศรีธรรมราช!I173+นราธิวาส!I173+ปัตตานี!I173+พังงา!I173+พัทลุง!I173+ภูเก็ต!I173+ยะลา!I173+ระนอง!I173+สงขลา!I173+สตูล!I173+สุราษฎร์ธานี!I173</f>
        <v>35</v>
      </c>
      <c r="J173" s="196">
        <f ca="1">กระบี่!J173+ชุมพร!J173+ตรัง!J173+นครศรีธรรมราช!J173+นราธิวาส!J173+ปัตตานี!J173+พังงา!J173+พัทลุง!J173+ภูเก็ต!J173+ยะลา!J173+ระนอง!J173+สงขลา!J173+สตูล!J173+สุราษฎร์ธานี!J173</f>
        <v>25</v>
      </c>
      <c r="K173" s="169">
        <f ca="1">IF(I173&gt;0,J173*100/I173,0)</f>
        <v>71.428571428571431</v>
      </c>
      <c r="L173" s="176"/>
      <c r="M173" s="176"/>
      <c r="N173" s="173"/>
      <c r="O173" s="176"/>
      <c r="P173" s="176"/>
    </row>
    <row r="174" spans="1:16" ht="21.75" customHeight="1" x14ac:dyDescent="0.35">
      <c r="A174" s="183"/>
      <c r="B174" s="184"/>
      <c r="C174" s="184"/>
      <c r="D174" s="201"/>
      <c r="E174" s="202" t="s">
        <v>54</v>
      </c>
      <c r="F174" s="203"/>
      <c r="G174" s="204"/>
      <c r="H174" s="194"/>
      <c r="I174" s="195">
        <f>กระบี่!I174+ชุมพร!I174+ตรัง!I174+นครศรีธรรมราช!I174+นราธิวาส!I174+ปัตตานี!I174+พังงา!I174+พัทลุง!I174+ภูเก็ต!I174+ยะลา!I174+ระนอง!I174+สงขลา!I174+สตูล!I174+สุราษฎร์ธานี!I174</f>
        <v>0</v>
      </c>
      <c r="J174" s="205">
        <f ca="1">กระบี่!J174+ชุมพร!J174+ตรัง!J174+นครศรีธรรมราช!J174+นราธิวาส!J174+ปัตตานี!J174+พังงา!J174+พัทลุง!J174+ภูเก็ต!J174+ยะลา!J174+ระนอง!J174+สงขลา!J174+สตูล!J174+สุราษฎร์ธานี!J174</f>
        <v>0</v>
      </c>
      <c r="K174" s="169"/>
      <c r="L174" s="189"/>
      <c r="M174" s="189"/>
      <c r="N174" s="189"/>
      <c r="O174" s="189"/>
      <c r="P174" s="189"/>
    </row>
    <row r="175" spans="1:16" ht="21.75" customHeight="1" x14ac:dyDescent="0.35">
      <c r="A175" s="183"/>
      <c r="B175" s="184"/>
      <c r="C175" s="184"/>
      <c r="D175" s="213">
        <v>3</v>
      </c>
      <c r="E175" s="214" t="s">
        <v>55</v>
      </c>
      <c r="F175" s="215"/>
      <c r="G175" s="216"/>
      <c r="H175" s="194"/>
      <c r="I175" s="195">
        <f>กระบี่!I175+ชุมพร!I175+ตรัง!I175+นครศรีธรรมราช!I175+นราธิวาส!I175+ปัตตานี!I175+พังงา!I175+พัทลุง!I175+ภูเก็ต!I175+ยะลา!I175+ระนอง!I175+สงขลา!I175+สตูล!I175+สุราษฎร์ธานี!I175</f>
        <v>0</v>
      </c>
      <c r="J175" s="217">
        <f ca="1">กระบี่!J175+ชุมพร!J175+ตรัง!J175+นครศรีธรรมราช!J175+นราธิวาส!J175+ปัตตานี!J175+พังงา!J175+พัทลุง!J175+ภูเก็ต!J175+ยะลา!J175+ระนอง!J175+สงขลา!J175+สตูล!J175+สุราษฎร์ธานี!J175</f>
        <v>0</v>
      </c>
      <c r="K175" s="169"/>
      <c r="L175" s="189"/>
      <c r="M175" s="189"/>
      <c r="N175" s="189"/>
      <c r="O175" s="189"/>
      <c r="P175" s="189"/>
    </row>
    <row r="176" spans="1:16" ht="21.75" customHeight="1" x14ac:dyDescent="0.35">
      <c r="A176" s="277"/>
      <c r="B176" s="278"/>
      <c r="C176" s="279" t="s">
        <v>85</v>
      </c>
      <c r="D176" s="279"/>
      <c r="E176" s="279"/>
      <c r="F176" s="279"/>
      <c r="G176" s="280"/>
      <c r="H176" s="289" t="s">
        <v>83</v>
      </c>
      <c r="I176" s="290">
        <f ca="1">กระบี่!I176+ชุมพร!I176+ตรัง!I176+นครศรีธรรมราช!I176+นราธิวาส!I176+ปัตตานี!I176+พังงา!I176+พัทลุง!I176+ภูเก็ต!I176+ยะลา!I176+ระนอง!I176+สงขลา!I176+สตูล!I176+สุราษฎร์ธานี!I176</f>
        <v>10</v>
      </c>
      <c r="J176" s="290">
        <f ca="1">กระบี่!J176+ชุมพร!J176+ตรัง!J176+นครศรีธรรมราช!J176+นราธิวาส!J176+ปัตตานี!J176+พังงา!J176+พัทลุง!J176+ภูเก็ต!J176+ยะลา!J176+ระนอง!J176+สงขลา!J176+สตูล!J176+สุราษฎร์ธานี!J176</f>
        <v>8</v>
      </c>
      <c r="K176" s="291">
        <f ca="1">IF(I176&gt;0,J176*100/I176,0)</f>
        <v>80</v>
      </c>
      <c r="L176" s="284"/>
      <c r="M176" s="284"/>
      <c r="N176" s="284"/>
      <c r="O176" s="284"/>
      <c r="P176" s="284"/>
    </row>
    <row r="177" spans="1:16" ht="21.75" customHeight="1" x14ac:dyDescent="0.35">
      <c r="A177" s="162"/>
      <c r="B177" s="163"/>
      <c r="C177" s="163" t="s">
        <v>16</v>
      </c>
      <c r="D177" s="164" t="s">
        <v>38</v>
      </c>
      <c r="E177" s="165"/>
      <c r="F177" s="165"/>
      <c r="G177" s="166" t="s">
        <v>39</v>
      </c>
      <c r="H177" s="167" t="s">
        <v>12</v>
      </c>
      <c r="I177" s="168" t="s">
        <v>40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 x14ac:dyDescent="0.35">
      <c r="A178" s="162"/>
      <c r="B178" s="163"/>
      <c r="C178" s="163"/>
      <c r="D178" s="172"/>
      <c r="E178" s="165"/>
      <c r="F178" s="165" t="s">
        <v>40</v>
      </c>
      <c r="G178" s="166" t="s">
        <v>41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 x14ac:dyDescent="0.35">
      <c r="A179" s="162"/>
      <c r="B179" s="163"/>
      <c r="C179" s="163"/>
      <c r="D179" s="172"/>
      <c r="E179" s="165"/>
      <c r="F179" s="165"/>
      <c r="G179" s="177" t="s">
        <v>43</v>
      </c>
      <c r="H179" s="167" t="s">
        <v>12</v>
      </c>
      <c r="I179" s="168"/>
      <c r="J179" s="195"/>
      <c r="K179" s="231"/>
      <c r="L179" s="176"/>
      <c r="M179" s="176"/>
      <c r="N179" s="173"/>
      <c r="O179" s="176"/>
      <c r="P179" s="176"/>
    </row>
    <row r="180" spans="1:16" ht="21.75" customHeight="1" x14ac:dyDescent="0.35">
      <c r="A180" s="183"/>
      <c r="B180" s="184"/>
      <c r="C180" s="163" t="s">
        <v>16</v>
      </c>
      <c r="D180" s="185" t="s">
        <v>44</v>
      </c>
      <c r="E180" s="186"/>
      <c r="F180" s="186"/>
      <c r="G180" s="187"/>
      <c r="H180" s="188"/>
      <c r="I180" s="168"/>
      <c r="J180" s="195"/>
      <c r="K180" s="231"/>
      <c r="L180" s="176"/>
      <c r="M180" s="176"/>
      <c r="N180" s="176"/>
      <c r="O180" s="189"/>
      <c r="P180" s="189"/>
    </row>
    <row r="181" spans="1:16" ht="21.75" customHeight="1" x14ac:dyDescent="0.35">
      <c r="A181" s="183"/>
      <c r="B181" s="184"/>
      <c r="C181" s="184"/>
      <c r="D181" s="190">
        <v>1</v>
      </c>
      <c r="E181" s="191" t="s">
        <v>45</v>
      </c>
      <c r="F181" s="192"/>
      <c r="G181" s="193"/>
      <c r="H181" s="194"/>
      <c r="I181" s="195"/>
      <c r="J181" s="195">
        <f ca="1">กระบี่!J181+ชุมพร!J181+ตรัง!J181+นครศรีธรรมราช!J181+นราธิวาส!J181+ปัตตานี!J181+พังงา!J181+พัทลุง!J181+ภูเก็ต!J181+ยะลา!J181+ระนอง!J181+สงขลา!J181+สตูล!J181+สุราษฎร์ธานี!J181</f>
        <v>0</v>
      </c>
      <c r="K181" s="231"/>
      <c r="L181" s="176"/>
      <c r="M181" s="176"/>
      <c r="N181" s="176"/>
      <c r="O181" s="189"/>
      <c r="P181" s="189"/>
    </row>
    <row r="182" spans="1:16" ht="21.75" customHeight="1" x14ac:dyDescent="0.35">
      <c r="A182" s="183"/>
      <c r="B182" s="184"/>
      <c r="C182" s="184"/>
      <c r="D182" s="197">
        <v>2</v>
      </c>
      <c r="E182" s="198" t="s">
        <v>46</v>
      </c>
      <c r="F182" s="199"/>
      <c r="G182" s="200"/>
      <c r="H182" s="194"/>
      <c r="I182" s="195"/>
      <c r="J182" s="195">
        <f ca="1">กระบี่!J182+ชุมพร!J182+ตรัง!J182+นครศรีธรรมราช!J182+นราธิวาส!J182+ปัตตานี!J182+พังงา!J182+พัทลุง!J182+ภูเก็ต!J182+ยะลา!J182+ระนอง!J182+สงขลา!J182+สตูล!J182+สุราษฎร์ธานี!J182</f>
        <v>3</v>
      </c>
      <c r="K182" s="231"/>
      <c r="L182" s="176"/>
      <c r="M182" s="176"/>
      <c r="N182" s="176"/>
      <c r="O182" s="189"/>
      <c r="P182" s="189"/>
    </row>
    <row r="183" spans="1:16" ht="21.75" customHeight="1" x14ac:dyDescent="0.35">
      <c r="A183" s="183"/>
      <c r="B183" s="184"/>
      <c r="C183" s="184"/>
      <c r="D183" s="201"/>
      <c r="E183" s="202" t="s">
        <v>47</v>
      </c>
      <c r="F183" s="203"/>
      <c r="G183" s="204"/>
      <c r="H183" s="194"/>
      <c r="I183" s="195"/>
      <c r="J183" s="195">
        <f ca="1">กระบี่!J183+ชุมพร!J183+ตรัง!J183+นครศรีธรรมราช!J183+นราธิวาส!J183+ปัตตานี!J183+พังงา!J183+พัทลุง!J183+ภูเก็ต!J183+ยะลา!J183+ระนอง!J183+สงขลา!J183+สตูล!J183+สุราษฎร์ธานี!J183</f>
        <v>2</v>
      </c>
      <c r="K183" s="231"/>
      <c r="L183" s="176"/>
      <c r="M183" s="176"/>
      <c r="N183" s="176"/>
      <c r="O183" s="189"/>
      <c r="P183" s="189"/>
    </row>
    <row r="184" spans="1:16" ht="21.75" customHeight="1" x14ac:dyDescent="0.35">
      <c r="A184" s="183"/>
      <c r="B184" s="184"/>
      <c r="C184" s="184"/>
      <c r="D184" s="201"/>
      <c r="E184" s="202" t="s">
        <v>48</v>
      </c>
      <c r="F184" s="203"/>
      <c r="G184" s="204"/>
      <c r="H184" s="194"/>
      <c r="I184" s="195"/>
      <c r="J184" s="195">
        <f ca="1">กระบี่!J184+ชุมพร!J184+ตรัง!J184+นครศรีธรรมราช!J184+นราธิวาส!J184+ปัตตานี!J184+พังงา!J184+พัทลุง!J184+ภูเก็ต!J184+ยะลา!J184+ระนอง!J184+สงขลา!J184+สตูล!J184+สุราษฎร์ธานี!J184</f>
        <v>2</v>
      </c>
      <c r="K184" s="231"/>
      <c r="L184" s="176"/>
      <c r="M184" s="176"/>
      <c r="N184" s="176"/>
      <c r="O184" s="189"/>
      <c r="P184" s="189"/>
    </row>
    <row r="185" spans="1:16" ht="21.75" customHeight="1" x14ac:dyDescent="0.35">
      <c r="A185" s="183"/>
      <c r="B185" s="184"/>
      <c r="C185" s="184"/>
      <c r="D185" s="201"/>
      <c r="E185" s="206"/>
      <c r="F185" s="202" t="s">
        <v>86</v>
      </c>
      <c r="G185" s="204"/>
      <c r="H185" s="188" t="s">
        <v>83</v>
      </c>
      <c r="I185" s="195">
        <f ca="1">กระบี่!I185+ชุมพร!I185+ตรัง!I185+นครศรีธรรมราช!I185+นราธิวาส!I185+ปัตตานี!I185+พังงา!I185+พัทลุง!I185+ภูเก็ต!I185+ยะลา!I185+ระนอง!I185+สงขลา!I185+สตูล!I185+สุราษฎร์ธานี!I185</f>
        <v>10</v>
      </c>
      <c r="J185" s="211">
        <f ca="1">กระบี่!J185+ชุมพร!J185+ตรัง!J185+นครศรีธรรมราช!J185+นราธิวาส!J185+ปัตตานี!J185+พังงา!J185+พัทลุง!J185+ภูเก็ต!J185+ยะลา!J185+ระนอง!J185+สงขลา!J185+สตูล!J185+สุราษฎร์ธานี!J185</f>
        <v>0</v>
      </c>
      <c r="K185" s="231">
        <f t="shared" ref="K185:K186" ca="1" si="56">IF(I185&gt;0,J185*100/I185,0)</f>
        <v>0</v>
      </c>
      <c r="L185" s="176"/>
      <c r="M185" s="176"/>
      <c r="N185" s="173"/>
      <c r="O185" s="176"/>
      <c r="P185" s="176"/>
    </row>
    <row r="186" spans="1:16" ht="21.75" customHeight="1" x14ac:dyDescent="0.35">
      <c r="A186" s="183"/>
      <c r="B186" s="184"/>
      <c r="C186" s="184"/>
      <c r="D186" s="201"/>
      <c r="E186" s="206"/>
      <c r="F186" s="202" t="s">
        <v>87</v>
      </c>
      <c r="G186" s="204"/>
      <c r="H186" s="188" t="s">
        <v>83</v>
      </c>
      <c r="I186" s="195">
        <f ca="1">กระบี่!I186+ชุมพร!I186+ตรัง!I186+นครศรีธรรมราช!I186+นราธิวาส!I186+ปัตตานี!I186+พังงา!I186+พัทลุง!I186+ภูเก็ต!I186+ยะลา!I186+ระนอง!I186+สงขลา!I186+สตูล!I186+สุราษฎร์ธานี!I186</f>
        <v>10</v>
      </c>
      <c r="J186" s="211">
        <f ca="1">กระบี่!J186+ชุมพร!J186+ตรัง!J186+นครศรีธรรมราช!J186+นราธิวาส!J186+ปัตตานี!J186+พังงา!J186+พัทลุง!J186+ภูเก็ต!J186+ยะลา!J186+ระนอง!J186+สงขลา!J186+สตูล!J186+สุราษฎร์ธานี!J186</f>
        <v>8</v>
      </c>
      <c r="K186" s="231">
        <f t="shared" ca="1" si="56"/>
        <v>80</v>
      </c>
      <c r="L186" s="176"/>
      <c r="M186" s="176"/>
      <c r="N186" s="173"/>
      <c r="O186" s="176"/>
      <c r="P186" s="176"/>
    </row>
    <row r="187" spans="1:16" ht="21.75" customHeight="1" x14ac:dyDescent="0.35">
      <c r="A187" s="183"/>
      <c r="B187" s="184"/>
      <c r="C187" s="184"/>
      <c r="D187" s="201"/>
      <c r="E187" s="202" t="s">
        <v>54</v>
      </c>
      <c r="F187" s="203"/>
      <c r="G187" s="204"/>
      <c r="H187" s="194"/>
      <c r="I187" s="195"/>
      <c r="J187" s="195">
        <f ca="1">กระบี่!J187+ชุมพร!J187+ตรัง!J187+นครศรีธรรมราช!J187+นราธิวาส!J187+ปัตตานี!J187+พังงา!J187+พัทลุง!J187+ภูเก็ต!J187+ยะลา!J187+ระนอง!J187+สงขลา!J187+สตูล!J187+สุราษฎร์ธานี!J187</f>
        <v>0</v>
      </c>
      <c r="K187" s="231"/>
      <c r="L187" s="176"/>
      <c r="M187" s="176"/>
      <c r="N187" s="176"/>
      <c r="O187" s="189"/>
      <c r="P187" s="189"/>
    </row>
    <row r="188" spans="1:16" ht="21.75" customHeight="1" x14ac:dyDescent="0.35">
      <c r="A188" s="183"/>
      <c r="B188" s="184"/>
      <c r="C188" s="184"/>
      <c r="D188" s="213">
        <v>3</v>
      </c>
      <c r="E188" s="214" t="s">
        <v>55</v>
      </c>
      <c r="F188" s="215"/>
      <c r="G188" s="216"/>
      <c r="H188" s="194"/>
      <c r="I188" s="195"/>
      <c r="J188" s="234">
        <f ca="1">กระบี่!J188+ชุมพร!J188+ตรัง!J188+นครศรีธรรมราช!J188+นราธิวาส!J188+ปัตตานี!J188+พังงา!J188+พัทลุง!J188+ภูเก็ต!J188+ยะลา!J188+ระนอง!J188+สงขลา!J188+สตูล!J188+สุราษฎร์ธานี!J188</f>
        <v>0</v>
      </c>
      <c r="K188" s="231"/>
      <c r="L188" s="176"/>
      <c r="M188" s="176"/>
      <c r="N188" s="176"/>
      <c r="O188" s="189"/>
      <c r="P188" s="189"/>
    </row>
    <row r="189" spans="1:16" ht="21.75" customHeight="1" x14ac:dyDescent="0.35">
      <c r="A189" s="277"/>
      <c r="B189" s="278"/>
      <c r="C189" s="279" t="s">
        <v>88</v>
      </c>
      <c r="D189" s="279"/>
      <c r="E189" s="279"/>
      <c r="F189" s="279"/>
      <c r="G189" s="280"/>
      <c r="H189" s="292" t="s">
        <v>89</v>
      </c>
      <c r="I189" s="290">
        <f ca="1">กระบี่!I189+ชุมพร!I189+ตรัง!I189+นครศรีธรรมราช!I189+นราธิวาส!I189+ปัตตานี!I189+พังงา!I189+พัทลุง!I189+ภูเก็ต!I189+ยะลา!I189+ระนอง!I189+สงขลา!I189+สตูล!I189+สุราษฎร์ธานี!I189</f>
        <v>239000</v>
      </c>
      <c r="J189" s="290">
        <f ca="1">กระบี่!J189+ชุมพร!J189+ตรัง!J189+นครศรีธรรมราช!J189+นราธิวาส!J189+ปัตตานี!J189+พังงา!J189+พัทลุง!J189+ภูเก็ต!J189+ยะลา!J189+ระนอง!J189+สงขลา!J189+สตูล!J189+สุราษฎร์ธานี!J189</f>
        <v>0</v>
      </c>
      <c r="K189" s="291">
        <f ca="1">IF(I189&gt;0,J189*100/I189,0)</f>
        <v>0</v>
      </c>
      <c r="L189" s="284"/>
      <c r="M189" s="284"/>
      <c r="N189" s="284"/>
      <c r="O189" s="284"/>
      <c r="P189" s="284"/>
    </row>
    <row r="190" spans="1:16" ht="21.75" customHeight="1" x14ac:dyDescent="0.35">
      <c r="A190" s="162"/>
      <c r="B190" s="163"/>
      <c r="C190" s="163" t="s">
        <v>16</v>
      </c>
      <c r="D190" s="164" t="s">
        <v>38</v>
      </c>
      <c r="E190" s="165"/>
      <c r="F190" s="165"/>
      <c r="G190" s="166" t="s">
        <v>39</v>
      </c>
      <c r="H190" s="167" t="s">
        <v>12</v>
      </c>
      <c r="I190" s="168" t="s">
        <v>40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 x14ac:dyDescent="0.35">
      <c r="A191" s="162"/>
      <c r="B191" s="163"/>
      <c r="C191" s="163"/>
      <c r="D191" s="172"/>
      <c r="E191" s="165"/>
      <c r="F191" s="165" t="s">
        <v>40</v>
      </c>
      <c r="G191" s="166" t="s">
        <v>41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 x14ac:dyDescent="0.35">
      <c r="A192" s="162"/>
      <c r="B192" s="163"/>
      <c r="C192" s="163"/>
      <c r="D192" s="172"/>
      <c r="E192" s="165"/>
      <c r="F192" s="165"/>
      <c r="G192" s="177" t="s">
        <v>43</v>
      </c>
      <c r="H192" s="167" t="s">
        <v>12</v>
      </c>
      <c r="I192" s="168"/>
      <c r="J192" s="168"/>
      <c r="K192" s="169"/>
      <c r="L192" s="176"/>
      <c r="M192" s="176"/>
      <c r="N192" s="173"/>
      <c r="O192" s="176"/>
      <c r="P192" s="176"/>
    </row>
    <row r="193" spans="1:16" ht="21.75" customHeight="1" x14ac:dyDescent="0.35">
      <c r="A193" s="183"/>
      <c r="B193" s="184"/>
      <c r="C193" s="163" t="s">
        <v>16</v>
      </c>
      <c r="D193" s="185" t="s">
        <v>44</v>
      </c>
      <c r="E193" s="186"/>
      <c r="F193" s="186"/>
      <c r="G193" s="187"/>
      <c r="H193" s="188"/>
      <c r="I193" s="168"/>
      <c r="J193" s="168"/>
      <c r="K193" s="169"/>
      <c r="L193" s="189"/>
      <c r="M193" s="189"/>
      <c r="N193" s="189"/>
      <c r="O193" s="189"/>
      <c r="P193" s="189"/>
    </row>
    <row r="194" spans="1:16" ht="21.75" customHeight="1" x14ac:dyDescent="0.35">
      <c r="A194" s="183"/>
      <c r="B194" s="184"/>
      <c r="C194" s="184"/>
      <c r="D194" s="190">
        <v>1</v>
      </c>
      <c r="E194" s="191" t="s">
        <v>45</v>
      </c>
      <c r="F194" s="192"/>
      <c r="G194" s="193"/>
      <c r="H194" s="194"/>
      <c r="I194" s="195"/>
      <c r="J194" s="205">
        <f ca="1">กระบี่!J194+ชุมพร!J194+ตรัง!J194+นครศรีธรรมราช!J194+นราธิวาส!J194+ปัตตานี!J194+พังงา!J194+พัทลุง!J194+ภูเก็ต!J194+ยะลา!J194+ระนอง!J194+สงขลา!J194+สตูล!J194+สุราษฎร์ธานี!J194</f>
        <v>3</v>
      </c>
      <c r="K194" s="169"/>
      <c r="L194" s="189"/>
      <c r="M194" s="189"/>
      <c r="N194" s="189"/>
      <c r="O194" s="189"/>
      <c r="P194" s="189"/>
    </row>
    <row r="195" spans="1:16" ht="21.75" customHeight="1" x14ac:dyDescent="0.35">
      <c r="A195" s="183"/>
      <c r="B195" s="184"/>
      <c r="C195" s="184"/>
      <c r="D195" s="197">
        <v>2</v>
      </c>
      <c r="E195" s="198" t="s">
        <v>46</v>
      </c>
      <c r="F195" s="199"/>
      <c r="G195" s="200"/>
      <c r="H195" s="194"/>
      <c r="I195" s="195"/>
      <c r="J195" s="196">
        <f ca="1">กระบี่!J195+ชุมพร!J195+ตรัง!J195+นครศรีธรรมราช!J195+นราธิวาส!J195+ปัตตานี!J195+พังงา!J195+พัทลุง!J195+ภูเก็ต!J195+ยะลา!J195+ระนอง!J195+สงขลา!J195+สตูล!J195+สุราษฎร์ธานี!J195</f>
        <v>10</v>
      </c>
      <c r="K195" s="169"/>
      <c r="L195" s="189"/>
      <c r="M195" s="189"/>
      <c r="N195" s="189"/>
      <c r="O195" s="189"/>
      <c r="P195" s="189"/>
    </row>
    <row r="196" spans="1:16" ht="21.75" customHeight="1" x14ac:dyDescent="0.35">
      <c r="A196" s="183"/>
      <c r="B196" s="184"/>
      <c r="C196" s="184"/>
      <c r="D196" s="201"/>
      <c r="E196" s="202" t="s">
        <v>47</v>
      </c>
      <c r="F196" s="203"/>
      <c r="G196" s="204"/>
      <c r="H196" s="194"/>
      <c r="I196" s="195"/>
      <c r="J196" s="196">
        <f ca="1">กระบี่!J196+ชุมพร!J196+ตรัง!J196+นครศรีธรรมราช!J196+นราธิวาส!J196+ปัตตานี!J196+พังงา!J196+พัทลุง!J196+ภูเก็ต!J196+ยะลา!J196+ระนอง!J196+สงขลา!J196+สตูล!J196+สุราษฎร์ธานี!J196</f>
        <v>7</v>
      </c>
      <c r="K196" s="169"/>
      <c r="L196" s="189"/>
      <c r="M196" s="189"/>
      <c r="N196" s="189"/>
      <c r="O196" s="189"/>
      <c r="P196" s="189"/>
    </row>
    <row r="197" spans="1:16" ht="21.75" customHeight="1" x14ac:dyDescent="0.35">
      <c r="A197" s="183"/>
      <c r="B197" s="184"/>
      <c r="C197" s="184"/>
      <c r="D197" s="201"/>
      <c r="E197" s="202" t="s">
        <v>48</v>
      </c>
      <c r="F197" s="203"/>
      <c r="G197" s="204"/>
      <c r="H197" s="194"/>
      <c r="I197" s="195"/>
      <c r="J197" s="205">
        <f ca="1">กระบี่!J197+ชุมพร!J197+ตรัง!J197+นครศรีธรรมราช!J197+นราธิวาส!J197+ปัตตานี!J197+พังงา!J197+พัทลุง!J197+ภูเก็ต!J197+ยะลา!J197+ระนอง!J197+สงขลา!J197+สตูล!J197+สุราษฎร์ธานี!J197</f>
        <v>7</v>
      </c>
      <c r="K197" s="169"/>
      <c r="L197" s="189"/>
      <c r="M197" s="189"/>
      <c r="N197" s="189"/>
      <c r="O197" s="189"/>
      <c r="P197" s="189"/>
    </row>
    <row r="198" spans="1:16" ht="21.75" customHeight="1" x14ac:dyDescent="0.35">
      <c r="A198" s="183"/>
      <c r="B198" s="184"/>
      <c r="C198" s="184"/>
      <c r="D198" s="201"/>
      <c r="E198" s="203"/>
      <c r="F198" s="203" t="s">
        <v>90</v>
      </c>
      <c r="G198" s="204"/>
      <c r="H198" s="188"/>
      <c r="I198" s="195"/>
      <c r="J198" s="195">
        <f>กระบี่!J198+ชุมพร!J198+ตรัง!J198+นครศรีธรรมราช!J198+นราธิวาส!J198+ปัตตานี!J198+พังงา!J198+พัทลุง!J198+ภูเก็ต!J198+ยะลา!J198+ระนอง!J198+สงขลา!J198+สตูล!J198+สุราษฎร์ธานี!J198</f>
        <v>0</v>
      </c>
      <c r="K198" s="169"/>
      <c r="L198" s="189"/>
      <c r="M198" s="189"/>
      <c r="N198" s="189"/>
      <c r="O198" s="189"/>
      <c r="P198" s="189"/>
    </row>
    <row r="199" spans="1:16" ht="21.75" customHeight="1" x14ac:dyDescent="0.35">
      <c r="A199" s="183"/>
      <c r="B199" s="184"/>
      <c r="C199" s="184"/>
      <c r="D199" s="201"/>
      <c r="E199" s="206"/>
      <c r="F199" s="203"/>
      <c r="G199" s="202" t="s">
        <v>91</v>
      </c>
      <c r="H199" s="188" t="s">
        <v>89</v>
      </c>
      <c r="I199" s="195">
        <f ca="1">กระบี่!I199+ชุมพร!I199+ตรัง!I199+นครศรีธรรมราช!I199+นราธิวาส!I199+ปัตตานี!I199+พังงา!I199+พัทลุง!I199+ภูเก็ต!I199+ยะลา!I199+ระนอง!I199+สงขลา!I199+สตูล!I199+สุราษฎร์ธานี!I199</f>
        <v>239000</v>
      </c>
      <c r="J199" s="196">
        <f ca="1">กระบี่!J199+ชุมพร!J199+ตรัง!J199+นครศรีธรรมราช!J199+นราธิวาส!J199+ปัตตานี!J199+พังงา!J199+พัทลุง!J199+ภูเก็ต!J199+ยะลา!J199+ระนอง!J199+สงขลา!J199+สตูล!J199+สุราษฎร์ธานี!J199</f>
        <v>60000</v>
      </c>
      <c r="K199" s="169">
        <f t="shared" ref="K199:K201" ca="1" si="57">IF(I199&gt;0,J199*100/I199,0)</f>
        <v>25.10460251046025</v>
      </c>
      <c r="L199" s="189"/>
      <c r="M199" s="189"/>
      <c r="N199" s="189"/>
      <c r="O199" s="189"/>
      <c r="P199" s="189"/>
    </row>
    <row r="200" spans="1:16" ht="21.75" customHeight="1" x14ac:dyDescent="0.35">
      <c r="A200" s="183"/>
      <c r="B200" s="184"/>
      <c r="C200" s="184"/>
      <c r="D200" s="201"/>
      <c r="E200" s="206"/>
      <c r="F200" s="203"/>
      <c r="G200" s="202" t="s">
        <v>92</v>
      </c>
      <c r="H200" s="188" t="s">
        <v>89</v>
      </c>
      <c r="I200" s="195">
        <f ca="1">กระบี่!I200+ชุมพร!I200+ตรัง!I200+นครศรีธรรมราช!I200+นราธิวาส!I200+ปัตตานี!I200+พังงา!I200+พัทลุง!I200+ภูเก็ต!I200+ยะลา!I200+ระนอง!I200+สงขลา!I200+สตูล!I200+สุราษฎร์ธานี!I200</f>
        <v>239000</v>
      </c>
      <c r="J200" s="196">
        <f ca="1">กระบี่!J200+ชุมพร!J200+ตรัง!J200+นครศรีธรรมราช!J200+นราธิวาส!J200+ปัตตานี!J200+พังงา!J200+พัทลุง!J200+ภูเก็ต!J200+ยะลา!J200+ระนอง!J200+สงขลา!J200+สตูล!J200+สุราษฎร์ธานี!J200</f>
        <v>0</v>
      </c>
      <c r="K200" s="169">
        <f t="shared" ca="1" si="57"/>
        <v>0</v>
      </c>
      <c r="L200" s="176"/>
      <c r="M200" s="176"/>
      <c r="N200" s="173"/>
      <c r="O200" s="176"/>
      <c r="P200" s="176"/>
    </row>
    <row r="201" spans="1:16" ht="21.75" customHeight="1" x14ac:dyDescent="0.35">
      <c r="A201" s="183"/>
      <c r="B201" s="184"/>
      <c r="C201" s="184"/>
      <c r="D201" s="201"/>
      <c r="E201" s="206"/>
      <c r="F201" s="203" t="s">
        <v>93</v>
      </c>
      <c r="G201" s="204"/>
      <c r="H201" s="188" t="s">
        <v>37</v>
      </c>
      <c r="I201" s="195">
        <f ca="1">กระบี่!I201+ชุมพร!I201+ตรัง!I201+นครศรีธรรมราช!I201+นราธิวาส!I201+ปัตตานี!I201+พังงา!I201+พัทลุง!I201+ภูเก็ต!I201+ยะลา!I201+ระนอง!I201+สงขลา!I201+สตูล!I201+สุราษฎร์ธานี!I201</f>
        <v>60</v>
      </c>
      <c r="J201" s="196">
        <f ca="1">กระบี่!J201+ชุมพร!J201+ตรัง!J201+นครศรีธรรมราช!J201+นราธิวาส!J201+ปัตตานี!J201+พังงา!J201+พัทลุง!J201+ภูเก็ต!J201+ยะลา!J201+ระนอง!J201+สงขลา!J201+สตูล!J201+สุราษฎร์ธานี!J201</f>
        <v>60</v>
      </c>
      <c r="K201" s="169">
        <f t="shared" ca="1" si="57"/>
        <v>100</v>
      </c>
      <c r="L201" s="176"/>
      <c r="M201" s="176"/>
      <c r="N201" s="173"/>
      <c r="O201" s="176"/>
      <c r="P201" s="176"/>
    </row>
    <row r="202" spans="1:16" ht="21.75" customHeight="1" x14ac:dyDescent="0.35">
      <c r="A202" s="183"/>
      <c r="B202" s="184"/>
      <c r="C202" s="184"/>
      <c r="D202" s="201"/>
      <c r="E202" s="202" t="s">
        <v>54</v>
      </c>
      <c r="F202" s="203"/>
      <c r="G202" s="204"/>
      <c r="H202" s="194"/>
      <c r="I202" s="195"/>
      <c r="J202" s="205">
        <f ca="1">กระบี่!J202+ชุมพร!J202+ตรัง!J202+นครศรีธรรมราช!J202+นราธิวาส!J202+ปัตตานี!J202+พังงา!J202+พัทลุง!J202+ภูเก็ต!J202+ยะลา!J202+ระนอง!J202+สงขลา!J202+สตูล!J202+สุราษฎร์ธานี!J202</f>
        <v>0</v>
      </c>
      <c r="K202" s="169"/>
      <c r="L202" s="189"/>
      <c r="M202" s="189"/>
      <c r="N202" s="189"/>
      <c r="O202" s="189"/>
      <c r="P202" s="189"/>
    </row>
    <row r="203" spans="1:16" ht="21.75" customHeight="1" x14ac:dyDescent="0.35">
      <c r="A203" s="241"/>
      <c r="B203" s="242"/>
      <c r="C203" s="242"/>
      <c r="D203" s="243">
        <v>3</v>
      </c>
      <c r="E203" s="244" t="s">
        <v>55</v>
      </c>
      <c r="F203" s="245"/>
      <c r="G203" s="246"/>
      <c r="H203" s="247"/>
      <c r="I203" s="248"/>
      <c r="J203" s="293">
        <f ca="1">กระบี่!J203+ชุมพร!J203+ตรัง!J203+นครศรีธรรมราช!J203+นราธิวาส!J203+ปัตตานี!J203+พังงา!J203+พัทลุง!J203+ภูเก็ต!J203+ยะลา!J203+ระนอง!J203+สงขลา!J203+สตูล!J203+สุราษฎร์ธานี!J203</f>
        <v>0</v>
      </c>
      <c r="K203" s="294"/>
      <c r="L203" s="252"/>
      <c r="M203" s="252"/>
      <c r="N203" s="252"/>
      <c r="O203" s="252"/>
      <c r="P203" s="252"/>
    </row>
    <row r="204" spans="1:16" ht="21.75" customHeight="1" x14ac:dyDescent="0.35">
      <c r="A204" s="277"/>
      <c r="B204" s="278"/>
      <c r="C204" s="295" t="s">
        <v>94</v>
      </c>
      <c r="D204" s="279"/>
      <c r="E204" s="279"/>
      <c r="F204" s="279"/>
      <c r="G204" s="280"/>
      <c r="H204" s="292" t="s">
        <v>37</v>
      </c>
      <c r="I204" s="290">
        <f ca="1">กระบี่!I204+ชุมพร!I204+ตรัง!I204+นครศรีธรรมราช!I204+นราธิวาส!I204+ปัตตานี!I204+พังงา!I204+พัทลุง!I204+ภูเก็ต!I204+ยะลา!I204+ระนอง!I204+สงขลา!I204+สตูล!I204+สุราษฎร์ธานี!I204</f>
        <v>100</v>
      </c>
      <c r="J204" s="290">
        <f ca="1">กระบี่!J204+ชุมพร!J204+ตรัง!J204+นครศรีธรรมราช!J204+นราธิวาส!J204+ปัตตานี!J204+พังงา!J204+พัทลุง!J204+ภูเก็ต!J204+ยะลา!J204+ระนอง!J204+สงขลา!J204+สตูล!J204+สุราษฎร์ธานี!J204</f>
        <v>52</v>
      </c>
      <c r="K204" s="291">
        <f ca="1">IF(I204&gt;0,J204*100/I204,0)</f>
        <v>52</v>
      </c>
      <c r="L204" s="284"/>
      <c r="M204" s="284"/>
      <c r="N204" s="284"/>
      <c r="O204" s="284"/>
      <c r="P204" s="284"/>
    </row>
    <row r="205" spans="1:16" ht="21.75" customHeight="1" x14ac:dyDescent="0.35">
      <c r="A205" s="162"/>
      <c r="B205" s="163"/>
      <c r="C205" s="163" t="s">
        <v>16</v>
      </c>
      <c r="D205" s="164" t="s">
        <v>38</v>
      </c>
      <c r="E205" s="165"/>
      <c r="F205" s="165"/>
      <c r="G205" s="166" t="s">
        <v>39</v>
      </c>
      <c r="H205" s="167" t="s">
        <v>12</v>
      </c>
      <c r="I205" s="168" t="s">
        <v>40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 x14ac:dyDescent="0.35">
      <c r="A206" s="162"/>
      <c r="B206" s="163"/>
      <c r="C206" s="163"/>
      <c r="D206" s="172"/>
      <c r="E206" s="165"/>
      <c r="F206" s="165" t="s">
        <v>40</v>
      </c>
      <c r="G206" s="166" t="s">
        <v>41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 x14ac:dyDescent="0.35">
      <c r="A207" s="162"/>
      <c r="B207" s="163"/>
      <c r="C207" s="163"/>
      <c r="D207" s="172"/>
      <c r="E207" s="165"/>
      <c r="F207" s="165"/>
      <c r="G207" s="177" t="s">
        <v>43</v>
      </c>
      <c r="H207" s="167" t="s">
        <v>12</v>
      </c>
      <c r="I207" s="168"/>
      <c r="J207" s="195"/>
      <c r="K207" s="231"/>
      <c r="L207" s="176"/>
      <c r="M207" s="176"/>
      <c r="N207" s="173"/>
      <c r="O207" s="176"/>
      <c r="P207" s="176"/>
    </row>
    <row r="208" spans="1:16" ht="21.75" customHeight="1" x14ac:dyDescent="0.35">
      <c r="A208" s="183"/>
      <c r="B208" s="184"/>
      <c r="C208" s="163" t="s">
        <v>16</v>
      </c>
      <c r="D208" s="185" t="s">
        <v>44</v>
      </c>
      <c r="E208" s="186"/>
      <c r="F208" s="186"/>
      <c r="G208" s="187"/>
      <c r="H208" s="188"/>
      <c r="I208" s="168"/>
      <c r="J208" s="195"/>
      <c r="K208" s="231"/>
      <c r="L208" s="176"/>
      <c r="M208" s="176"/>
      <c r="N208" s="176"/>
      <c r="O208" s="189"/>
      <c r="P208" s="189"/>
    </row>
    <row r="209" spans="1:16" ht="21.75" customHeight="1" x14ac:dyDescent="0.35">
      <c r="A209" s="183"/>
      <c r="B209" s="184"/>
      <c r="C209" s="184"/>
      <c r="D209" s="190">
        <v>1</v>
      </c>
      <c r="E209" s="191" t="s">
        <v>45</v>
      </c>
      <c r="F209" s="192"/>
      <c r="G209" s="193"/>
      <c r="H209" s="194"/>
      <c r="I209" s="195"/>
      <c r="J209" s="195">
        <f ca="1">กระบี่!J209+ชุมพร!J209+ตรัง!J209+นครศรีธรรมราช!J209+นราธิวาส!J209+ปัตตานี!J209+พังงา!J209+พัทลุง!J209+ภูเก็ต!J209+ยะลา!J209+ระนอง!J209+สงขลา!J209+สตูล!J209+สุราษฎร์ธานี!J209</f>
        <v>0</v>
      </c>
      <c r="K209" s="231"/>
      <c r="L209" s="176"/>
      <c r="M209" s="176"/>
      <c r="N209" s="176"/>
      <c r="O209" s="189"/>
      <c r="P209" s="189"/>
    </row>
    <row r="210" spans="1:16" ht="21.75" customHeight="1" x14ac:dyDescent="0.35">
      <c r="A210" s="183"/>
      <c r="B210" s="184"/>
      <c r="C210" s="184"/>
      <c r="D210" s="197">
        <v>2</v>
      </c>
      <c r="E210" s="198" t="s">
        <v>46</v>
      </c>
      <c r="F210" s="199"/>
      <c r="G210" s="200"/>
      <c r="H210" s="194"/>
      <c r="I210" s="195"/>
      <c r="J210" s="195">
        <f ca="1">กระบี่!J210+ชุมพร!J210+ตรัง!J210+นครศรีธรรมราช!J210+นราธิวาส!J210+ปัตตานี!J210+พังงา!J210+พัทลุง!J210+ภูเก็ต!J210+ยะลา!J210+ระนอง!J210+สงขลา!J210+สตูล!J210+สุราษฎร์ธานี!J210</f>
        <v>1</v>
      </c>
      <c r="K210" s="231"/>
      <c r="L210" s="176"/>
      <c r="M210" s="176"/>
      <c r="N210" s="176"/>
      <c r="O210" s="189"/>
      <c r="P210" s="189"/>
    </row>
    <row r="211" spans="1:16" ht="21.75" customHeight="1" x14ac:dyDescent="0.35">
      <c r="A211" s="183"/>
      <c r="B211" s="184"/>
      <c r="C211" s="184"/>
      <c r="D211" s="201"/>
      <c r="E211" s="202" t="s">
        <v>47</v>
      </c>
      <c r="F211" s="203"/>
      <c r="G211" s="204"/>
      <c r="H211" s="194"/>
      <c r="I211" s="195"/>
      <c r="J211" s="195">
        <f ca="1">กระบี่!J211+ชุมพร!J211+ตรัง!J211+นครศรีธรรมราช!J211+นราธิวาส!J211+ปัตตานี!J211+พังงา!J211+พัทลุง!J211+ภูเก็ต!J211+ยะลา!J211+ระนอง!J211+สงขลา!J211+สตูล!J211+สุราษฎร์ธานี!J211</f>
        <v>1</v>
      </c>
      <c r="K211" s="231"/>
      <c r="L211" s="176"/>
      <c r="M211" s="176"/>
      <c r="N211" s="176"/>
      <c r="O211" s="189"/>
      <c r="P211" s="189"/>
    </row>
    <row r="212" spans="1:16" ht="21.75" customHeight="1" x14ac:dyDescent="0.35">
      <c r="A212" s="183"/>
      <c r="B212" s="184"/>
      <c r="C212" s="184"/>
      <c r="D212" s="201"/>
      <c r="E212" s="202" t="s">
        <v>48</v>
      </c>
      <c r="F212" s="203"/>
      <c r="G212" s="204"/>
      <c r="H212" s="194"/>
      <c r="I212" s="195"/>
      <c r="J212" s="195">
        <f ca="1">กระบี่!J212+ชุมพร!J212+ตรัง!J212+นครศรีธรรมราช!J212+นราธิวาส!J212+ปัตตานี!J212+พังงา!J212+พัทลุง!J212+ภูเก็ต!J212+ยะลา!J212+ระนอง!J212+สงขลา!J212+สตูล!J212+สุราษฎร์ธานี!J212</f>
        <v>1</v>
      </c>
      <c r="K212" s="231"/>
      <c r="L212" s="176"/>
      <c r="M212" s="176"/>
      <c r="N212" s="176"/>
      <c r="O212" s="189"/>
      <c r="P212" s="189"/>
    </row>
    <row r="213" spans="1:16" ht="21.75" customHeight="1" x14ac:dyDescent="0.35">
      <c r="A213" s="183"/>
      <c r="B213" s="184"/>
      <c r="C213" s="184"/>
      <c r="D213" s="201"/>
      <c r="E213" s="206"/>
      <c r="F213" s="203" t="s">
        <v>95</v>
      </c>
      <c r="G213" s="204"/>
      <c r="H213" s="188" t="s">
        <v>37</v>
      </c>
      <c r="I213" s="195">
        <f ca="1">กระบี่!I213+ชุมพร!I213+ตรัง!I213+นครศรีธรรมราช!I213+นราธิวาส!I213+ปัตตานี!I213+พังงา!I213+พัทลุง!I213+ภูเก็ต!I213+ยะลา!I213+ระนอง!I213+สงขลา!I213+สตูล!I213+สุราษฎร์ธานี!I213</f>
        <v>100</v>
      </c>
      <c r="J213" s="211">
        <f ca="1">กระบี่!J213+ชุมพร!J213+ตรัง!J213+นครศรีธรรมราช!J213+นราธิวาส!J213+ปัตตานี!J213+พังงา!J213+พัทลุง!J213+ภูเก็ต!J213+ยะลา!J213+ระนอง!J213+สงขลา!J213+สตูล!J213+สุราษฎร์ธานี!J213</f>
        <v>52</v>
      </c>
      <c r="K213" s="231">
        <f ca="1">IF(I213&gt;0,J213*100/I213,0)</f>
        <v>52</v>
      </c>
      <c r="L213" s="176"/>
      <c r="M213" s="176"/>
      <c r="N213" s="173"/>
      <c r="O213" s="176"/>
      <c r="P213" s="176"/>
    </row>
    <row r="214" spans="1:16" ht="21.75" customHeight="1" x14ac:dyDescent="0.35">
      <c r="A214" s="183"/>
      <c r="B214" s="184"/>
      <c r="C214" s="184"/>
      <c r="D214" s="201"/>
      <c r="E214" s="206"/>
      <c r="F214" s="202" t="s">
        <v>53</v>
      </c>
      <c r="G214" s="204"/>
      <c r="H214" s="188"/>
      <c r="I214" s="195">
        <f>กระบี่!I214+ชุมพร!I214+ตรัง!I214+นครศรีธรรมราช!I214+นราธิวาส!I214+ปัตตานี!I214+พังงา!I214+พัทลุง!I214+ภูเก็ต!I214+ยะลา!I214+ระนอง!I214+สงขลา!I214+สตูล!I214+สุราษฎร์ธานี!I214</f>
        <v>0</v>
      </c>
      <c r="J214" s="195">
        <f>กระบี่!J214+ชุมพร!J214+ตรัง!J214+นครศรีธรรมราช!J214+นราธิวาส!J214+ปัตตานี!J214+พังงา!J214+พัทลุง!J214+ภูเก็ต!J214+ยะลา!J214+ระนอง!J214+สงขลา!J214+สตูล!J214+สุราษฎร์ธานี!J214</f>
        <v>0</v>
      </c>
      <c r="K214" s="231"/>
      <c r="L214" s="176"/>
      <c r="M214" s="176"/>
      <c r="N214" s="176"/>
      <c r="O214" s="189"/>
      <c r="P214" s="189"/>
    </row>
    <row r="215" spans="1:16" ht="21.75" customHeight="1" x14ac:dyDescent="0.35">
      <c r="A215" s="183"/>
      <c r="B215" s="184"/>
      <c r="C215" s="184"/>
      <c r="D215" s="201"/>
      <c r="E215" s="206"/>
      <c r="F215" s="203"/>
      <c r="G215" s="233" t="s">
        <v>96</v>
      </c>
      <c r="H215" s="188" t="s">
        <v>37</v>
      </c>
      <c r="I215" s="195">
        <f ca="1">กระบี่!I215+ชุมพร!I215+ตรัง!I215+นครศรีธรรมราช!I215+นราธิวาส!I215+ปัตตานี!I215+พังงา!I215+พัทลุง!I215+ภูเก็ต!I215+ยะลา!I215+ระนอง!I215+สงขลา!I215+สตูล!I215+สุราษฎร์ธานี!I215</f>
        <v>0</v>
      </c>
      <c r="J215" s="211">
        <f ca="1">กระบี่!J215+ชุมพร!J215+ตรัง!J215+นครศรีธรรมราช!J215+นราธิวาส!J215+ปัตตานี!J215+พังงา!J215+พัทลุง!J215+ภูเก็ต!J215+ยะลา!J215+ระนอง!J215+สงขลา!J215+สตูล!J215+สุราษฎร์ธานี!J215</f>
        <v>0</v>
      </c>
      <c r="K215" s="231">
        <f t="shared" ref="K215:K216" ca="1" si="58">IF(I215&gt;0,J215*100/I215,0)</f>
        <v>0</v>
      </c>
      <c r="L215" s="176"/>
      <c r="M215" s="176"/>
      <c r="N215" s="173"/>
      <c r="O215" s="176"/>
      <c r="P215" s="176"/>
    </row>
    <row r="216" spans="1:16" ht="21.75" customHeight="1" x14ac:dyDescent="0.35">
      <c r="A216" s="183"/>
      <c r="B216" s="184"/>
      <c r="C216" s="184"/>
      <c r="D216" s="201"/>
      <c r="E216" s="206"/>
      <c r="F216" s="203"/>
      <c r="G216" s="233" t="s">
        <v>97</v>
      </c>
      <c r="H216" s="188" t="s">
        <v>59</v>
      </c>
      <c r="I216" s="195">
        <f ca="1">กระบี่!I216+ชุมพร!I216+ตรัง!I216+นครศรีธรรมราช!I216+นราธิวาส!I216+ปัตตานี!I216+พังงา!I216+พัทลุง!I216+ภูเก็ต!I216+ยะลา!I216+ระนอง!I216+สงขลา!I216+สตูล!I216+สุราษฎร์ธานี!I216</f>
        <v>6</v>
      </c>
      <c r="J216" s="211">
        <f ca="1">กระบี่!J216+ชุมพร!J216+ตรัง!J216+นครศรีธรรมราช!J216+นราธิวาส!J216+ปัตตานี!J216+พังงา!J216+พัทลุง!J216+ภูเก็ต!J216+ยะลา!J216+ระนอง!J216+สงขลา!J216+สตูล!J216+สุราษฎร์ธานี!J216</f>
        <v>0</v>
      </c>
      <c r="K216" s="231">
        <f t="shared" ca="1" si="58"/>
        <v>0</v>
      </c>
      <c r="L216" s="176"/>
      <c r="M216" s="176"/>
      <c r="N216" s="173"/>
      <c r="O216" s="176"/>
      <c r="P216" s="176"/>
    </row>
    <row r="217" spans="1:16" ht="21.75" customHeight="1" x14ac:dyDescent="0.35">
      <c r="A217" s="183"/>
      <c r="B217" s="184"/>
      <c r="C217" s="184"/>
      <c r="D217" s="201"/>
      <c r="E217" s="202" t="s">
        <v>54</v>
      </c>
      <c r="F217" s="203"/>
      <c r="G217" s="204"/>
      <c r="H217" s="194"/>
      <c r="I217" s="195"/>
      <c r="J217" s="195">
        <f ca="1">กระบี่!J217+ชุมพร!J217+ตรัง!J217+นครศรีธรรมราช!J217+นราธิวาส!J217+ปัตตานี!J217+พังงา!J217+พัทลุง!J217+ภูเก็ต!J217+ยะลา!J217+ระนอง!J217+สงขลา!J217+สตูล!J217+สุราษฎร์ธานี!J217</f>
        <v>0</v>
      </c>
      <c r="K217" s="231"/>
      <c r="L217" s="176"/>
      <c r="M217" s="176"/>
      <c r="N217" s="176"/>
      <c r="O217" s="189"/>
      <c r="P217" s="189"/>
    </row>
    <row r="218" spans="1:16" ht="21.75" customHeight="1" x14ac:dyDescent="0.35">
      <c r="A218" s="241"/>
      <c r="B218" s="242"/>
      <c r="C218" s="242"/>
      <c r="D218" s="243">
        <v>3</v>
      </c>
      <c r="E218" s="244" t="s">
        <v>55</v>
      </c>
      <c r="F218" s="245"/>
      <c r="G218" s="246"/>
      <c r="H218" s="247"/>
      <c r="I218" s="248"/>
      <c r="J218" s="249">
        <f ca="1">กระบี่!J218+ชุมพร!J218+ตรัง!J218+นครศรีธรรมราช!J218+นราธิวาส!J218+ปัตตานี!J218+พังงา!J218+พัทลุง!J218+ภูเก็ต!J218+ยะลา!J218+ระนอง!J218+สงขลา!J218+สตูล!J218+สุราษฎร์ธานี!J218</f>
        <v>0</v>
      </c>
      <c r="K218" s="250"/>
      <c r="L218" s="251"/>
      <c r="M218" s="251"/>
      <c r="N218" s="251"/>
      <c r="O218" s="252"/>
      <c r="P218" s="252"/>
    </row>
    <row r="219" spans="1:16" ht="21.75" customHeight="1" x14ac:dyDescent="0.35">
      <c r="A219" s="269"/>
      <c r="B219" s="270" t="s">
        <v>98</v>
      </c>
      <c r="C219" s="271"/>
      <c r="D219" s="270"/>
      <c r="E219" s="270"/>
      <c r="F219" s="270"/>
      <c r="G219" s="272"/>
      <c r="H219" s="273" t="s">
        <v>37</v>
      </c>
      <c r="I219" s="274">
        <f ca="1">กระบี่!I219+ชุมพร!I219+ตรัง!I219+นครศรีธรรมราช!I219+นราธิวาส!I219+ปัตตานี!I219+พังงา!I219+พัทลุง!I219+ภูเก็ต!I219+ยะลา!I219+ระนอง!I219+สงขลา!I219+สตูล!I219+สุราษฎร์ธานี!I219</f>
        <v>189</v>
      </c>
      <c r="J219" s="274">
        <f ca="1">กระบี่!J219+ชุมพร!J219+ตรัง!J219+นครศรีธรรมราช!J219+นราธิวาส!J219+ปัตตานี!J219+พังงา!J219+พัทลุง!J219+ภูเก็ต!J219+ยะลา!J219+ระนอง!J219+สงขลา!J219+สตูล!J219+สุราษฎร์ธานี!J219</f>
        <v>176</v>
      </c>
      <c r="K219" s="275">
        <f ca="1">IF(I219&gt;0,J219*100/I219,0)</f>
        <v>93.121693121693127</v>
      </c>
      <c r="L219" s="276"/>
      <c r="M219" s="276"/>
      <c r="N219" s="276"/>
      <c r="O219" s="275"/>
      <c r="P219" s="275"/>
    </row>
    <row r="220" spans="1:16" ht="21.75" customHeight="1" x14ac:dyDescent="0.45">
      <c r="A220" s="150"/>
      <c r="B220" s="151"/>
      <c r="C220" s="152" t="s">
        <v>16</v>
      </c>
      <c r="D220" s="552" t="s">
        <v>17</v>
      </c>
      <c r="E220" s="543"/>
      <c r="F220" s="543"/>
      <c r="G220" s="543"/>
      <c r="H220" s="153" t="s">
        <v>12</v>
      </c>
      <c r="I220" s="168"/>
      <c r="J220" s="168"/>
      <c r="K220" s="169"/>
      <c r="L220" s="156">
        <f ca="1">กระบี่!L220+ชุมพร!L220+ตรัง!L220+นครศรีธรรมราช!L220+นราธิวาส!L220+ปัตตานี!L220+พังงา!L220+พัทลุง!L220+ภูเก็ต!L220+ยะลา!L220+ระนอง!L220+สงขลา!L220+สตูล!L220+สุราษฎร์ธานี!L220</f>
        <v>269135</v>
      </c>
      <c r="M220" s="156">
        <f ca="1">กระบี่!M220+ชุมพร!M220+ตรัง!M220+นครศรีธรรมราช!M220+นราธิวาส!M220+ปัตตานี!M220+พังงา!M220+พัทลุง!M220+ภูเก็ต!M220+ยะลา!M220+ระนอง!M220+สงขลา!M220+สตูล!M220+สุราษฎร์ธานี!M220</f>
        <v>269135</v>
      </c>
      <c r="N220" s="156">
        <f ca="1">กระบี่!N220+ชุมพร!N220+ตรัง!N220+นครศรีธรรมราช!N220+นราธิวาส!N220+ปัตตานี!N220+พังงา!N220+พัทลุง!N220+ภูเก็ต!N220+ยะลา!N220+ระนอง!N220+สงขลา!N220+สตูล!N220+สุราษฎร์ธานี!N220</f>
        <v>249390</v>
      </c>
      <c r="O220" s="155">
        <f t="shared" ref="O220:O222" ca="1" si="59">IF(L220&gt;0,N220*100/L220,0)</f>
        <v>92.663533171085149</v>
      </c>
      <c r="P220" s="155">
        <f t="shared" ref="P220:P222" ca="1" si="60">IF(M220&gt;0,N220*100/M220,0)</f>
        <v>92.663533171085149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8"/>
      <c r="J221" s="168"/>
      <c r="K221" s="169"/>
      <c r="L221" s="161">
        <f>กระบี่!L221+ชุมพร!L221+ตรัง!L221+นครศรีธรรมราช!L221+นราธิวาส!L221+ปัตตานี!L221+พังงา!L221+พัทลุง!L221+ภูเก็ต!L221+ยะลา!L221+ระนอง!L221+สงขลา!L221+สตูล!L221+สุราษฎร์ธานี!L221</f>
        <v>0</v>
      </c>
      <c r="M221" s="161">
        <f>กระบี่!M221+ชุมพร!M221+ตรัง!M221+นครศรีธรรมราช!M221+นราธิวาส!M221+ปัตตานี!M221+พังงา!M221+พัทลุง!M221+ภูเก็ต!M221+ยะลา!M221+ระนอง!M221+สงขลา!M221+สตูล!M221+สุราษฎร์ธานี!M221</f>
        <v>0</v>
      </c>
      <c r="N221" s="161">
        <f>กระบี่!N221+ชุมพร!N221+ตรัง!N221+นครศรีธรรมราช!N221+นราธิวาส!N221+ปัตตานี!N221+พังงา!N221+พัทลุง!N221+ภูเก็ต!N221+ยะลา!N221+ระนอง!N221+สงขลา!N221+สตูล!N221+สุราษฎร์ธานี!N221</f>
        <v>0</v>
      </c>
      <c r="O221" s="160">
        <f t="shared" si="59"/>
        <v>0</v>
      </c>
      <c r="P221" s="160">
        <f t="shared" si="60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8"/>
      <c r="J222" s="168"/>
      <c r="K222" s="169"/>
      <c r="L222" s="161">
        <f ca="1">กระบี่!L222+ชุมพร!L222+ตรัง!L222+นครศรีธรรมราช!L222+นราธิวาส!L222+ปัตตานี!L222+พังงา!L222+พัทลุง!L222+ภูเก็ต!L222+ยะลา!L222+ระนอง!L222+สงขลา!L222+สตูล!L222+สุราษฎร์ธานี!L222</f>
        <v>269135</v>
      </c>
      <c r="M222" s="161">
        <f ca="1">กระบี่!M222+ชุมพร!M222+ตรัง!M222+นครศรีธรรมราช!M222+นราธิวาส!M222+ปัตตานี!M222+พังงา!M222+พัทลุง!M222+ภูเก็ต!M222+ยะลา!M222+ระนอง!M222+สงขลา!M222+สตูล!M222+สุราษฎร์ธานี!M222</f>
        <v>269135</v>
      </c>
      <c r="N222" s="161">
        <f ca="1">กระบี่!N222+ชุมพร!N222+ตรัง!N222+นครศรีธรรมราช!N222+นราธิวาส!N222+ปัตตานี!N222+พังงา!N222+พัทลุง!N222+ภูเก็ต!N222+ยะลา!N222+ระนอง!N222+สงขลา!N222+สตูล!N222+สุราษฎร์ธานี!N222</f>
        <v>249390</v>
      </c>
      <c r="O222" s="160">
        <f t="shared" ca="1" si="59"/>
        <v>92.663533171085149</v>
      </c>
      <c r="P222" s="160">
        <f t="shared" ca="1" si="60"/>
        <v>92.663533171085149</v>
      </c>
    </row>
    <row r="223" spans="1:16" ht="21.75" customHeight="1" x14ac:dyDescent="0.35">
      <c r="A223" s="162"/>
      <c r="B223" s="163"/>
      <c r="C223" s="163" t="s">
        <v>16</v>
      </c>
      <c r="D223" s="164" t="s">
        <v>38</v>
      </c>
      <c r="E223" s="165"/>
      <c r="F223" s="165"/>
      <c r="G223" s="166" t="s">
        <v>39</v>
      </c>
      <c r="H223" s="167" t="s">
        <v>12</v>
      </c>
      <c r="I223" s="168" t="s">
        <v>40</v>
      </c>
      <c r="J223" s="168"/>
      <c r="K223" s="169"/>
      <c r="L223" s="170">
        <f>กระบี่!L223+ชุมพร!L223+ตรัง!L223+นครศรีธรรมราช!L223+นราธิวาส!L223+ปัตตานี!L223+พังงา!L223+พัทลุง!L223+ภูเก็ต!L223+ยะลา!L223+ระนอง!L223+สงขลา!L223+สตูล!L223+สุราษฎร์ธานี!L223</f>
        <v>0</v>
      </c>
      <c r="M223" s="170">
        <f>กระบี่!M223+ชุมพร!M223+ตรัง!M223+นครศรีธรรมราช!M223+นราธิวาส!M223+ปัตตานี!M223+พังงา!M223+พัทลุง!M223+ภูเก็ต!M223+ยะลา!M223+ระนอง!M223+สงขลา!M223+สตูล!M223+สุราษฎร์ธานี!M223</f>
        <v>0</v>
      </c>
      <c r="N223" s="170">
        <f>กระบี่!N223+ชุมพร!N223+ตรัง!N223+นครศรีธรรมราช!N223+นราธิวาส!N223+ปัตตานี!N223+พังงา!N223+พัทลุง!N223+ภูเก็ต!N223+ยะลา!N223+ระนอง!N223+สงขลา!N223+สตูล!N223+สุราษฎร์ธานี!N223</f>
        <v>0</v>
      </c>
      <c r="O223" s="171">
        <f>+IF(L223&gt;0,N223*100/L223,0)</f>
        <v>0</v>
      </c>
      <c r="P223" s="171"/>
    </row>
    <row r="224" spans="1:16" ht="21.75" customHeight="1" x14ac:dyDescent="0.35">
      <c r="A224" s="162"/>
      <c r="B224" s="163"/>
      <c r="C224" s="163"/>
      <c r="D224" s="172"/>
      <c r="E224" s="165"/>
      <c r="F224" s="165" t="s">
        <v>40</v>
      </c>
      <c r="G224" s="166" t="s">
        <v>41</v>
      </c>
      <c r="H224" s="167" t="s">
        <v>12</v>
      </c>
      <c r="I224" s="168"/>
      <c r="J224" s="168"/>
      <c r="K224" s="169"/>
      <c r="L224" s="173">
        <f ca="1">กระบี่!L224+ชุมพร!L224+ตรัง!L224+นครศรีธรรมราช!L224+นราธิวาส!L224+ปัตตานี!L224+พังงา!L224+พัทลุง!L224+ภูเก็ต!L224+ยะลา!L224+ระนอง!L224+สงขลา!L224+สตูล!L224+สุราษฎร์ธานี!L224</f>
        <v>269135</v>
      </c>
      <c r="M224" s="174">
        <f ca="1">กระบี่!M224+ชุมพร!M224+ตรัง!M224+นครศรีธรรมราช!M224+นราธิวาส!M224+ปัตตานี!M224+พังงา!M224+พัทลุง!M224+ภูเก็ต!M224+ยะลา!M224+ระนอง!M224+สงขลา!M224+สตูล!M224+สุราษฎร์ธานี!M224</f>
        <v>269135</v>
      </c>
      <c r="N224" s="175">
        <f ca="1">กระบี่!N224+ชุมพร!N224+ตรัง!N224+นครศรีธรรมราช!N224+นราธิวาส!N224+ปัตตานี!N224+พังงา!N224+พัทลุง!N224+ภูเก็ต!N224+ยะลา!N224+ระนอง!N224+สงขลา!N224+สตูล!N224+สุราษฎร์ธานี!N224</f>
        <v>249390</v>
      </c>
      <c r="O224" s="176">
        <f ca="1">IF(L224&gt;0,N224*100/L224,0)</f>
        <v>92.663533171085149</v>
      </c>
      <c r="P224" s="176">
        <f ca="1">IF(M224&gt;0,N224*100/M224,0)</f>
        <v>92.663533171085149</v>
      </c>
    </row>
    <row r="225" spans="1:16" ht="21.75" customHeight="1" x14ac:dyDescent="0.35">
      <c r="A225" s="162"/>
      <c r="B225" s="163"/>
      <c r="C225" s="163"/>
      <c r="D225" s="172"/>
      <c r="E225" s="165"/>
      <c r="F225" s="165"/>
      <c r="G225" s="177" t="s">
        <v>42</v>
      </c>
      <c r="H225" s="167" t="s">
        <v>12</v>
      </c>
      <c r="I225" s="168"/>
      <c r="J225" s="168"/>
      <c r="K225" s="169"/>
      <c r="L225" s="174">
        <f ca="1">กระบี่!L225+ชุมพร!L225+ตรัง!L225+นครศรีธรรมราช!L225+นราธิวาส!L225+ปัตตานี!L225+พังงา!L225+พัทลุง!L225+ภูเก็ต!L225+ยะลา!L225+ระนอง!L225+สงขลา!L225+สตูล!L225+สุราษฎร์ธานี!L225</f>
        <v>0</v>
      </c>
      <c r="M225" s="173"/>
      <c r="N225" s="173"/>
      <c r="O225" s="176"/>
      <c r="P225" s="176"/>
    </row>
    <row r="226" spans="1:16" ht="21.75" customHeight="1" x14ac:dyDescent="0.35">
      <c r="A226" s="162"/>
      <c r="B226" s="163"/>
      <c r="C226" s="163"/>
      <c r="D226" s="172"/>
      <c r="E226" s="165"/>
      <c r="F226" s="165"/>
      <c r="G226" s="177" t="s">
        <v>43</v>
      </c>
      <c r="H226" s="167" t="s">
        <v>12</v>
      </c>
      <c r="I226" s="168"/>
      <c r="J226" s="168"/>
      <c r="K226" s="169"/>
      <c r="L226" s="174">
        <f ca="1">กระบี่!L226+ชุมพร!L226+ตรัง!L226+นครศรีธรรมราช!L226+นราธิวาส!L226+ปัตตานี!L226+พังงา!L226+พัทลุง!L226+ภูเก็ต!L226+ยะลา!L226+ระนอง!L226+สงขลา!L226+สตูล!L226+สุราษฎร์ธานี!L226</f>
        <v>269135</v>
      </c>
      <c r="M226" s="173"/>
      <c r="N226" s="173"/>
      <c r="O226" s="176"/>
      <c r="P226" s="176"/>
    </row>
    <row r="227" spans="1:16" ht="21.75" customHeight="1" x14ac:dyDescent="0.45">
      <c r="A227" s="178"/>
      <c r="B227" s="81"/>
      <c r="C227" s="82" t="s">
        <v>16</v>
      </c>
      <c r="D227" s="549" t="s">
        <v>23</v>
      </c>
      <c r="E227" s="545"/>
      <c r="F227" s="89"/>
      <c r="G227" s="83" t="s">
        <v>18</v>
      </c>
      <c r="H227" s="179" t="s">
        <v>12</v>
      </c>
      <c r="I227" s="208"/>
      <c r="J227" s="208"/>
      <c r="K227" s="296"/>
      <c r="L227" s="93">
        <f>กระบี่!L227+ชุมพร!L227+ตรัง!L227+นครศรีธรรมราช!L227+นราธิวาส!L227+ปัตตานี!L227+พังงา!L227+พัทลุง!L227+ภูเก็ต!L227+ยะลา!L227+ระนอง!L227+สงขลา!L227+สตูล!L227+สุราษฎร์ธานี!L227</f>
        <v>0</v>
      </c>
      <c r="M227" s="93"/>
      <c r="N227" s="42"/>
      <c r="O227" s="93"/>
      <c r="P227" s="93"/>
    </row>
    <row r="228" spans="1:16" ht="21.75" customHeight="1" x14ac:dyDescent="0.45">
      <c r="A228" s="180"/>
      <c r="B228" s="95"/>
      <c r="C228" s="95"/>
      <c r="D228" s="181"/>
      <c r="E228" s="96"/>
      <c r="F228" s="96"/>
      <c r="G228" s="97" t="s">
        <v>19</v>
      </c>
      <c r="H228" s="182" t="s">
        <v>12</v>
      </c>
      <c r="I228" s="208"/>
      <c r="J228" s="208"/>
      <c r="K228" s="296"/>
      <c r="L228" s="91">
        <f ca="1">กระบี่!L228+ชุมพร!L228+ตรัง!L228+นครศรีธรรมราช!L228+นราธิวาส!L228+ปัตตานี!L228+พังงา!L228+พัทลุง!L228+ภูเก็ต!L228+ยะลา!L228+ระนอง!L228+สงขลา!L228+สตูล!L228+สุราษฎร์ธานี!L228</f>
        <v>0</v>
      </c>
      <c r="M228" s="101"/>
      <c r="N228" s="91">
        <f ca="1">กระบี่!N228+ชุมพร!N228+ตรัง!N228+นครศรีธรรมราช!N228+นราธิวาส!N228+ปัตตานี!N228+พังงา!N228+พัทลุง!N228+ภูเก็ต!N228+ยะลา!N228+ระนอง!N228+สงขลา!N228+สตูล!N228+สุราษฎร์ธานี!N228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3"/>
      <c r="B229" s="297"/>
      <c r="C229" s="271" t="s">
        <v>99</v>
      </c>
      <c r="D229" s="270"/>
      <c r="E229" s="270"/>
      <c r="F229" s="270"/>
      <c r="G229" s="272"/>
      <c r="H229" s="273" t="s">
        <v>37</v>
      </c>
      <c r="I229" s="274">
        <f ca="1">กระบี่!I229+ชุมพร!I229+ตรัง!I229+นครศรีธรรมราช!I229+นราธิวาส!I229+ปัตตานี!I229+พังงา!I229+พัทลุง!I229+ภูเก็ต!I229+ยะลา!I229+ระนอง!I229+สงขลา!I229+สตูล!I229+สุราษฎร์ธานี!I229</f>
        <v>189</v>
      </c>
      <c r="J229" s="274">
        <f ca="1">กระบี่!J229+ชุมพร!J229+ตรัง!J229+นครศรีธรรมราช!J229+นราธิวาส!J229+ปัตตานี!J229+พังงา!J229+พัทลุง!J229+ภูเก็ต!J229+ยะลา!J229+ระนอง!J229+สงขลา!J229+สตูล!J229+สุราษฎร์ธานี!J229</f>
        <v>176</v>
      </c>
      <c r="K229" s="275">
        <f ca="1">IF(I229&gt;0,J229*100/I229,0)</f>
        <v>93.121693121693127</v>
      </c>
      <c r="L229" s="298"/>
      <c r="M229" s="298"/>
      <c r="N229" s="298"/>
      <c r="O229" s="298"/>
      <c r="P229" s="298"/>
    </row>
    <row r="230" spans="1:16" ht="21.75" customHeight="1" x14ac:dyDescent="0.35">
      <c r="A230" s="183"/>
      <c r="B230" s="184"/>
      <c r="C230" s="163" t="s">
        <v>16</v>
      </c>
      <c r="D230" s="185" t="s">
        <v>44</v>
      </c>
      <c r="E230" s="186"/>
      <c r="F230" s="186"/>
      <c r="G230" s="187"/>
      <c r="H230" s="188"/>
      <c r="I230" s="168"/>
      <c r="J230" s="168"/>
      <c r="K230" s="169"/>
      <c r="L230" s="189"/>
      <c r="M230" s="189"/>
      <c r="N230" s="189"/>
      <c r="O230" s="189"/>
      <c r="P230" s="189"/>
    </row>
    <row r="231" spans="1:16" ht="21.75" customHeight="1" x14ac:dyDescent="0.35">
      <c r="A231" s="183"/>
      <c r="B231" s="184"/>
      <c r="C231" s="184"/>
      <c r="D231" s="190">
        <v>1</v>
      </c>
      <c r="E231" s="191" t="s">
        <v>45</v>
      </c>
      <c r="F231" s="192"/>
      <c r="G231" s="193"/>
      <c r="H231" s="194"/>
      <c r="I231" s="195"/>
      <c r="J231" s="205">
        <f ca="1">กระบี่!J231+ชุมพร!J231+ตรัง!J231+นครศรีธรรมราช!J231+นราธิวาส!J231+ปัตตานี!J231+พังงา!J231+พัทลุง!J231+ภูเก็ต!J231+ยะลา!J231+ระนอง!J231+สงขลา!J231+สตูล!J231+สุราษฎร์ธานี!J231</f>
        <v>0</v>
      </c>
      <c r="K231" s="169"/>
      <c r="L231" s="189"/>
      <c r="M231" s="189"/>
      <c r="N231" s="189"/>
      <c r="O231" s="189"/>
      <c r="P231" s="189"/>
    </row>
    <row r="232" spans="1:16" ht="21.75" customHeight="1" x14ac:dyDescent="0.35">
      <c r="A232" s="183"/>
      <c r="B232" s="184"/>
      <c r="C232" s="184"/>
      <c r="D232" s="197">
        <v>2</v>
      </c>
      <c r="E232" s="198" t="s">
        <v>46</v>
      </c>
      <c r="F232" s="199"/>
      <c r="G232" s="200"/>
      <c r="H232" s="194"/>
      <c r="I232" s="195"/>
      <c r="J232" s="196">
        <f ca="1">กระบี่!J232+ชุมพร!J232+ตรัง!J232+นครศรีธรรมราช!J232+นราธิวาส!J232+ปัตตานี!J232+พังงา!J232+พัทลุง!J232+ภูเก็ต!J232+ยะลา!J232+ระนอง!J232+สงขลา!J232+สตูล!J232+สุราษฎร์ธานี!J232</f>
        <v>13</v>
      </c>
      <c r="K232" s="169"/>
      <c r="L232" s="189" t="s">
        <v>40</v>
      </c>
      <c r="M232" s="189"/>
      <c r="N232" s="189" t="s">
        <v>40</v>
      </c>
      <c r="O232" s="189"/>
      <c r="P232" s="189"/>
    </row>
    <row r="233" spans="1:16" ht="21.75" customHeight="1" x14ac:dyDescent="0.35">
      <c r="A233" s="183"/>
      <c r="B233" s="184"/>
      <c r="C233" s="184"/>
      <c r="D233" s="201"/>
      <c r="E233" s="202" t="s">
        <v>47</v>
      </c>
      <c r="F233" s="203"/>
      <c r="G233" s="204"/>
      <c r="H233" s="194"/>
      <c r="I233" s="195"/>
      <c r="J233" s="196">
        <f ca="1">กระบี่!J233+ชุมพร!J233+ตรัง!J233+นครศรีธรรมราช!J233+นราธิวาส!J233+ปัตตานี!J233+พังงา!J233+พัทลุง!J233+ภูเก็ต!J233+ยะลา!J233+ระนอง!J233+สงขลา!J233+สตูล!J233+สุราษฎร์ธานี!J233</f>
        <v>13</v>
      </c>
      <c r="K233" s="169"/>
      <c r="L233" s="189"/>
      <c r="M233" s="189"/>
      <c r="N233" s="189"/>
      <c r="O233" s="189"/>
      <c r="P233" s="189"/>
    </row>
    <row r="234" spans="1:16" ht="21.75" customHeight="1" x14ac:dyDescent="0.35">
      <c r="A234" s="183"/>
      <c r="B234" s="184"/>
      <c r="C234" s="184"/>
      <c r="D234" s="201"/>
      <c r="E234" s="202" t="s">
        <v>48</v>
      </c>
      <c r="F234" s="203"/>
      <c r="G234" s="204"/>
      <c r="H234" s="194"/>
      <c r="I234" s="195"/>
      <c r="J234" s="205">
        <f ca="1">กระบี่!J234+ชุมพร!J234+ตรัง!J234+นครศรีธรรมราช!J234+นราธิวาส!J234+ปัตตานี!J234+พังงา!J234+พัทลุง!J234+ภูเก็ต!J234+ยะลา!J234+ระนอง!J234+สงขลา!J234+สตูล!J234+สุราษฎร์ธานี!J234</f>
        <v>13</v>
      </c>
      <c r="K234" s="169"/>
      <c r="L234" s="189"/>
      <c r="M234" s="189"/>
      <c r="N234" s="189"/>
      <c r="O234" s="189"/>
      <c r="P234" s="189"/>
    </row>
    <row r="235" spans="1:16" ht="21.75" customHeight="1" x14ac:dyDescent="0.35">
      <c r="A235" s="183"/>
      <c r="B235" s="184"/>
      <c r="C235" s="184"/>
      <c r="D235" s="201"/>
      <c r="E235" s="206"/>
      <c r="F235" s="203"/>
      <c r="G235" s="299" t="s">
        <v>70</v>
      </c>
      <c r="H235" s="194" t="s">
        <v>37</v>
      </c>
      <c r="I235" s="195">
        <f ca="1">กระบี่!I235+ชุมพร!I235+ตรัง!I235+นครศรีธรรมราช!I235+นราธิวาส!I235+ปัตตานี!I235+พังงา!I235+พัทลุง!I235+ภูเก็ต!I235+ยะลา!I235+ระนอง!I235+สงขลา!I235+สตูล!I235+สุราษฎร์ธานี!I235</f>
        <v>189</v>
      </c>
      <c r="J235" s="196">
        <f ca="1">กระบี่!J235+ชุมพร!J235+ตรัง!J235+นครศรีธรรมราช!J235+นราธิวาส!J235+ปัตตานี!J235+พังงา!J235+พัทลุง!J235+ภูเก็ต!J235+ยะลา!J235+ระนอง!J235+สงขลา!J235+สตูล!J235+สุราษฎร์ธานี!J235</f>
        <v>176</v>
      </c>
      <c r="K235" s="169">
        <f ca="1">IF(I235&gt;0,J235*100/I235,0)</f>
        <v>93.121693121693127</v>
      </c>
      <c r="L235" s="189"/>
      <c r="M235" s="189"/>
      <c r="N235" s="189"/>
      <c r="O235" s="189"/>
      <c r="P235" s="189"/>
    </row>
    <row r="236" spans="1:16" ht="21.75" customHeight="1" x14ac:dyDescent="0.35">
      <c r="A236" s="183"/>
      <c r="B236" s="184"/>
      <c r="C236" s="184"/>
      <c r="D236" s="201"/>
      <c r="E236" s="202" t="s">
        <v>54</v>
      </c>
      <c r="F236" s="203"/>
      <c r="G236" s="204"/>
      <c r="H236" s="194"/>
      <c r="I236" s="195"/>
      <c r="J236" s="205">
        <f ca="1">กระบี่!J236+ชุมพร!J236+ตรัง!J236+นครศรีธรรมราช!J236+นราธิวาส!J236+ปัตตานี!J236+พังงา!J236+พัทลุง!J236+ภูเก็ต!J236+ยะลา!J236+ระนอง!J236+สงขลา!J236+สตูล!J236+สุราษฎร์ธานี!J236</f>
        <v>1</v>
      </c>
      <c r="K236" s="169"/>
      <c r="L236" s="189"/>
      <c r="M236" s="189"/>
      <c r="N236" s="189"/>
      <c r="O236" s="189"/>
      <c r="P236" s="189"/>
    </row>
    <row r="237" spans="1:16" ht="21.75" customHeight="1" x14ac:dyDescent="0.35">
      <c r="A237" s="183"/>
      <c r="B237" s="184"/>
      <c r="C237" s="184"/>
      <c r="D237" s="213">
        <v>3</v>
      </c>
      <c r="E237" s="214" t="s">
        <v>55</v>
      </c>
      <c r="F237" s="215"/>
      <c r="G237" s="216"/>
      <c r="H237" s="194"/>
      <c r="I237" s="195"/>
      <c r="J237" s="217">
        <f ca="1">กระบี่!J237+ชุมพร!J237+ตรัง!J237+นครศรีธรรมราช!J237+นราธิวาส!J237+ปัตตานี!J237+พังงา!J237+พัทลุง!J237+ภูเก็ต!J237+ยะลา!J237+ระนอง!J237+สงขลา!J237+สตูล!J237+สุราษฎร์ธานี!J237</f>
        <v>0</v>
      </c>
      <c r="K237" s="169"/>
      <c r="L237" s="189"/>
      <c r="M237" s="189"/>
      <c r="N237" s="189"/>
      <c r="O237" s="189"/>
      <c r="P237" s="189"/>
    </row>
    <row r="238" spans="1:16" ht="21.75" customHeight="1" x14ac:dyDescent="0.35">
      <c r="A238" s="183"/>
      <c r="B238" s="184"/>
      <c r="C238" s="271" t="s">
        <v>100</v>
      </c>
      <c r="D238" s="300"/>
      <c r="E238" s="270"/>
      <c r="F238" s="270"/>
      <c r="G238" s="272"/>
      <c r="H238" s="273" t="s">
        <v>37</v>
      </c>
      <c r="I238" s="274">
        <f ca="1">กระบี่!I238+ชุมพร!I238+ตรัง!I238+นครศรีธรรมราช!I238+นราธิวาส!I238+ปัตตานี!I238+พังงา!I238+พัทลุง!I238+ภูเก็ต!I238+ยะลา!I238+ระนอง!I238+สงขลา!I238+สตูล!I238+สุราษฎร์ธานี!I238</f>
        <v>0</v>
      </c>
      <c r="J238" s="274">
        <f ca="1">กระบี่!J238+ชุมพร!J238+ตรัง!J238+นครศรีธรรมราช!J238+นราธิวาส!J238+ปัตตานี!J238+พังงา!J238+พัทลุง!J238+ภูเก็ต!J238+ยะลา!J238+ระนอง!J238+สงขลา!J238+สตูล!J238+สุราษฎร์ธานี!J238</f>
        <v>0</v>
      </c>
      <c r="K238" s="275">
        <f ca="1">IF(I238&gt;0,J238*100/I238,0)</f>
        <v>0</v>
      </c>
      <c r="L238" s="189"/>
      <c r="M238" s="189"/>
      <c r="N238" s="189"/>
      <c r="O238" s="189"/>
      <c r="P238" s="189"/>
    </row>
    <row r="239" spans="1:16" ht="21.75" customHeight="1" x14ac:dyDescent="0.35">
      <c r="A239" s="183"/>
      <c r="B239" s="184"/>
      <c r="C239" s="163" t="s">
        <v>16</v>
      </c>
      <c r="D239" s="185" t="s">
        <v>44</v>
      </c>
      <c r="E239" s="186"/>
      <c r="F239" s="186"/>
      <c r="G239" s="187"/>
      <c r="H239" s="188"/>
      <c r="I239" s="168"/>
      <c r="J239" s="168"/>
      <c r="K239" s="169"/>
      <c r="L239" s="189"/>
      <c r="M239" s="189"/>
      <c r="N239" s="189"/>
      <c r="O239" s="189"/>
      <c r="P239" s="189"/>
    </row>
    <row r="240" spans="1:16" ht="21.75" customHeight="1" x14ac:dyDescent="0.35">
      <c r="A240" s="183"/>
      <c r="B240" s="184"/>
      <c r="C240" s="184"/>
      <c r="D240" s="190">
        <v>1</v>
      </c>
      <c r="E240" s="191" t="s">
        <v>45</v>
      </c>
      <c r="F240" s="192"/>
      <c r="G240" s="193"/>
      <c r="H240" s="194"/>
      <c r="I240" s="195"/>
      <c r="J240" s="195" t="str">
        <f ca="1">IFERROR(__xludf.DUMMYFUNCTION("IMPORTRANGE(""https://docs.google.com/spreadsheets/d/1SX6NBoVAgQJ6U1MVXOaj8PK2l7WJ3RER9xtqwdhxkhw/edit?usp=sharing"",""กาญจนบุรี!J159"")"),"")</f>
        <v/>
      </c>
      <c r="K240" s="169"/>
      <c r="L240" s="189"/>
      <c r="M240" s="189"/>
      <c r="N240" s="189"/>
      <c r="O240" s="189"/>
      <c r="P240" s="189"/>
    </row>
    <row r="241" spans="1:16" ht="21.75" customHeight="1" x14ac:dyDescent="0.35">
      <c r="A241" s="183"/>
      <c r="B241" s="184"/>
      <c r="C241" s="184"/>
      <c r="D241" s="197">
        <v>2</v>
      </c>
      <c r="E241" s="198" t="s">
        <v>46</v>
      </c>
      <c r="F241" s="199"/>
      <c r="G241" s="200"/>
      <c r="H241" s="194"/>
      <c r="I241" s="195"/>
      <c r="J241" s="195">
        <f ca="1">กระบี่!J241+ชุมพร!J241+ตรัง!J241+นครศรีธรรมราช!J241+นราธิวาส!J241+ปัตตานี!J241+พังงา!J241+พัทลุง!J241+ภูเก็ต!J241+ยะลา!J241+ระนอง!J241+สงขลา!J241+สตูล!J241+สุราษฎร์ธานี!J241</f>
        <v>0</v>
      </c>
      <c r="K241" s="169"/>
      <c r="L241" s="189" t="s">
        <v>40</v>
      </c>
      <c r="M241" s="189"/>
      <c r="N241" s="189" t="s">
        <v>40</v>
      </c>
      <c r="O241" s="189"/>
      <c r="P241" s="189"/>
    </row>
    <row r="242" spans="1:16" ht="21.75" customHeight="1" x14ac:dyDescent="0.35">
      <c r="A242" s="183"/>
      <c r="B242" s="184"/>
      <c r="C242" s="184"/>
      <c r="D242" s="201"/>
      <c r="E242" s="202" t="s">
        <v>47</v>
      </c>
      <c r="F242" s="203"/>
      <c r="G242" s="204"/>
      <c r="H242" s="194"/>
      <c r="I242" s="195"/>
      <c r="J242" s="195">
        <f ca="1">กระบี่!J242+ชุมพร!J242+ตรัง!J242+นครศรีธรรมราช!J242+นราธิวาส!J242+ปัตตานี!J242+พังงา!J242+พัทลุง!J242+ภูเก็ต!J242+ยะลา!J242+ระนอง!J242+สงขลา!J242+สตูล!J242+สุราษฎร์ธานี!J242</f>
        <v>0</v>
      </c>
      <c r="K242" s="169"/>
      <c r="L242" s="189"/>
      <c r="M242" s="189"/>
      <c r="N242" s="189"/>
      <c r="O242" s="189"/>
      <c r="P242" s="189"/>
    </row>
    <row r="243" spans="1:16" ht="21.75" customHeight="1" x14ac:dyDescent="0.35">
      <c r="A243" s="183"/>
      <c r="B243" s="184"/>
      <c r="C243" s="184"/>
      <c r="D243" s="201"/>
      <c r="E243" s="202" t="s">
        <v>48</v>
      </c>
      <c r="F243" s="203"/>
      <c r="G243" s="204"/>
      <c r="H243" s="194"/>
      <c r="I243" s="195"/>
      <c r="J243" s="195">
        <f ca="1">กระบี่!J243+ชุมพร!J243+ตรัง!J243+นครศรีธรรมราช!J243+นราธิวาส!J243+ปัตตานี!J243+พังงา!J243+พัทลุง!J243+ภูเก็ต!J243+ยะลา!J243+ระนอง!J243+สงขลา!J243+สตูล!J243+สุราษฎร์ธานี!J243</f>
        <v>0</v>
      </c>
      <c r="K243" s="169"/>
      <c r="L243" s="189"/>
      <c r="M243" s="189"/>
      <c r="N243" s="189"/>
      <c r="O243" s="189"/>
      <c r="P243" s="189"/>
    </row>
    <row r="244" spans="1:16" ht="21.75" customHeight="1" x14ac:dyDescent="0.35">
      <c r="A244" s="183"/>
      <c r="B244" s="184"/>
      <c r="C244" s="184"/>
      <c r="D244" s="201"/>
      <c r="E244" s="203"/>
      <c r="F244" s="202" t="s">
        <v>101</v>
      </c>
      <c r="G244" s="203"/>
      <c r="H244" s="194" t="s">
        <v>37</v>
      </c>
      <c r="I244" s="211">
        <f ca="1">กระบี่!I244+ชุมพร!I244+ตรัง!I244+นครศรีธรรมราช!I244+นราธิวาส!I244+ปัตตานี!I244+พังงา!I244+พัทลุง!I244+ภูเก็ต!I244+ยะลา!I244+ระนอง!I244+สงขลา!I244+สตูล!I244+สุราษฎร์ธานี!I244</f>
        <v>0</v>
      </c>
      <c r="J244" s="195">
        <f ca="1">กระบี่!J244+ชุมพร!J244+ตรัง!J244+นครศรีธรรมราช!J244+นราธิวาส!J244+ปัตตานี!J244+พังงา!J244+พัทลุง!J244+ภูเก็ต!J244+ยะลา!J244+ระนอง!J244+สงขลา!J244+สตูล!J244+สุราษฎร์ธานี!J244</f>
        <v>0</v>
      </c>
      <c r="K244" s="169">
        <f ca="1">IF(I244&gt;0,J244*100/I244,0)</f>
        <v>0</v>
      </c>
      <c r="L244" s="189"/>
      <c r="M244" s="189"/>
      <c r="N244" s="189"/>
      <c r="O244" s="189"/>
      <c r="P244" s="189"/>
    </row>
    <row r="245" spans="1:16" ht="21.75" customHeight="1" x14ac:dyDescent="0.35">
      <c r="A245" s="183"/>
      <c r="B245" s="184"/>
      <c r="C245" s="184"/>
      <c r="D245" s="201"/>
      <c r="E245" s="202" t="s">
        <v>54</v>
      </c>
      <c r="F245" s="203"/>
      <c r="G245" s="204"/>
      <c r="H245" s="194"/>
      <c r="I245" s="195"/>
      <c r="J245" s="195">
        <f ca="1">กระบี่!J245+ชุมพร!J245+ตรัง!J245+นครศรีธรรมราช!J245+นราธิวาส!J245+ปัตตานี!J245+พังงา!J245+พัทลุง!J245+ภูเก็ต!J245+ยะลา!J245+ระนอง!J245+สงขลา!J245+สตูล!J245+สุราษฎร์ธานี!J245</f>
        <v>0</v>
      </c>
      <c r="K245" s="169"/>
      <c r="L245" s="189"/>
      <c r="M245" s="189"/>
      <c r="N245" s="189"/>
      <c r="O245" s="189"/>
      <c r="P245" s="189"/>
    </row>
    <row r="246" spans="1:16" ht="21.75" customHeight="1" x14ac:dyDescent="0.35">
      <c r="A246" s="241"/>
      <c r="B246" s="242"/>
      <c r="C246" s="242"/>
      <c r="D246" s="243">
        <v>3</v>
      </c>
      <c r="E246" s="244" t="s">
        <v>55</v>
      </c>
      <c r="F246" s="245"/>
      <c r="G246" s="246"/>
      <c r="H246" s="247"/>
      <c r="I246" s="248"/>
      <c r="J246" s="249">
        <f ca="1">กระบี่!J246+ชุมพร!J246+ตรัง!J246+นครศรีธรรมราช!J246+นราธิวาส!J246+ปัตตานี!J246+พังงา!J246+พัทลุง!J246+ภูเก็ต!J246+ยะลา!J246+ระนอง!J246+สงขลา!J246+สตูล!J246+สุราษฎร์ธานี!J246</f>
        <v>0</v>
      </c>
      <c r="K246" s="294"/>
      <c r="L246" s="252"/>
      <c r="M246" s="252"/>
      <c r="N246" s="252"/>
      <c r="O246" s="252"/>
      <c r="P246" s="252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กระบี่!I249+ชุมพร!I249+ตรัง!I249+นครศรีธรรมราช!I249+นราธิวาส!I249+ปัตตานี!I249+พังงา!I249+พัทลุง!I249+ภูเก็ต!I249+ยะลา!I249+ระนอง!I249+สงขลา!I249+สตูล!I249+สุราษฎร์ธานี!I249</f>
        <v>85</v>
      </c>
      <c r="J249" s="322">
        <f ca="1">กระบี่!J249+ชุมพร!J249+ตรัง!J249+นครศรีธรรมราช!J249+นราธิวาส!J249+ปัตตานี!J249+พังงา!J249+พัทลุง!J249+ภูเก็ต!J249+ยะลา!J249+ระนอง!J249+สงขลา!J249+สตูล!J249+สุราษฎร์ธานี!J249</f>
        <v>75</v>
      </c>
      <c r="K249" s="323">
        <f ca="1">IF(I249&gt;0,J249*100/I249,0)</f>
        <v>88.235294117647058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52" t="s">
        <v>17</v>
      </c>
      <c r="E250" s="543"/>
      <c r="F250" s="543"/>
      <c r="G250" s="543"/>
      <c r="H250" s="153" t="s">
        <v>12</v>
      </c>
      <c r="I250" s="168"/>
      <c r="J250" s="168"/>
      <c r="K250" s="169"/>
      <c r="L250" s="156">
        <f ca="1">กระบี่!L250+ชุมพร!L250+ตรัง!L250+นครศรีธรรมราช!L250+นราธิวาส!L250+ปัตตานี!L250+พังงา!L250+พัทลุง!L250+ภูเก็ต!L250+ยะลา!L250+ระนอง!L250+สงขลา!L250+สตูล!L250+สุราษฎร์ธานี!L250</f>
        <v>435200</v>
      </c>
      <c r="M250" s="156">
        <f ca="1">กระบี่!M250+ชุมพร!M250+ตรัง!M250+นครศรีธรรมราช!M250+นราธิวาส!M250+ปัตตานี!M250+พังงา!M250+พัทลุง!M250+ภูเก็ต!M250+ยะลา!M250+ระนอง!M250+สงขลา!M250+สตูล!M250+สุราษฎร์ธานี!M250</f>
        <v>219500</v>
      </c>
      <c r="N250" s="156">
        <f ca="1">กระบี่!N250+ชุมพร!N250+ตรัง!N250+นครศรีธรรมราช!N250+นราธิวาส!N250+ปัตตานี!N250+พังงา!N250+พัทลุง!N250+ภูเก็ต!N250+ยะลา!N250+ระนอง!N250+สงขลา!N250+สตูล!N250+สุราษฎร์ธานี!N250</f>
        <v>167115</v>
      </c>
      <c r="O250" s="155">
        <f t="shared" ref="O250:O252" ca="1" si="61">IF(L250&gt;0,N250*100/L250,0)</f>
        <v>38.399586397058826</v>
      </c>
      <c r="P250" s="155">
        <f t="shared" ref="P250:P252" ca="1" si="62">IF(M250&gt;0,N250*100/M250,0)</f>
        <v>76.134396355353076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8"/>
      <c r="J251" s="168"/>
      <c r="K251" s="169"/>
      <c r="L251" s="161">
        <f>กระบี่!L251+ชุมพร!L251+ตรัง!L251+นครศรีธรรมราช!L251+นราธิวาส!L251+ปัตตานี!L251+พังงา!L251+พัทลุง!L251+ภูเก็ต!L251+ยะลา!L251+ระนอง!L251+สงขลา!L251+สตูล!L251+สุราษฎร์ธานี!L251</f>
        <v>0</v>
      </c>
      <c r="M251" s="161">
        <f>กระบี่!M251+ชุมพร!M251+ตรัง!M251+นครศรีธรรมราช!M251+นราธิวาส!M251+ปัตตานี!M251+พังงา!M251+พัทลุง!M251+ภูเก็ต!M251+ยะลา!M251+ระนอง!M251+สงขลา!M251+สตูล!M251+สุราษฎร์ธานี!M251</f>
        <v>0</v>
      </c>
      <c r="N251" s="161">
        <f>กระบี่!N251+ชุมพร!N251+ตรัง!N251+นครศรีธรรมราช!N251+นราธิวาส!N251+ปัตตานี!N251+พังงา!N251+พัทลุง!N251+ภูเก็ต!N251+ยะลา!N251+ระนอง!N251+สงขลา!N251+สตูล!N251+สุราษฎร์ธานี!N251</f>
        <v>0</v>
      </c>
      <c r="O251" s="160">
        <f t="shared" si="61"/>
        <v>0</v>
      </c>
      <c r="P251" s="160">
        <f t="shared" si="62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8"/>
      <c r="J252" s="168"/>
      <c r="K252" s="169"/>
      <c r="L252" s="161">
        <f ca="1">กระบี่!L252+ชุมพร!L252+ตรัง!L252+นครศรีธรรมราช!L252+นราธิวาส!L252+ปัตตานี!L252+พังงา!L252+พัทลุง!L252+ภูเก็ต!L252+ยะลา!L252+ระนอง!L252+สงขลา!L252+สตูล!L252+สุราษฎร์ธานี!L252</f>
        <v>435200</v>
      </c>
      <c r="M252" s="161">
        <f ca="1">กระบี่!M252+ชุมพร!M252+ตรัง!M252+นครศรีธรรมราช!M252+นราธิวาส!M252+ปัตตานี!M252+พังงา!M252+พัทลุง!M252+ภูเก็ต!M252+ยะลา!M252+ระนอง!M252+สงขลา!M252+สตูล!M252+สุราษฎร์ธานี!M252</f>
        <v>219500</v>
      </c>
      <c r="N252" s="161">
        <f ca="1">กระบี่!N252+ชุมพร!N252+ตรัง!N252+นครศรีธรรมราช!N252+นราธิวาส!N252+ปัตตานี!N252+พังงา!N252+พัทลุง!N252+ภูเก็ต!N252+ยะลา!N252+ระนอง!N252+สงขลา!N252+สตูล!N252+สุราษฎร์ธานี!N252</f>
        <v>167115</v>
      </c>
      <c r="O252" s="160">
        <f t="shared" ca="1" si="61"/>
        <v>38.399586397058826</v>
      </c>
      <c r="P252" s="160">
        <f t="shared" ca="1" si="62"/>
        <v>76.134396355353076</v>
      </c>
    </row>
    <row r="253" spans="1:16" ht="21.75" customHeight="1" x14ac:dyDescent="0.35">
      <c r="A253" s="162"/>
      <c r="B253" s="163"/>
      <c r="C253" s="163" t="s">
        <v>16</v>
      </c>
      <c r="D253" s="164" t="s">
        <v>38</v>
      </c>
      <c r="E253" s="165"/>
      <c r="F253" s="165"/>
      <c r="G253" s="166" t="s">
        <v>39</v>
      </c>
      <c r="H253" s="167" t="s">
        <v>12</v>
      </c>
      <c r="I253" s="168" t="s">
        <v>40</v>
      </c>
      <c r="J253" s="168"/>
      <c r="K253" s="169"/>
      <c r="L253" s="170">
        <f>กระบี่!L253+ชุมพร!L253+ตรัง!L253+นครศรีธรรมราช!L253+นราธิวาส!L253+ปัตตานี!L253+พังงา!L253+พัทลุง!L253+ภูเก็ต!L253+ยะลา!L253+ระนอง!L253+สงขลา!L253+สตูล!L253+สุราษฎร์ธานี!L253</f>
        <v>0</v>
      </c>
      <c r="M253" s="170">
        <f>กระบี่!M253+ชุมพร!M253+ตรัง!M253+นครศรีธรรมราช!M253+นราธิวาส!M253+ปัตตานี!M253+พังงา!M253+พัทลุง!M253+ภูเก็ต!M253+ยะลา!M253+ระนอง!M253+สงขลา!M253+สตูล!M253+สุราษฎร์ธานี!M253</f>
        <v>0</v>
      </c>
      <c r="N253" s="170">
        <f>กระบี่!N253+ชุมพร!N253+ตรัง!N253+นครศรีธรรมราช!N253+นราธิวาส!N253+ปัตตานี!N253+พังงา!N253+พัทลุง!N253+ภูเก็ต!N253+ยะลา!N253+ระนอง!N253+สงขลา!N253+สตูล!N253+สุราษฎร์ธานี!N253</f>
        <v>0</v>
      </c>
      <c r="O253" s="171">
        <f>+IF(L253&gt;0,N253*100/L253,0)</f>
        <v>0</v>
      </c>
      <c r="P253" s="171"/>
    </row>
    <row r="254" spans="1:16" ht="21.75" customHeight="1" x14ac:dyDescent="0.35">
      <c r="A254" s="162"/>
      <c r="B254" s="163"/>
      <c r="C254" s="163"/>
      <c r="D254" s="172"/>
      <c r="E254" s="165"/>
      <c r="F254" s="165" t="s">
        <v>40</v>
      </c>
      <c r="G254" s="166" t="s">
        <v>41</v>
      </c>
      <c r="H254" s="167" t="s">
        <v>12</v>
      </c>
      <c r="I254" s="168"/>
      <c r="J254" s="168"/>
      <c r="K254" s="169"/>
      <c r="L254" s="173">
        <f ca="1">กระบี่!L254+ชุมพร!L254+ตรัง!L254+นครศรีธรรมราช!L254+นราธิวาส!L254+ปัตตานี!L254+พังงา!L254+พัทลุง!L254+ภูเก็ต!L254+ยะลา!L254+ระนอง!L254+สงขลา!L254+สตูล!L254+สุราษฎร์ธานี!L254</f>
        <v>435200</v>
      </c>
      <c r="M254" s="174">
        <f ca="1">กระบี่!M254+ชุมพร!M254+ตรัง!M254+นครศรีธรรมราช!M254+นราธิวาส!M254+ปัตตานี!M254+พังงา!M254+พัทลุง!M254+ภูเก็ต!M254+ยะลา!M254+ระนอง!M254+สงขลา!M254+สตูล!M254+สุราษฎร์ธานี!M254</f>
        <v>219500</v>
      </c>
      <c r="N254" s="175">
        <f ca="1">กระบี่!N254+ชุมพร!N254+ตรัง!N254+นครศรีธรรมราช!N254+นราธิวาส!N254+ปัตตานี!N254+พังงา!N254+พัทลุง!N254+ภูเก็ต!N254+ยะลา!N254+ระนอง!N254+สงขลา!N254+สตูล!N254+สุราษฎร์ธานี!N254</f>
        <v>167115</v>
      </c>
      <c r="O254" s="176">
        <f ca="1">IF(L254&gt;0,N254*100/L254,0)</f>
        <v>38.399586397058826</v>
      </c>
      <c r="P254" s="176">
        <f ca="1">IF(M254&gt;0,N254*100/M254,0)</f>
        <v>76.134396355353076</v>
      </c>
    </row>
    <row r="255" spans="1:16" ht="21.75" customHeight="1" x14ac:dyDescent="0.35">
      <c r="A255" s="162"/>
      <c r="B255" s="163"/>
      <c r="C255" s="163"/>
      <c r="D255" s="172"/>
      <c r="E255" s="165"/>
      <c r="F255" s="165"/>
      <c r="G255" s="177" t="s">
        <v>42</v>
      </c>
      <c r="H255" s="167" t="s">
        <v>12</v>
      </c>
      <c r="I255" s="168"/>
      <c r="J255" s="168"/>
      <c r="K255" s="169"/>
      <c r="L255" s="174">
        <f ca="1">กระบี่!L255+ชุมพร!L255+ตรัง!L255+นครศรีธรรมราช!L255+นราธิวาส!L255+ปัตตานี!L255+พังงา!L255+พัทลุง!L255+ภูเก็ต!L255+ยะลา!L255+ระนอง!L255+สงขลา!L255+สตูล!L255+สุราษฎร์ธานี!L255</f>
        <v>132000</v>
      </c>
      <c r="M255" s="173"/>
      <c r="N255" s="173"/>
      <c r="O255" s="176"/>
      <c r="P255" s="176"/>
    </row>
    <row r="256" spans="1:16" ht="21.75" customHeight="1" x14ac:dyDescent="0.35">
      <c r="A256" s="162"/>
      <c r="B256" s="163"/>
      <c r="C256" s="163"/>
      <c r="D256" s="172"/>
      <c r="E256" s="165"/>
      <c r="F256" s="165"/>
      <c r="G256" s="177" t="s">
        <v>43</v>
      </c>
      <c r="H256" s="167" t="s">
        <v>12</v>
      </c>
      <c r="I256" s="168"/>
      <c r="J256" s="168"/>
      <c r="K256" s="169"/>
      <c r="L256" s="174">
        <f ca="1">กระบี่!L256+ชุมพร!L256+ตรัง!L256+นครศรีธรรมราช!L256+นราธิวาส!L256+ปัตตานี!L256+พังงา!L256+พัทลุง!L256+ภูเก็ต!L256+ยะลา!L256+ระนอง!L256+สงขลา!L256+สตูล!L256+สุราษฎร์ธานี!L256</f>
        <v>303200</v>
      </c>
      <c r="M256" s="173"/>
      <c r="N256" s="173"/>
      <c r="O256" s="176"/>
      <c r="P256" s="176"/>
    </row>
    <row r="257" spans="1:16" ht="21.75" customHeight="1" x14ac:dyDescent="0.45">
      <c r="A257" s="178"/>
      <c r="B257" s="81"/>
      <c r="C257" s="82" t="s">
        <v>16</v>
      </c>
      <c r="D257" s="549" t="s">
        <v>23</v>
      </c>
      <c r="E257" s="545"/>
      <c r="F257" s="89"/>
      <c r="G257" s="83" t="s">
        <v>18</v>
      </c>
      <c r="H257" s="179" t="s">
        <v>12</v>
      </c>
      <c r="I257" s="168"/>
      <c r="J257" s="168"/>
      <c r="K257" s="169"/>
      <c r="L257" s="93">
        <f>กระบี่!L257+ชุมพร!L257+ตรัง!L257+นครศรีธรรมราช!L257+นราธิวาส!L257+ปัตตานี!L257+พังงา!L257+พัทลุง!L257+ภูเก็ต!L257+ยะลา!L257+ระนอง!L257+สงขลา!L257+สตูล!L257+สุราษฎร์ธานี!L257</f>
        <v>0</v>
      </c>
      <c r="M257" s="93"/>
      <c r="N257" s="42"/>
      <c r="O257" s="93"/>
      <c r="P257" s="93"/>
    </row>
    <row r="258" spans="1:16" ht="21.75" customHeight="1" x14ac:dyDescent="0.45">
      <c r="A258" s="180"/>
      <c r="B258" s="95"/>
      <c r="C258" s="95"/>
      <c r="D258" s="181"/>
      <c r="E258" s="96"/>
      <c r="F258" s="96"/>
      <c r="G258" s="97" t="s">
        <v>19</v>
      </c>
      <c r="H258" s="182" t="s">
        <v>12</v>
      </c>
      <c r="I258" s="168"/>
      <c r="J258" s="168"/>
      <c r="K258" s="169"/>
      <c r="L258" s="91">
        <f ca="1">กระบี่!L258+ชุมพร!L258+ตรัง!L258+นครศรีธรรมราช!L258+นราธิวาส!L258+ปัตตานี!L258+พังงา!L258+พัทลุง!L258+ภูเก็ต!L258+ยะลา!L258+ระนอง!L258+สงขลา!L258+สตูล!L258+สุราษฎร์ธานี!L258</f>
        <v>0</v>
      </c>
      <c r="M258" s="101"/>
      <c r="N258" s="91">
        <f ca="1">กระบี่!N258+ชุมพร!N258+ตรัง!N258+นครศรีธรรมราช!N258+นราธิวาส!N258+ปัตตานี!N258+พังงา!N258+พัทลุง!N258+ภูเก็ต!N258+ยะลา!N258+ระนอง!N258+สงขลา!N258+สตูล!N258+สุราษฎร์ธานี!N258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3"/>
      <c r="B259" s="184"/>
      <c r="C259" s="163" t="s">
        <v>16</v>
      </c>
      <c r="D259" s="185" t="s">
        <v>44</v>
      </c>
      <c r="E259" s="186"/>
      <c r="F259" s="186"/>
      <c r="G259" s="187"/>
      <c r="H259" s="188"/>
      <c r="I259" s="168"/>
      <c r="J259" s="168"/>
      <c r="K259" s="169"/>
      <c r="L259" s="189"/>
      <c r="M259" s="189"/>
      <c r="N259" s="189"/>
      <c r="O259" s="189"/>
      <c r="P259" s="189"/>
    </row>
    <row r="260" spans="1:16" ht="21.75" customHeight="1" x14ac:dyDescent="0.35">
      <c r="A260" s="183"/>
      <c r="B260" s="184"/>
      <c r="C260" s="184"/>
      <c r="D260" s="190">
        <v>1</v>
      </c>
      <c r="E260" s="191" t="s">
        <v>45</v>
      </c>
      <c r="F260" s="192"/>
      <c r="G260" s="193"/>
      <c r="H260" s="194"/>
      <c r="I260" s="195"/>
      <c r="J260" s="196">
        <f ca="1">กระบี่!J260+ชุมพร!J260+ตรัง!J260+นครศรีธรรมราช!J260+นราธิวาส!J260+ปัตตานี!J260+พังงา!J260+พัทลุง!J260+ภูเก็ต!J260+ยะลา!J260+ระนอง!J260+สงขลา!J260+สตูล!J260+สุราษฎร์ธานี!J260</f>
        <v>0</v>
      </c>
      <c r="K260" s="169"/>
      <c r="L260" s="189"/>
      <c r="M260" s="189"/>
      <c r="N260" s="189"/>
      <c r="O260" s="189"/>
      <c r="P260" s="189"/>
    </row>
    <row r="261" spans="1:16" ht="21.75" customHeight="1" x14ac:dyDescent="0.35">
      <c r="A261" s="183"/>
      <c r="B261" s="184"/>
      <c r="C261" s="184"/>
      <c r="D261" s="197">
        <v>2</v>
      </c>
      <c r="E261" s="198" t="s">
        <v>46</v>
      </c>
      <c r="F261" s="199"/>
      <c r="G261" s="200"/>
      <c r="H261" s="194"/>
      <c r="I261" s="195"/>
      <c r="J261" s="205">
        <f ca="1">กระบี่!J261+ชุมพร!J261+ตรัง!J261+นครศรีธรรมราช!J261+นราธิวาส!J261+ปัตตานี!J261+พังงา!J261+พัทลุง!J261+ภูเก็ต!J261+ยะลา!J261+ระนอง!J261+สงขลา!J261+สตูล!J261+สุราษฎร์ธานี!J261</f>
        <v>4</v>
      </c>
      <c r="K261" s="169"/>
      <c r="L261" s="189" t="s">
        <v>40</v>
      </c>
      <c r="M261" s="189"/>
      <c r="N261" s="189" t="s">
        <v>40</v>
      </c>
      <c r="O261" s="189"/>
      <c r="P261" s="189"/>
    </row>
    <row r="262" spans="1:16" ht="21.75" customHeight="1" x14ac:dyDescent="0.35">
      <c r="A262" s="183"/>
      <c r="B262" s="184"/>
      <c r="C262" s="184"/>
      <c r="D262" s="201"/>
      <c r="E262" s="202" t="s">
        <v>47</v>
      </c>
      <c r="F262" s="203"/>
      <c r="G262" s="204"/>
      <c r="H262" s="194"/>
      <c r="I262" s="195"/>
      <c r="J262" s="205">
        <f ca="1">กระบี่!J262+ชุมพร!J262+ตรัง!J262+นครศรีธรรมราช!J262+นราธิวาส!J262+ปัตตานี!J262+พังงา!J262+พัทลุง!J262+ภูเก็ต!J262+ยะลา!J262+ระนอง!J262+สงขลา!J262+สตูล!J262+สุราษฎร์ธานี!J262</f>
        <v>4</v>
      </c>
      <c r="K262" s="169"/>
      <c r="L262" s="189"/>
      <c r="M262" s="189"/>
      <c r="N262" s="189"/>
      <c r="O262" s="189"/>
      <c r="P262" s="189"/>
    </row>
    <row r="263" spans="1:16" ht="21.75" customHeight="1" x14ac:dyDescent="0.35">
      <c r="A263" s="183"/>
      <c r="B263" s="184"/>
      <c r="C263" s="184"/>
      <c r="D263" s="201"/>
      <c r="E263" s="202" t="s">
        <v>48</v>
      </c>
      <c r="F263" s="203"/>
      <c r="G263" s="204"/>
      <c r="H263" s="194"/>
      <c r="I263" s="195"/>
      <c r="J263" s="205">
        <f ca="1">กระบี่!J263+ชุมพร!J263+ตรัง!J263+นครศรีธรรมราช!J263+นราธิวาส!J263+ปัตตานี!J263+พังงา!J263+พัทลุง!J263+ภูเก็ต!J263+ยะลา!J263+ระนอง!J263+สงขลา!J263+สตูล!J263+สุราษฎร์ธานี!J263</f>
        <v>4</v>
      </c>
      <c r="K263" s="169"/>
      <c r="L263" s="189"/>
      <c r="M263" s="189"/>
      <c r="N263" s="189"/>
      <c r="O263" s="189"/>
      <c r="P263" s="189"/>
    </row>
    <row r="264" spans="1:16" ht="21.75" customHeight="1" x14ac:dyDescent="0.35">
      <c r="A264" s="183"/>
      <c r="B264" s="184"/>
      <c r="C264" s="184"/>
      <c r="D264" s="201"/>
      <c r="E264" s="206"/>
      <c r="F264" s="202" t="s">
        <v>105</v>
      </c>
      <c r="G264" s="204"/>
      <c r="H264" s="188" t="s">
        <v>59</v>
      </c>
      <c r="I264" s="195">
        <f ca="1">กระบี่!I264+ชุมพร!I264+ตรัง!I264+นครศรีธรรมราช!I264+นราธิวาส!I264+ปัตตานี!I264+พังงา!I264+พัทลุง!I264+ภูเก็ต!I264+ยะลา!I264+ระนอง!I264+สงขลา!I264+สตูล!I264+สุราษฎร์ธานี!I264</f>
        <v>4</v>
      </c>
      <c r="J264" s="196">
        <f ca="1">กระบี่!J264+ชุมพร!J264+ตรัง!J264+นครศรีธรรมราช!J264+นราธิวาส!J264+ปัตตานี!J264+พังงา!J264+พัทลุง!J264+ภูเก็ต!J264+ยะลา!J264+ระนอง!J264+สงขลา!J264+สตูล!J264+สุราษฎร์ธานี!J264</f>
        <v>2</v>
      </c>
      <c r="K264" s="169">
        <f ca="1">IF(I264&gt;0,J264*100/I264,0)</f>
        <v>50</v>
      </c>
      <c r="L264" s="189"/>
      <c r="M264" s="189"/>
      <c r="N264" s="189"/>
      <c r="O264" s="189"/>
      <c r="P264" s="189"/>
    </row>
    <row r="265" spans="1:16" ht="21.75" customHeight="1" x14ac:dyDescent="0.35">
      <c r="A265" s="183"/>
      <c r="B265" s="184"/>
      <c r="C265" s="184"/>
      <c r="D265" s="201"/>
      <c r="E265" s="206"/>
      <c r="F265" s="202" t="s">
        <v>106</v>
      </c>
      <c r="G265" s="204"/>
      <c r="H265" s="188" t="s">
        <v>37</v>
      </c>
      <c r="I265" s="195">
        <f ca="1">กระบี่!I265+ชุมพร!I265+ตรัง!I265+นครศรีธรรมราช!I265+นราธิวาส!I265+ปัตตานี!I265+พังงา!I265+พัทลุง!I265+ภูเก็ต!I265+ยะลา!I265+ระนอง!I265+สงขลา!I265+สตูล!I265+สุราษฎร์ธานี!I265</f>
        <v>85</v>
      </c>
      <c r="J265" s="196">
        <f ca="1">กระบี่!J265+ชุมพร!J265+ตรัง!J265+นครศรีธรรมราช!J265+นราธิวาส!J265+ปัตตานี!J265+พังงา!J265+พัทลุง!J265+ภูเก็ต!J265+ยะลา!J265+ระนอง!J265+สงขลา!J265+สตูล!J265+สุราษฎร์ธานี!J265</f>
        <v>75</v>
      </c>
      <c r="K265" s="169">
        <f ca="1">IF(I265&gt;0,J265*100/I265,0)</f>
        <v>88.235294117647058</v>
      </c>
      <c r="L265" s="189"/>
      <c r="M265" s="189"/>
      <c r="N265" s="189"/>
      <c r="O265" s="189"/>
      <c r="P265" s="189"/>
    </row>
    <row r="266" spans="1:16" ht="21.75" customHeight="1" x14ac:dyDescent="0.35">
      <c r="A266" s="183"/>
      <c r="B266" s="184"/>
      <c r="C266" s="184"/>
      <c r="D266" s="201"/>
      <c r="E266" s="206"/>
      <c r="F266" s="202" t="s">
        <v>107</v>
      </c>
      <c r="G266" s="204"/>
      <c r="H266" s="188" t="s">
        <v>37</v>
      </c>
      <c r="I266" s="195">
        <f ca="1">กระบี่!I266+ชุมพร!I266+ตรัง!I266+นครศรีธรรมราช!I266+นราธิวาส!I266+ปัตตานี!I266+พังงา!I266+พัทลุง!I266+ภูเก็ต!I266+ยะลา!I266+ระนอง!I266+สงขลา!I266+สตูล!I266+สุราษฎร์ธานี!I266</f>
        <v>85</v>
      </c>
      <c r="J266" s="196">
        <f ca="1">กระบี่!J266+ชุมพร!J266+ตรัง!J266+นครศรีธรรมราช!J266+นราธิวาส!J266+ปัตตานี!J266+พังงา!J266+พัทลุง!J266+ภูเก็ต!J266+ยะลา!J266+ระนอง!J266+สงขลา!J266+สตูล!J266+สุราษฎร์ธานี!J266</f>
        <v>0</v>
      </c>
      <c r="K266" s="169">
        <f ca="1">IF(I266&gt;0,J266*100/I266,0)</f>
        <v>0</v>
      </c>
      <c r="L266" s="189"/>
      <c r="M266" s="189"/>
      <c r="N266" s="189"/>
      <c r="O266" s="189"/>
      <c r="P266" s="189"/>
    </row>
    <row r="267" spans="1:16" ht="21.75" customHeight="1" x14ac:dyDescent="0.35">
      <c r="A267" s="183"/>
      <c r="B267" s="184"/>
      <c r="C267" s="184"/>
      <c r="D267" s="201"/>
      <c r="E267" s="206"/>
      <c r="F267" s="202" t="s">
        <v>108</v>
      </c>
      <c r="G267" s="204"/>
      <c r="H267" s="188" t="s">
        <v>37</v>
      </c>
      <c r="I267" s="195">
        <f ca="1">กระบี่!I267+ชุมพร!I267+ตรัง!I267+นครศรีธรรมราช!I267+นราธิวาส!I267+ปัตตานี!I267+พังงา!I267+พัทลุง!I267+ภูเก็ต!I267+ยะลา!I267+ระนอง!I267+สงขลา!I267+สตูล!I267+สุราษฎร์ธานี!I267</f>
        <v>4</v>
      </c>
      <c r="J267" s="196">
        <f ca="1">กระบี่!J267+ชุมพร!J267+ตรัง!J267+นครศรีธรรมราช!J267+นราธิวาส!J267+ปัตตานี!J267+พังงา!J267+พัทลุง!J267+ภูเก็ต!J267+ยะลา!J267+ระนอง!J267+สงขลา!J267+สตูล!J267+สุราษฎร์ธานี!J267</f>
        <v>1</v>
      </c>
      <c r="K267" s="169">
        <f ca="1">IF(I267&gt;0,J267*100/I267,0)</f>
        <v>25</v>
      </c>
      <c r="L267" s="189"/>
      <c r="M267" s="189"/>
      <c r="N267" s="189"/>
      <c r="O267" s="189"/>
      <c r="P267" s="189"/>
    </row>
    <row r="268" spans="1:16" ht="21.75" customHeight="1" x14ac:dyDescent="0.35">
      <c r="A268" s="183"/>
      <c r="B268" s="184"/>
      <c r="C268" s="184"/>
      <c r="D268" s="201"/>
      <c r="E268" s="202" t="s">
        <v>54</v>
      </c>
      <c r="F268" s="203"/>
      <c r="G268" s="204"/>
      <c r="H268" s="194"/>
      <c r="I268" s="195"/>
      <c r="J268" s="205">
        <f ca="1">กระบี่!J268+ชุมพร!J268+ตรัง!J268+นครศรีธรรมราช!J268+นราธิวาส!J268+ปัตตานี!J268+พังงา!J268+พัทลุง!J268+ภูเก็ต!J268+ยะลา!J268+ระนอง!J268+สงขลา!J268+สตูล!J268+สุราษฎร์ธานี!J268</f>
        <v>0</v>
      </c>
      <c r="K268" s="169"/>
      <c r="L268" s="189"/>
      <c r="M268" s="189"/>
      <c r="N268" s="189"/>
      <c r="O268" s="189"/>
      <c r="P268" s="189"/>
    </row>
    <row r="269" spans="1:16" ht="21.75" customHeight="1" x14ac:dyDescent="0.35">
      <c r="A269" s="241"/>
      <c r="B269" s="242"/>
      <c r="C269" s="242"/>
      <c r="D269" s="243">
        <v>3</v>
      </c>
      <c r="E269" s="244" t="s">
        <v>55</v>
      </c>
      <c r="F269" s="245"/>
      <c r="G269" s="246"/>
      <c r="H269" s="247"/>
      <c r="I269" s="248"/>
      <c r="J269" s="293">
        <f ca="1">กระบี่!J269+ชุมพร!J269+ตรัง!J269+นครศรีธรรมราช!J269+นราธิวาส!J269+ปัตตานี!J269+พังงา!J269+พัทลุง!J269+ภูเก็ต!J269+ยะลา!J269+ระนอง!J269+สงขลา!J269+สตูล!J269+สุราษฎร์ธานี!J269</f>
        <v>0</v>
      </c>
      <c r="K269" s="294"/>
      <c r="L269" s="252"/>
      <c r="M269" s="252"/>
      <c r="N269" s="252"/>
      <c r="O269" s="252"/>
      <c r="P269" s="252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กระบี่!I270+ชุมพร!I270+ตรัง!I270+นครศรีธรรมราช!I270+นราธิวาส!I270+ปัตตานี!I270+พังงา!I270+พัทลุง!I270+ภูเก็ต!I270+ยะลา!I270+ระนอง!I270+สงขลา!I270+สตูล!I270+สุราษฎร์ธานี!I270</f>
        <v>85</v>
      </c>
      <c r="J270" s="322">
        <f ca="1">กระบี่!J270+ชุมพร!J270+ตรัง!J270+นครศรีธรรมราช!J270+นราธิวาส!J270+ปัตตานี!J270+พังงา!J270+พัทลุง!J270+ภูเก็ต!J270+ยะลา!J270+ระนอง!J270+สงขลา!J270+สตูล!J270+สุราษฎร์ธานี!J270</f>
        <v>85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52" t="s">
        <v>17</v>
      </c>
      <c r="E271" s="543"/>
      <c r="F271" s="543"/>
      <c r="G271" s="543"/>
      <c r="H271" s="153" t="s">
        <v>12</v>
      </c>
      <c r="I271" s="168"/>
      <c r="J271" s="168"/>
      <c r="K271" s="169"/>
      <c r="L271" s="156">
        <f ca="1">กระบี่!L271+ชุมพร!L271+ตรัง!L271+นครศรีธรรมราช!L271+นราธิวาส!L271+ปัตตานี!L271+พังงา!L271+พัทลุง!L271+ภูเก็ต!L271+ยะลา!L271+ระนอง!L271+สงขลา!L271+สตูล!L271+สุราษฎร์ธานี!L271</f>
        <v>1192800</v>
      </c>
      <c r="M271" s="156">
        <f ca="1">กระบี่!M271+ชุมพร!M271+ตรัง!M271+นครศรีธรรมราช!M271+นราธิวาส!M271+ปัตตานี!M271+พังงา!M271+พัทลุง!M271+ภูเก็ต!M271+ยะลา!M271+ระนอง!M271+สงขลา!M271+สตูล!M271+สุราษฎร์ธานี!M271</f>
        <v>612750</v>
      </c>
      <c r="N271" s="156">
        <f ca="1">กระบี่!N271+ชุมพร!N271+ตรัง!N271+นครศรีธรรมราช!N271+นราธิวาส!N271+ปัตตานี!N271+พังงา!N271+พัทลุง!N271+ภูเก็ต!N271+ยะลา!N271+ระนอง!N271+สงขลา!N271+สตูล!N271+สุราษฎร์ธานี!N271</f>
        <v>416395</v>
      </c>
      <c r="O271" s="155">
        <f t="shared" ref="O271:O273" ca="1" si="63">IF(L271&gt;0,N271*100/L271,0)</f>
        <v>34.909037558685448</v>
      </c>
      <c r="P271" s="155">
        <f t="shared" ref="P271:P273" ca="1" si="64">IF(M271&gt;0,N271*100/M271,0)</f>
        <v>67.955120359037124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8"/>
      <c r="J272" s="168"/>
      <c r="K272" s="169"/>
      <c r="L272" s="161">
        <f>กระบี่!L272+ชุมพร!L272+ตรัง!L272+นครศรีธรรมราช!L272+นราธิวาส!L272+ปัตตานี!L272+พังงา!L272+พัทลุง!L272+ภูเก็ต!L272+ยะลา!L272+ระนอง!L272+สงขลา!L272+สตูล!L272+สุราษฎร์ธานี!L272</f>
        <v>0</v>
      </c>
      <c r="M272" s="161">
        <f>กระบี่!M272+ชุมพร!M272+ตรัง!M272+นครศรีธรรมราช!M272+นราธิวาส!M272+ปัตตานี!M272+พังงา!M272+พัทลุง!M272+ภูเก็ต!M272+ยะลา!M272+ระนอง!M272+สงขลา!M272+สตูล!M272+สุราษฎร์ธานี!M272</f>
        <v>0</v>
      </c>
      <c r="N272" s="161">
        <f>กระบี่!N272+ชุมพร!N272+ตรัง!N272+นครศรีธรรมราช!N272+นราธิวาส!N272+ปัตตานี!N272+พังงา!N272+พัทลุง!N272+ภูเก็ต!N272+ยะลา!N272+ระนอง!N272+สงขลา!N272+สตูล!N272+สุราษฎร์ธานี!N272</f>
        <v>0</v>
      </c>
      <c r="O272" s="160">
        <f t="shared" si="63"/>
        <v>0</v>
      </c>
      <c r="P272" s="160">
        <f t="shared" si="64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8"/>
      <c r="J273" s="168"/>
      <c r="K273" s="169"/>
      <c r="L273" s="161">
        <f ca="1">กระบี่!L273+ชุมพร!L273+ตรัง!L273+นครศรีธรรมราช!L273+นราธิวาส!L273+ปัตตานี!L273+พังงา!L273+พัทลุง!L273+ภูเก็ต!L273+ยะลา!L273+ระนอง!L273+สงขลา!L273+สตูล!L273+สุราษฎร์ธานี!L273</f>
        <v>1192800</v>
      </c>
      <c r="M273" s="161">
        <f ca="1">กระบี่!M273+ชุมพร!M273+ตรัง!M273+นครศรีธรรมราช!M273+นราธิวาส!M273+ปัตตานี!M273+พังงา!M273+พัทลุง!M273+ภูเก็ต!M273+ยะลา!M273+ระนอง!M273+สงขลา!M273+สตูล!M273+สุราษฎร์ธานี!M273</f>
        <v>612750</v>
      </c>
      <c r="N273" s="161">
        <f ca="1">กระบี่!N273+ชุมพร!N273+ตรัง!N273+นครศรีธรรมราช!N273+นราธิวาส!N273+ปัตตานี!N273+พังงา!N273+พัทลุง!N273+ภูเก็ต!N273+ยะลา!N273+ระนอง!N273+สงขลา!N273+สตูล!N273+สุราษฎร์ธานี!N273</f>
        <v>416395</v>
      </c>
      <c r="O273" s="160">
        <f t="shared" ca="1" si="63"/>
        <v>34.909037558685448</v>
      </c>
      <c r="P273" s="160">
        <f t="shared" ca="1" si="64"/>
        <v>67.955120359037124</v>
      </c>
    </row>
    <row r="274" spans="1:16" ht="21.75" customHeight="1" x14ac:dyDescent="0.35">
      <c r="A274" s="162"/>
      <c r="B274" s="163"/>
      <c r="C274" s="163" t="s">
        <v>16</v>
      </c>
      <c r="D274" s="164" t="s">
        <v>38</v>
      </c>
      <c r="E274" s="165"/>
      <c r="F274" s="165"/>
      <c r="G274" s="166" t="s">
        <v>39</v>
      </c>
      <c r="H274" s="167" t="s">
        <v>12</v>
      </c>
      <c r="I274" s="168" t="s">
        <v>40</v>
      </c>
      <c r="J274" s="168"/>
      <c r="K274" s="169"/>
      <c r="L274" s="170">
        <f>กระบี่!L274+ชุมพร!L274+ตรัง!L274+นครศรีธรรมราช!L274+นราธิวาส!L274+ปัตตานี!L274+พังงา!L274+พัทลุง!L274+ภูเก็ต!L274+ยะลา!L274+ระนอง!L274+สงขลา!L274+สตูล!L274+สุราษฎร์ธานี!L274</f>
        <v>0</v>
      </c>
      <c r="M274" s="170">
        <f>กระบี่!M274+ชุมพร!M274+ตรัง!M274+นครศรีธรรมราช!M274+นราธิวาส!M274+ปัตตานี!M274+พังงา!M274+พัทลุง!M274+ภูเก็ต!M274+ยะลา!M274+ระนอง!M274+สงขลา!M274+สตูล!M274+สุราษฎร์ธานี!M274</f>
        <v>0</v>
      </c>
      <c r="N274" s="170">
        <f>กระบี่!N274+ชุมพร!N274+ตรัง!N274+นครศรีธรรมราช!N274+นราธิวาส!N274+ปัตตานี!N274+พังงา!N274+พัทลุง!N274+ภูเก็ต!N274+ยะลา!N274+ระนอง!N274+สงขลา!N274+สตูล!N274+สุราษฎร์ธานี!N274</f>
        <v>0</v>
      </c>
      <c r="O274" s="171">
        <f>+IF(L274&gt;0,N274*100/L274,0)</f>
        <v>0</v>
      </c>
      <c r="P274" s="171"/>
    </row>
    <row r="275" spans="1:16" ht="21.75" customHeight="1" x14ac:dyDescent="0.35">
      <c r="A275" s="162"/>
      <c r="B275" s="163"/>
      <c r="C275" s="163"/>
      <c r="D275" s="172"/>
      <c r="E275" s="165"/>
      <c r="F275" s="165" t="s">
        <v>40</v>
      </c>
      <c r="G275" s="166" t="s">
        <v>41</v>
      </c>
      <c r="H275" s="167" t="s">
        <v>12</v>
      </c>
      <c r="I275" s="168"/>
      <c r="J275" s="168"/>
      <c r="K275" s="169"/>
      <c r="L275" s="173">
        <f ca="1">กระบี่!L275+ชุมพร!L275+ตรัง!L275+นครศรีธรรมราช!L275+นราธิวาส!L275+ปัตตานี!L275+พังงา!L275+พัทลุง!L275+ภูเก็ต!L275+ยะลา!L275+ระนอง!L275+สงขลา!L275+สตูล!L275+สุราษฎร์ธานี!L275</f>
        <v>1192800</v>
      </c>
      <c r="M275" s="174">
        <f ca="1">กระบี่!M275+ชุมพร!M275+ตรัง!M275+นครศรีธรรมราช!M275+นราธิวาส!M275+ปัตตานี!M275+พังงา!M275+พัทลุง!M275+ภูเก็ต!M275+ยะลา!M275+ระนอง!M275+สงขลา!M275+สตูล!M275+สุราษฎร์ธานี!M275</f>
        <v>612750</v>
      </c>
      <c r="N275" s="175">
        <f ca="1">กระบี่!N275+ชุมพร!N275+ตรัง!N275+นครศรีธรรมราช!N275+นราธิวาส!N275+ปัตตานี!N275+พังงา!N275+พัทลุง!N275+ภูเก็ต!N275+ยะลา!N275+ระนอง!N275+สงขลา!N275+สตูล!N275+สุราษฎร์ธานี!N275</f>
        <v>416395</v>
      </c>
      <c r="O275" s="176">
        <f ca="1">IF(L275&gt;0,N275*100/L275,0)</f>
        <v>34.909037558685448</v>
      </c>
      <c r="P275" s="176">
        <f ca="1">IF(M275&gt;0,N275*100/M275,0)</f>
        <v>67.955120359037124</v>
      </c>
    </row>
    <row r="276" spans="1:16" ht="21.75" customHeight="1" x14ac:dyDescent="0.35">
      <c r="A276" s="162"/>
      <c r="B276" s="163"/>
      <c r="C276" s="163"/>
      <c r="D276" s="172"/>
      <c r="E276" s="165"/>
      <c r="F276" s="165"/>
      <c r="G276" s="177" t="s">
        <v>42</v>
      </c>
      <c r="H276" s="167" t="s">
        <v>12</v>
      </c>
      <c r="I276" s="168"/>
      <c r="J276" s="168"/>
      <c r="K276" s="169"/>
      <c r="L276" s="174">
        <f ca="1">กระบี่!L276+ชุมพร!L276+ตรัง!L276+นครศรีธรรมราช!L276+นราธิวาส!L276+ปัตตานี!L276+พังงา!L276+พัทลุง!L276+ภูเก็ต!L276+ยะลา!L276+ระนอง!L276+สงขลา!L276+สตูล!L276+สุราษฎร์ธานี!L276</f>
        <v>660000</v>
      </c>
      <c r="M276" s="173"/>
      <c r="N276" s="173"/>
      <c r="O276" s="176"/>
      <c r="P276" s="176"/>
    </row>
    <row r="277" spans="1:16" ht="21.75" customHeight="1" x14ac:dyDescent="0.35">
      <c r="A277" s="162"/>
      <c r="B277" s="163"/>
      <c r="C277" s="163"/>
      <c r="D277" s="172"/>
      <c r="E277" s="165"/>
      <c r="F277" s="165"/>
      <c r="G277" s="177" t="s">
        <v>43</v>
      </c>
      <c r="H277" s="167" t="s">
        <v>12</v>
      </c>
      <c r="I277" s="168"/>
      <c r="J277" s="168"/>
      <c r="K277" s="169"/>
      <c r="L277" s="174">
        <f ca="1">กระบี่!L277+ชุมพร!L277+ตรัง!L277+นครศรีธรรมราช!L277+นราธิวาส!L277+ปัตตานี!L277+พังงา!L277+พัทลุง!L277+ภูเก็ต!L277+ยะลา!L277+ระนอง!L277+สงขลา!L277+สตูล!L277+สุราษฎร์ธานี!L277</f>
        <v>532800</v>
      </c>
      <c r="M277" s="173"/>
      <c r="N277" s="173"/>
      <c r="O277" s="176"/>
      <c r="P277" s="176"/>
    </row>
    <row r="278" spans="1:16" ht="21.75" customHeight="1" x14ac:dyDescent="0.45">
      <c r="A278" s="178"/>
      <c r="B278" s="81"/>
      <c r="C278" s="82" t="s">
        <v>16</v>
      </c>
      <c r="D278" s="549" t="s">
        <v>23</v>
      </c>
      <c r="E278" s="545"/>
      <c r="F278" s="89"/>
      <c r="G278" s="83" t="s">
        <v>18</v>
      </c>
      <c r="H278" s="179" t="s">
        <v>12</v>
      </c>
      <c r="I278" s="168"/>
      <c r="J278" s="168"/>
      <c r="K278" s="169"/>
      <c r="L278" s="93">
        <f>กระบี่!L278+ชุมพร!L278+ตรัง!L278+นครศรีธรรมราช!L278+นราธิวาส!L278+ปัตตานี!L278+พังงา!L278+พัทลุง!L278+ภูเก็ต!L278+ยะลา!L278+ระนอง!L278+สงขลา!L278+สตูล!L278+สุราษฎร์ธานี!L278</f>
        <v>0</v>
      </c>
      <c r="M278" s="93"/>
      <c r="N278" s="42"/>
      <c r="O278" s="93"/>
      <c r="P278" s="93"/>
    </row>
    <row r="279" spans="1:16" ht="21.75" customHeight="1" x14ac:dyDescent="0.45">
      <c r="A279" s="180"/>
      <c r="B279" s="95"/>
      <c r="C279" s="95"/>
      <c r="D279" s="181"/>
      <c r="E279" s="96"/>
      <c r="F279" s="96"/>
      <c r="G279" s="97" t="s">
        <v>19</v>
      </c>
      <c r="H279" s="182" t="s">
        <v>12</v>
      </c>
      <c r="I279" s="168"/>
      <c r="J279" s="168"/>
      <c r="K279" s="169"/>
      <c r="L279" s="91">
        <f ca="1">กระบี่!L279+ชุมพร!L279+ตรัง!L279+นครศรีธรรมราช!L279+นราธิวาส!L279+ปัตตานี!L279+พังงา!L279+พัทลุง!L279+ภูเก็ต!L279+ยะลา!L279+ระนอง!L279+สงขลา!L279+สตูล!L279+สุราษฎร์ธานี!L279</f>
        <v>0</v>
      </c>
      <c r="M279" s="101"/>
      <c r="N279" s="91">
        <f ca="1">กระบี่!N279+ชุมพร!N279+ตรัง!N279+นครศรีธรรมราช!N279+นราธิวาส!N279+ปัตตานี!N279+พังงา!N279+พัทลุง!N279+ภูเก็ต!N279+ยะลา!N279+ระนอง!N279+สงขลา!N279+สตูล!N279+สุราษฎร์ธานี!N279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3"/>
      <c r="B280" s="184"/>
      <c r="C280" s="163" t="s">
        <v>16</v>
      </c>
      <c r="D280" s="185" t="s">
        <v>44</v>
      </c>
      <c r="E280" s="186"/>
      <c r="F280" s="186"/>
      <c r="G280" s="187"/>
      <c r="H280" s="188"/>
      <c r="I280" s="168"/>
      <c r="J280" s="168"/>
      <c r="K280" s="169"/>
      <c r="L280" s="189"/>
      <c r="M280" s="189"/>
      <c r="N280" s="189"/>
      <c r="O280" s="189"/>
      <c r="P280" s="189"/>
    </row>
    <row r="281" spans="1:16" ht="21.75" customHeight="1" x14ac:dyDescent="0.35">
      <c r="A281" s="183"/>
      <c r="B281" s="184"/>
      <c r="C281" s="184"/>
      <c r="D281" s="190">
        <v>1</v>
      </c>
      <c r="E281" s="191" t="s">
        <v>45</v>
      </c>
      <c r="F281" s="192"/>
      <c r="G281" s="193"/>
      <c r="H281" s="194"/>
      <c r="I281" s="195"/>
      <c r="J281" s="196">
        <f ca="1">กระบี่!J281+ชุมพร!J281+ตรัง!J281+นครศรีธรรมราช!J281+นราธิวาส!J281+ปัตตานี!J281+พังงา!J281+พัทลุง!J281+ภูเก็ต!J281+ยะลา!J281+ระนอง!J281+สงขลา!J281+สตูล!J281+สุราษฎร์ธานี!J281</f>
        <v>0</v>
      </c>
      <c r="K281" s="169"/>
      <c r="L281" s="189"/>
      <c r="M281" s="189"/>
      <c r="N281" s="189"/>
      <c r="O281" s="189"/>
      <c r="P281" s="189"/>
    </row>
    <row r="282" spans="1:16" ht="21.75" customHeight="1" x14ac:dyDescent="0.35">
      <c r="A282" s="183"/>
      <c r="B282" s="184"/>
      <c r="C282" s="184"/>
      <c r="D282" s="197">
        <v>2</v>
      </c>
      <c r="E282" s="198" t="s">
        <v>46</v>
      </c>
      <c r="F282" s="199"/>
      <c r="G282" s="200"/>
      <c r="H282" s="194"/>
      <c r="I282" s="195"/>
      <c r="J282" s="205">
        <f ca="1">กระบี่!J282+ชุมพร!J282+ตรัง!J282+นครศรีธรรมราช!J282+นราธิวาส!J282+ปัตตานี!J282+พังงา!J282+พัทลุง!J282+ภูเก็ต!J282+ยะลา!J282+ระนอง!J282+สงขลา!J282+สตูล!J282+สุราษฎร์ธานี!J282</f>
        <v>5</v>
      </c>
      <c r="K282" s="169"/>
      <c r="L282" s="189"/>
      <c r="M282" s="189"/>
      <c r="N282" s="189"/>
      <c r="O282" s="189"/>
      <c r="P282" s="189"/>
    </row>
    <row r="283" spans="1:16" ht="21.75" customHeight="1" x14ac:dyDescent="0.35">
      <c r="A283" s="183"/>
      <c r="B283" s="184"/>
      <c r="C283" s="184"/>
      <c r="D283" s="201"/>
      <c r="E283" s="202" t="s">
        <v>47</v>
      </c>
      <c r="F283" s="203"/>
      <c r="G283" s="204"/>
      <c r="H283" s="194"/>
      <c r="I283" s="195"/>
      <c r="J283" s="205">
        <f ca="1">กระบี่!J283+ชุมพร!J283+ตรัง!J283+นครศรีธรรมราช!J283+นราธิวาส!J283+ปัตตานี!J283+พังงา!J283+พัทลุง!J283+ภูเก็ต!J283+ยะลา!J283+ระนอง!J283+สงขลา!J283+สตูล!J283+สุราษฎร์ธานี!J283</f>
        <v>5</v>
      </c>
      <c r="K283" s="169"/>
      <c r="L283" s="189"/>
      <c r="M283" s="189"/>
      <c r="N283" s="189"/>
      <c r="O283" s="189"/>
      <c r="P283" s="189"/>
    </row>
    <row r="284" spans="1:16" ht="21.75" customHeight="1" x14ac:dyDescent="0.35">
      <c r="A284" s="183"/>
      <c r="B284" s="184"/>
      <c r="C284" s="184"/>
      <c r="D284" s="201"/>
      <c r="E284" s="202" t="s">
        <v>48</v>
      </c>
      <c r="F284" s="203"/>
      <c r="G284" s="204"/>
      <c r="H284" s="194"/>
      <c r="I284" s="195"/>
      <c r="J284" s="205">
        <f ca="1">กระบี่!J284+ชุมพร!J284+ตรัง!J284+นครศรีธรรมราช!J284+นราธิวาส!J284+ปัตตานี!J284+พังงา!J284+พัทลุง!J284+ภูเก็ต!J284+ยะลา!J284+ระนอง!J284+สงขลา!J284+สตูล!J284+สุราษฎร์ธานี!J284</f>
        <v>5</v>
      </c>
      <c r="K284" s="169"/>
      <c r="L284" s="189"/>
      <c r="M284" s="189"/>
      <c r="N284" s="189"/>
      <c r="O284" s="189"/>
      <c r="P284" s="189"/>
    </row>
    <row r="285" spans="1:16" ht="21.75" customHeight="1" x14ac:dyDescent="0.35">
      <c r="A285" s="183"/>
      <c r="B285" s="184"/>
      <c r="C285" s="184"/>
      <c r="D285" s="201"/>
      <c r="E285" s="203"/>
      <c r="F285" s="202" t="s">
        <v>110</v>
      </c>
      <c r="G285" s="204"/>
      <c r="H285" s="194" t="s">
        <v>37</v>
      </c>
      <c r="I285" s="195">
        <f ca="1">กระบี่!I285+ชุมพร!I285+ตรัง!I285+นครศรีธรรมราช!I285+นราธิวาส!I285+ปัตตานี!I285+พังงา!I285+พัทลุง!I285+ภูเก็ต!I285+ยะลา!I285+ระนอง!I285+สงขลา!I285+สตูล!I285+สุราษฎร์ธานี!I285</f>
        <v>85</v>
      </c>
      <c r="J285" s="196">
        <f ca="1">กระบี่!J285+ชุมพร!J285+ตรัง!J285+นครศรีธรรมราช!J285+นราธิวาส!J285+ปัตตานี!J285+พังงา!J285+พัทลุง!J285+ภูเก็ต!J285+ยะลา!J285+ระนอง!J285+สงขลา!J285+สตูล!J285+สุราษฎร์ธานี!J285</f>
        <v>85</v>
      </c>
      <c r="K285" s="169">
        <f ca="1">IF(I285&gt;0,J285*100/I285,0)</f>
        <v>100</v>
      </c>
      <c r="L285" s="189"/>
      <c r="M285" s="189"/>
      <c r="N285" s="189"/>
      <c r="O285" s="189"/>
      <c r="P285" s="189"/>
    </row>
    <row r="286" spans="1:16" ht="21.75" customHeight="1" x14ac:dyDescent="0.35">
      <c r="A286" s="183"/>
      <c r="B286" s="184"/>
      <c r="C286" s="184"/>
      <c r="D286" s="201"/>
      <c r="E286" s="202" t="s">
        <v>54</v>
      </c>
      <c r="F286" s="203"/>
      <c r="G286" s="204"/>
      <c r="H286" s="194"/>
      <c r="I286" s="195"/>
      <c r="J286" s="205">
        <f ca="1">กระบี่!J286+ชุมพร!J286+ตรัง!J286+นครศรีธรรมราช!J286+นราธิวาส!J286+ปัตตานี!J286+พังงา!J286+พัทลุง!J286+ภูเก็ต!J286+ยะลา!J286+ระนอง!J286+สงขลา!J286+สตูล!J286+สุราษฎร์ธานี!J286</f>
        <v>0</v>
      </c>
      <c r="K286" s="169"/>
      <c r="L286" s="189"/>
      <c r="M286" s="189"/>
      <c r="N286" s="189"/>
      <c r="O286" s="189"/>
      <c r="P286" s="189"/>
    </row>
    <row r="287" spans="1:16" ht="21.75" customHeight="1" x14ac:dyDescent="0.35">
      <c r="A287" s="183"/>
      <c r="B287" s="184"/>
      <c r="C287" s="184"/>
      <c r="D287" s="213">
        <v>3</v>
      </c>
      <c r="E287" s="214" t="s">
        <v>55</v>
      </c>
      <c r="F287" s="215"/>
      <c r="G287" s="216"/>
      <c r="H287" s="194"/>
      <c r="I287" s="195"/>
      <c r="J287" s="217">
        <f ca="1">กระบี่!J287+ชุมพร!J287+ตรัง!J287+นครศรีธรรมราช!J287+นราธิวาส!J287+ปัตตานี!J287+พังงา!J287+พัทลุง!J287+ภูเก็ต!J287+ยะลา!J287+ระนอง!J287+สงขลา!J287+สตูล!J287+สุราษฎร์ธานี!J287</f>
        <v>0</v>
      </c>
      <c r="K287" s="169"/>
      <c r="L287" s="189"/>
      <c r="M287" s="189"/>
      <c r="N287" s="189"/>
      <c r="O287" s="189"/>
      <c r="P287" s="189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กระบี่!I289+ชุมพร!I289+ตรัง!I289+นครศรีธรรมราช!I289+นราธิวาส!I289+ปัตตานี!I289+พังงา!I289+พัทลุง!I289+ภูเก็ต!I289+ยะลา!I289+ระนอง!I289+สงขลา!I289+สตูล!I289+สุราษฎร์ธานี!I289</f>
        <v>125</v>
      </c>
      <c r="J289" s="322">
        <f ca="1">กระบี่!J289+ชุมพร!J289+ตรัง!J289+นครศรีธรรมราช!J289+นราธิวาส!J289+ปัตตานี!J289+พังงา!J289+พัทลุง!J289+ภูเก็ต!J289+ยะลา!J289+ระนอง!J289+สงขลา!J289+สตูล!J289+สุราษฎร์ธานี!J289</f>
        <v>125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52" t="s">
        <v>17</v>
      </c>
      <c r="E290" s="543"/>
      <c r="F290" s="543"/>
      <c r="G290" s="543"/>
      <c r="H290" s="153" t="s">
        <v>12</v>
      </c>
      <c r="I290" s="195"/>
      <c r="J290" s="195"/>
      <c r="K290" s="231"/>
      <c r="L290" s="156">
        <f ca="1">กระบี่!L290+ชุมพร!L290+ตรัง!L290+นครศรีธรรมราช!L290+นราธิวาส!L290+ปัตตานี!L290+พังงา!L290+พัทลุง!L290+ภูเก็ต!L290+ยะลา!L290+ระนอง!L290+สงขลา!L290+สตูล!L290+สุราษฎร์ธานี!L290</f>
        <v>1027180</v>
      </c>
      <c r="M290" s="156">
        <f ca="1">กระบี่!M290+ชุมพร!M290+ตรัง!M290+นครศรีธรรมราช!M290+นราธิวาส!M290+ปัตตานี!M290+พังงา!M290+พัทลุง!M290+ภูเก็ต!M290+ยะลา!M290+ระนอง!M290+สงขลา!M290+สตูล!M290+สุราษฎร์ธานี!M290</f>
        <v>937840</v>
      </c>
      <c r="N290" s="156">
        <f ca="1">กระบี่!N290+ชุมพร!N290+ตรัง!N290+นครศรีธรรมราช!N290+นราธิวาส!N290+ปัตตานี!N290+พังงา!N290+พัทลุง!N290+ภูเก็ต!N290+ยะลา!N290+ระนอง!N290+สงขลา!N290+สตูล!N290+สุราษฎร์ธานี!N290</f>
        <v>214252</v>
      </c>
      <c r="O290" s="155">
        <f t="shared" ref="O290:O292" ca="1" si="65">IF(L290&gt;0,N290*100/L290,0)</f>
        <v>20.85827216261999</v>
      </c>
      <c r="P290" s="155">
        <f t="shared" ref="P290:P292" ca="1" si="66">IF(M290&gt;0,N290*100/M290,0)</f>
        <v>22.845261451846795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5"/>
      <c r="J291" s="195"/>
      <c r="K291" s="231"/>
      <c r="L291" s="161">
        <f>กระบี่!L291+ชุมพร!L291+ตรัง!L291+นครศรีธรรมราช!L291+นราธิวาส!L291+ปัตตานี!L291+พังงา!L291+พัทลุง!L291+ภูเก็ต!L291+ยะลา!L291+ระนอง!L291+สงขลา!L291+สตูล!L291+สุราษฎร์ธานี!L291</f>
        <v>0</v>
      </c>
      <c r="M291" s="161">
        <f>กระบี่!M291+ชุมพร!M291+ตรัง!M291+นครศรีธรรมราช!M291+นราธิวาส!M291+ปัตตานี!M291+พังงา!M291+พัทลุง!M291+ภูเก็ต!M291+ยะลา!M291+ระนอง!M291+สงขลา!M291+สตูล!M291+สุราษฎร์ธานี!M291</f>
        <v>0</v>
      </c>
      <c r="N291" s="161">
        <f>กระบี่!N291+ชุมพร!N291+ตรัง!N291+นครศรีธรรมราช!N291+นราธิวาส!N291+ปัตตานี!N291+พังงา!N291+พัทลุง!N291+ภูเก็ต!N291+ยะลา!N291+ระนอง!N291+สงขลา!N291+สตูล!N291+สุราษฎร์ธานี!N291</f>
        <v>0</v>
      </c>
      <c r="O291" s="160">
        <f t="shared" si="65"/>
        <v>0</v>
      </c>
      <c r="P291" s="160">
        <f t="shared" si="66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5"/>
      <c r="J292" s="195"/>
      <c r="K292" s="231"/>
      <c r="L292" s="161">
        <f ca="1">กระบี่!L292+ชุมพร!L292+ตรัง!L292+นครศรีธรรมราช!L292+นราธิวาส!L292+ปัตตานี!L292+พังงา!L292+พัทลุง!L292+ภูเก็ต!L292+ยะลา!L292+ระนอง!L292+สงขลา!L292+สตูล!L292+สุราษฎร์ธานี!L292</f>
        <v>1027180</v>
      </c>
      <c r="M292" s="161">
        <f ca="1">กระบี่!M292+ชุมพร!M292+ตรัง!M292+นครศรีธรรมราช!M292+นราธิวาส!M292+ปัตตานี!M292+พังงา!M292+พัทลุง!M292+ภูเก็ต!M292+ยะลา!M292+ระนอง!M292+สงขลา!M292+สตูล!M292+สุราษฎร์ธานี!M292</f>
        <v>937840</v>
      </c>
      <c r="N292" s="161">
        <f ca="1">กระบี่!N292+ชุมพร!N292+ตรัง!N292+นครศรีธรรมราช!N292+นราธิวาส!N292+ปัตตานี!N292+พังงา!N292+พัทลุง!N292+ภูเก็ต!N292+ยะลา!N292+ระนอง!N292+สงขลา!N292+สตูล!N292+สุราษฎร์ธานี!N292</f>
        <v>214252</v>
      </c>
      <c r="O292" s="160">
        <f t="shared" ca="1" si="65"/>
        <v>20.85827216261999</v>
      </c>
      <c r="P292" s="160">
        <f t="shared" ca="1" si="66"/>
        <v>22.845261451846795</v>
      </c>
    </row>
    <row r="293" spans="1:16" ht="21.75" customHeight="1" x14ac:dyDescent="0.35">
      <c r="A293" s="162"/>
      <c r="B293" s="163"/>
      <c r="C293" s="163" t="s">
        <v>16</v>
      </c>
      <c r="D293" s="164" t="s">
        <v>38</v>
      </c>
      <c r="E293" s="165"/>
      <c r="F293" s="165"/>
      <c r="G293" s="166" t="s">
        <v>39</v>
      </c>
      <c r="H293" s="167" t="s">
        <v>12</v>
      </c>
      <c r="I293" s="195" t="s">
        <v>40</v>
      </c>
      <c r="J293" s="195"/>
      <c r="K293" s="231"/>
      <c r="L293" s="170">
        <f>กระบี่!L293+ชุมพร!L293+ตรัง!L293+นครศรีธรรมราช!L293+นราธิวาส!L293+ปัตตานี!L293+พังงา!L293+พัทลุง!L293+ภูเก็ต!L293+ยะลา!L293+ระนอง!L293+สงขลา!L293+สตูล!L293+สุราษฎร์ธานี!L293</f>
        <v>0</v>
      </c>
      <c r="M293" s="170">
        <f>กระบี่!M293+ชุมพร!M293+ตรัง!M293+นครศรีธรรมราช!M293+นราธิวาส!M293+ปัตตานี!M293+พังงา!M293+พัทลุง!M293+ภูเก็ต!M293+ยะลา!M293+ระนอง!M293+สงขลา!M293+สตูล!M293+สุราษฎร์ธานี!M293</f>
        <v>0</v>
      </c>
      <c r="N293" s="170">
        <f>กระบี่!N293+ชุมพร!N293+ตรัง!N293+นครศรีธรรมราช!N293+นราธิวาส!N293+ปัตตานี!N293+พังงา!N293+พัทลุง!N293+ภูเก็ต!N293+ยะลา!N293+ระนอง!N293+สงขลา!N293+สตูล!N293+สุราษฎร์ธานี!N293</f>
        <v>0</v>
      </c>
      <c r="O293" s="171">
        <f>+IF(L293&gt;0,N293*100/L293,0)</f>
        <v>0</v>
      </c>
      <c r="P293" s="171"/>
    </row>
    <row r="294" spans="1:16" ht="21.75" customHeight="1" x14ac:dyDescent="0.35">
      <c r="A294" s="162"/>
      <c r="B294" s="163"/>
      <c r="C294" s="163"/>
      <c r="D294" s="172"/>
      <c r="E294" s="165"/>
      <c r="F294" s="165" t="s">
        <v>40</v>
      </c>
      <c r="G294" s="166" t="s">
        <v>41</v>
      </c>
      <c r="H294" s="167" t="s">
        <v>12</v>
      </c>
      <c r="I294" s="195"/>
      <c r="J294" s="195"/>
      <c r="K294" s="231"/>
      <c r="L294" s="173">
        <f ca="1">กระบี่!L294+ชุมพร!L294+ตรัง!L294+นครศรีธรรมราช!L294+นราธิวาส!L294+ปัตตานี!L294+พังงา!L294+พัทลุง!L294+ภูเก็ต!L294+ยะลา!L294+ระนอง!L294+สงขลา!L294+สตูล!L294+สุราษฎร์ธานี!L294</f>
        <v>445180</v>
      </c>
      <c r="M294" s="174">
        <f ca="1">กระบี่!M294+ชุมพร!M294+ตรัง!M294+นครศรีธรรมราช!M294+นราธิวาส!M294+ปัตตานี!M294+พังงา!M294+พัทลุง!M294+ภูเก็ต!M294+ยะลา!M294+ระนอง!M294+สงขลา!M294+สตูล!M294+สุราษฎร์ธานี!M294</f>
        <v>355840</v>
      </c>
      <c r="N294" s="175">
        <f ca="1">กระบี่!N294+ชุมพร!N294+ตรัง!N294+นครศรีธรรมราช!N294+นราธิวาส!N294+ปัตตานี!N294+พังงา!N294+พัทลุง!N294+ภูเก็ต!N294+ยะลา!N294+ระนอง!N294+สงขลา!N294+สตูล!N294+สุราษฎร์ธานี!N294</f>
        <v>202252</v>
      </c>
      <c r="O294" s="176">
        <f ca="1">IF(L294&gt;0,N294*100/L294,0)</f>
        <v>45.431510849544004</v>
      </c>
      <c r="P294" s="176">
        <f ca="1">IF(M294&gt;0,N294*100/M294,0)</f>
        <v>56.837904676258994</v>
      </c>
    </row>
    <row r="295" spans="1:16" ht="21.75" customHeight="1" x14ac:dyDescent="0.35">
      <c r="A295" s="162"/>
      <c r="B295" s="163"/>
      <c r="C295" s="163"/>
      <c r="D295" s="172"/>
      <c r="E295" s="165"/>
      <c r="F295" s="165"/>
      <c r="G295" s="177" t="s">
        <v>42</v>
      </c>
      <c r="H295" s="167" t="s">
        <v>12</v>
      </c>
      <c r="I295" s="195"/>
      <c r="J295" s="195"/>
      <c r="K295" s="231"/>
      <c r="L295" s="174">
        <f ca="1">กระบี่!L295+ชุมพร!L295+ตรัง!L295+นครศรีธรรมราช!L295+นราธิวาส!L295+ปัตตานี!L295+พังงา!L295+พัทลุง!L295+ภูเก็ต!L295+ยะลา!L295+ระนอง!L295+สงขลา!L295+สตูล!L295+สุราษฎร์ธานี!L295</f>
        <v>0</v>
      </c>
      <c r="M295" s="173"/>
      <c r="N295" s="173"/>
      <c r="O295" s="176"/>
      <c r="P295" s="176"/>
    </row>
    <row r="296" spans="1:16" ht="21.75" customHeight="1" x14ac:dyDescent="0.35">
      <c r="A296" s="162"/>
      <c r="B296" s="163"/>
      <c r="C296" s="163"/>
      <c r="D296" s="172"/>
      <c r="E296" s="165"/>
      <c r="F296" s="165"/>
      <c r="G296" s="177" t="s">
        <v>43</v>
      </c>
      <c r="H296" s="167" t="s">
        <v>12</v>
      </c>
      <c r="I296" s="195"/>
      <c r="J296" s="195"/>
      <c r="K296" s="231"/>
      <c r="L296" s="174">
        <f ca="1">กระบี่!L296+ชุมพร!L296+ตรัง!L296+นครศรีธรรมราช!L296+นราธิวาส!L296+ปัตตานี!L296+พังงา!L296+พัทลุง!L296+ภูเก็ต!L296+ยะลา!L296+ระนอง!L296+สงขลา!L296+สตูล!L296+สุราษฎร์ธานี!L296</f>
        <v>445180</v>
      </c>
      <c r="M296" s="173"/>
      <c r="N296" s="173"/>
      <c r="O296" s="176"/>
      <c r="P296" s="176"/>
    </row>
    <row r="297" spans="1:16" ht="21.75" customHeight="1" x14ac:dyDescent="0.45">
      <c r="A297" s="178"/>
      <c r="B297" s="81"/>
      <c r="C297" s="82" t="s">
        <v>16</v>
      </c>
      <c r="D297" s="549" t="s">
        <v>23</v>
      </c>
      <c r="E297" s="545"/>
      <c r="F297" s="89"/>
      <c r="G297" s="83" t="s">
        <v>18</v>
      </c>
      <c r="H297" s="179" t="s">
        <v>12</v>
      </c>
      <c r="I297" s="195"/>
      <c r="J297" s="195"/>
      <c r="K297" s="231"/>
      <c r="L297" s="93">
        <f>กระบี่!L297+ชุมพร!L297+ตรัง!L297+นครศรีธรรมราช!L297+นราธิวาส!L297+ปัตตานี!L297+พังงา!L297+พัทลุง!L297+ภูเก็ต!L297+ยะลา!L297+ระนอง!L297+สงขลา!L297+สตูล!L297+สุราษฎร์ธานี!L297</f>
        <v>0</v>
      </c>
      <c r="M297" s="93"/>
      <c r="N297" s="42"/>
      <c r="O297" s="93"/>
      <c r="P297" s="93"/>
    </row>
    <row r="298" spans="1:16" ht="21.75" customHeight="1" x14ac:dyDescent="0.45">
      <c r="A298" s="180"/>
      <c r="B298" s="95"/>
      <c r="C298" s="95"/>
      <c r="D298" s="181"/>
      <c r="E298" s="96"/>
      <c r="F298" s="96"/>
      <c r="G298" s="97" t="s">
        <v>19</v>
      </c>
      <c r="H298" s="182" t="s">
        <v>12</v>
      </c>
      <c r="I298" s="195"/>
      <c r="J298" s="195"/>
      <c r="K298" s="231"/>
      <c r="L298" s="91">
        <f ca="1">กระบี่!L298+ชุมพร!L298+ตรัง!L298+นครศรีธรรมราช!L298+นราธิวาส!L298+ปัตตานี!L298+พังงา!L298+พัทลุง!L298+ภูเก็ต!L298+ยะลา!L298+ระนอง!L298+สงขลา!L298+สตูล!L298+สุราษฎร์ธานี!L298</f>
        <v>582000</v>
      </c>
      <c r="M298" s="101">
        <f ca="1">กระบี่!M298+ชุมพร!M298+ตรัง!M298+นครศรีธรรมราช!M298+นราธิวาส!M298+ปัตตานี!M298+พังงา!M298+พัทลุง!M298+ภูเก็ต!M298+ยะลา!M298+ระนอง!M298+สงขลา!M298+สตูล!M298+สุราษฎร์ธานี!M298</f>
        <v>582000</v>
      </c>
      <c r="N298" s="91">
        <f ca="1">กระบี่!N298+ชุมพร!N298+ตรัง!N298+นครศรีธรรมราช!N298+นราธิวาส!N298+ปัตตานี!N298+พังงา!N298+พัทลุง!N298+ภูเก็ต!N298+ยะลา!N298+ระนอง!N298+สงขลา!N298+สตูล!N298+สุราษฎร์ธานี!N298</f>
        <v>12000</v>
      </c>
      <c r="O298" s="101">
        <f ca="1">IF(L298&gt;0,N298*100/L298,0)</f>
        <v>2.0618556701030926</v>
      </c>
      <c r="P298" s="101">
        <f ca="1">IF(M298&gt;0,N298*100/M298,0)</f>
        <v>2.0618556701030926</v>
      </c>
    </row>
    <row r="299" spans="1:16" ht="21.75" customHeight="1" x14ac:dyDescent="0.35">
      <c r="A299" s="183"/>
      <c r="B299" s="184"/>
      <c r="C299" s="163" t="s">
        <v>16</v>
      </c>
      <c r="D299" s="185" t="s">
        <v>44</v>
      </c>
      <c r="E299" s="186"/>
      <c r="F299" s="186"/>
      <c r="G299" s="187"/>
      <c r="H299" s="188"/>
      <c r="I299" s="195"/>
      <c r="J299" s="195"/>
      <c r="K299" s="231"/>
      <c r="L299" s="176"/>
      <c r="M299" s="176"/>
      <c r="N299" s="176"/>
      <c r="O299" s="189"/>
      <c r="P299" s="189"/>
    </row>
    <row r="300" spans="1:16" ht="21.75" customHeight="1" x14ac:dyDescent="0.35">
      <c r="A300" s="183"/>
      <c r="B300" s="184"/>
      <c r="C300" s="184"/>
      <c r="D300" s="190">
        <v>1</v>
      </c>
      <c r="E300" s="191" t="s">
        <v>45</v>
      </c>
      <c r="F300" s="192"/>
      <c r="G300" s="193"/>
      <c r="H300" s="194"/>
      <c r="I300" s="195"/>
      <c r="J300" s="195">
        <f ca="1">กระบี่!J300+ชุมพร!J300+ตรัง!J300+นครศรีธรรมราช!J300+นราธิวาส!J300+ปัตตานี!J300+พังงา!J300+พัทลุง!J300+ภูเก็ต!J300+ยะลา!J300+ระนอง!J300+สงขลา!J300+สตูล!J300+สุราษฎร์ธานี!J300</f>
        <v>0</v>
      </c>
      <c r="K300" s="231"/>
      <c r="L300" s="176"/>
      <c r="M300" s="176"/>
      <c r="N300" s="176"/>
      <c r="O300" s="189"/>
      <c r="P300" s="189"/>
    </row>
    <row r="301" spans="1:16" ht="21.75" customHeight="1" x14ac:dyDescent="0.35">
      <c r="A301" s="183"/>
      <c r="B301" s="184"/>
      <c r="C301" s="184"/>
      <c r="D301" s="197">
        <v>2</v>
      </c>
      <c r="E301" s="198" t="s">
        <v>46</v>
      </c>
      <c r="F301" s="199"/>
      <c r="G301" s="200"/>
      <c r="H301" s="194"/>
      <c r="I301" s="195"/>
      <c r="J301" s="195">
        <f ca="1">กระบี่!J301+ชุมพร!J301+ตรัง!J301+นครศรีธรรมราช!J301+นราธิวาส!J301+ปัตตานี!J301+พังงา!J301+พัทลุง!J301+ภูเก็ต!J301+ยะลา!J301+ระนอง!J301+สงขลา!J301+สตูล!J301+สุราษฎร์ธานี!J301</f>
        <v>4</v>
      </c>
      <c r="K301" s="231"/>
      <c r="L301" s="176" t="s">
        <v>40</v>
      </c>
      <c r="M301" s="176"/>
      <c r="N301" s="176" t="s">
        <v>40</v>
      </c>
      <c r="O301" s="189"/>
      <c r="P301" s="189"/>
    </row>
    <row r="302" spans="1:16" ht="21.75" customHeight="1" x14ac:dyDescent="0.35">
      <c r="A302" s="183"/>
      <c r="B302" s="184"/>
      <c r="C302" s="184"/>
      <c r="D302" s="201"/>
      <c r="E302" s="202" t="s">
        <v>47</v>
      </c>
      <c r="F302" s="203"/>
      <c r="G302" s="204"/>
      <c r="H302" s="194"/>
      <c r="I302" s="195"/>
      <c r="J302" s="195">
        <f ca="1">กระบี่!J302+ชุมพร!J302+ตรัง!J302+นครศรีธรรมราช!J302+นราธิวาส!J302+ปัตตานี!J302+พังงา!J302+พัทลุง!J302+ภูเก็ต!J302+ยะลา!J302+ระนอง!J302+สงขลา!J302+สตูล!J302+สุราษฎร์ธานี!J302</f>
        <v>4</v>
      </c>
      <c r="K302" s="231"/>
      <c r="L302" s="176"/>
      <c r="M302" s="176"/>
      <c r="N302" s="176"/>
      <c r="O302" s="189"/>
      <c r="P302" s="189"/>
    </row>
    <row r="303" spans="1:16" ht="21.75" customHeight="1" x14ac:dyDescent="0.35">
      <c r="A303" s="183"/>
      <c r="B303" s="184"/>
      <c r="C303" s="184"/>
      <c r="D303" s="201"/>
      <c r="E303" s="202" t="s">
        <v>48</v>
      </c>
      <c r="F303" s="203"/>
      <c r="G303" s="204"/>
      <c r="H303" s="194"/>
      <c r="I303" s="195"/>
      <c r="J303" s="195">
        <f ca="1">กระบี่!J303+ชุมพร!J303+ตรัง!J303+นครศรีธรรมราช!J303+นราธิวาส!J303+ปัตตานี!J303+พังงา!J303+พัทลุง!J303+ภูเก็ต!J303+ยะลา!J303+ระนอง!J303+สงขลา!J303+สตูล!J303+สุราษฎร์ธานี!J303</f>
        <v>4</v>
      </c>
      <c r="K303" s="231"/>
      <c r="L303" s="176"/>
      <c r="M303" s="176"/>
      <c r="N303" s="176"/>
      <c r="O303" s="189"/>
      <c r="P303" s="189"/>
    </row>
    <row r="304" spans="1:16" ht="21.75" customHeight="1" x14ac:dyDescent="0.35">
      <c r="A304" s="183"/>
      <c r="B304" s="184"/>
      <c r="C304" s="184"/>
      <c r="D304" s="201"/>
      <c r="E304" s="206"/>
      <c r="F304" s="202" t="s">
        <v>113</v>
      </c>
      <c r="G304" s="204"/>
      <c r="H304" s="188" t="s">
        <v>37</v>
      </c>
      <c r="I304" s="195">
        <f ca="1">กระบี่!I304+ชุมพร!I304+ตรัง!I304+นครศรีธรรมราช!I304+นราธิวาส!I304+ปัตตานี!I304+พังงา!I304+พัทลุง!I304+ภูเก็ต!I304+ยะลา!I304+ระนอง!I304+สงขลา!I304+สตูล!I304+สุราษฎร์ธานี!I304</f>
        <v>125</v>
      </c>
      <c r="J304" s="211">
        <f ca="1">กระบี่!J304+ชุมพร!J304+ตรัง!J304+นครศรีธรรมราช!J304+นราธิวาส!J304+ปัตตานี!J304+พังงา!J304+พัทลุง!J304+ภูเก็ต!J304+ยะลา!J304+ระนอง!J304+สงขลา!J304+สตูล!J304+สุราษฎร์ธานี!J304</f>
        <v>125</v>
      </c>
      <c r="K304" s="231">
        <f ca="1">IF(I304&gt;0,J304*100/I304,0)</f>
        <v>100</v>
      </c>
      <c r="L304" s="176"/>
      <c r="M304" s="176"/>
      <c r="N304" s="176"/>
      <c r="O304" s="189"/>
      <c r="P304" s="189"/>
    </row>
    <row r="305" spans="1:16" ht="21.75" customHeight="1" x14ac:dyDescent="0.35">
      <c r="A305" s="183"/>
      <c r="B305" s="184"/>
      <c r="C305" s="184"/>
      <c r="D305" s="201"/>
      <c r="E305" s="206"/>
      <c r="F305" s="202" t="s">
        <v>114</v>
      </c>
      <c r="G305" s="204"/>
      <c r="H305" s="188"/>
      <c r="I305" s="195"/>
      <c r="J305" s="195"/>
      <c r="K305" s="231"/>
      <c r="L305" s="176"/>
      <c r="M305" s="176"/>
      <c r="N305" s="176"/>
      <c r="O305" s="189"/>
      <c r="P305" s="189"/>
    </row>
    <row r="306" spans="1:16" ht="21.75" customHeight="1" x14ac:dyDescent="0.35">
      <c r="A306" s="183"/>
      <c r="B306" s="184"/>
      <c r="C306" s="184"/>
      <c r="D306" s="201"/>
      <c r="E306" s="206"/>
      <c r="F306" s="203" t="s">
        <v>53</v>
      </c>
      <c r="G306" s="204"/>
      <c r="H306" s="188" t="s">
        <v>37</v>
      </c>
      <c r="I306" s="195">
        <f ca="1">กระบี่!I306+ชุมพร!I306+ตรัง!I306+นครศรีธรรมราช!I306+นราธิวาส!I306+ปัตตานี!I306+พังงา!I306+พัทลุง!I306+ภูเก็ต!I306+ยะลา!I306+ระนอง!I306+สงขลา!I306+สตูล!I306+สุราษฎร์ธานี!I306</f>
        <v>125</v>
      </c>
      <c r="J306" s="211">
        <f ca="1">กระบี่!J306+ชุมพร!J306+ตรัง!J306+นครศรีธรรมราช!J306+นราธิวาส!J306+ปัตตานี!J306+พังงา!J306+พัทลุง!J306+ภูเก็ต!J306+ยะลา!J306+ระนอง!J306+สงขลา!J306+สตูล!J306+สุราษฎร์ธานี!J306</f>
        <v>0</v>
      </c>
      <c r="K306" s="231">
        <f ca="1">IF(I306&gt;0,J306*100/I306,0)</f>
        <v>0</v>
      </c>
      <c r="L306" s="176"/>
      <c r="M306" s="176"/>
      <c r="N306" s="176"/>
      <c r="O306" s="189"/>
      <c r="P306" s="189"/>
    </row>
    <row r="307" spans="1:16" ht="21.75" customHeight="1" x14ac:dyDescent="0.35">
      <c r="A307" s="183"/>
      <c r="B307" s="184"/>
      <c r="C307" s="184"/>
      <c r="D307" s="201"/>
      <c r="E307" s="202" t="s">
        <v>54</v>
      </c>
      <c r="F307" s="203"/>
      <c r="G307" s="204"/>
      <c r="H307" s="194"/>
      <c r="I307" s="195"/>
      <c r="J307" s="195">
        <f ca="1">IFERROR(__xludf.DUMMYFUNCTION("IMPORTRANGE(""https://docs.google.com/spreadsheets/d/1SX6NBoVAgQJ6U1MVXOaj8PK2l7WJ3RER9xtqwdhxkhw/edit?usp=sharing"",""กาญจนบุรี!J212"")"),0)</f>
        <v>0</v>
      </c>
      <c r="K307" s="231"/>
      <c r="L307" s="176"/>
      <c r="M307" s="176"/>
      <c r="N307" s="176"/>
      <c r="O307" s="189"/>
      <c r="P307" s="189"/>
    </row>
    <row r="308" spans="1:16" ht="21.75" customHeight="1" x14ac:dyDescent="0.35">
      <c r="A308" s="183"/>
      <c r="B308" s="184"/>
      <c r="C308" s="184"/>
      <c r="D308" s="213">
        <v>3</v>
      </c>
      <c r="E308" s="214" t="s">
        <v>55</v>
      </c>
      <c r="F308" s="215"/>
      <c r="G308" s="216"/>
      <c r="H308" s="194"/>
      <c r="I308" s="195"/>
      <c r="J308" s="332">
        <f ca="1">กระบี่!J308+ชุมพร!J308+ตรัง!J308+นครศรีธรรมราช!J308+นราธิวาส!J308+ปัตตานี!J308+พังงา!J308+พัทลุง!J308+ภูเก็ต!J308+ยะลา!J308+ระนอง!J308+สงขลา!J308+สตูล!J308+สุราษฎร์ธานี!J308</f>
        <v>0</v>
      </c>
      <c r="K308" s="231"/>
      <c r="L308" s="176"/>
      <c r="M308" s="176"/>
      <c r="N308" s="176"/>
      <c r="O308" s="189"/>
      <c r="P308" s="189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กระบี่!I309+ชุมพร!I309+ตรัง!I309+นครศรีธรรมราช!I309+นราธิวาส!I309+ปัตตานี!I309+พังงา!I309+พัทลุง!I309+ภูเก็ต!I309+ยะลา!I309+ระนอง!I309+สงขลา!I309+สตูล!I309+สุราษฎร์ธานี!I309</f>
        <v>5</v>
      </c>
      <c r="J309" s="339">
        <f ca="1">กระบี่!J309+ชุมพร!J309+ตรัง!J309+นครศรีธรรมราช!J309+นราธิวาส!J309+ปัตตานี!J309+พังงา!J309+พัทลุง!J309+ภูเก็ต!J309+ยะลา!J309+ระนอง!J309+สงขลา!J309+สตูล!J309+สุราษฎร์ธานี!J309</f>
        <v>3</v>
      </c>
      <c r="K309" s="340">
        <f ca="1">IF(I309&gt;0,J309*100/I309,0)</f>
        <v>60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52" t="s">
        <v>17</v>
      </c>
      <c r="E310" s="543"/>
      <c r="F310" s="543"/>
      <c r="G310" s="543"/>
      <c r="H310" s="153" t="s">
        <v>12</v>
      </c>
      <c r="I310" s="342"/>
      <c r="J310" s="342"/>
      <c r="K310" s="343"/>
      <c r="L310" s="156">
        <f ca="1">กระบี่!L310+ชุมพร!L310+ตรัง!L310+นครศรีธรรมราช!L310+นราธิวาส!L310+ปัตตานี!L310+พังงา!L310+พัทลุง!L310+ภูเก็ต!L310+ยะลา!L310+ระนอง!L310+สงขลา!L310+สตูล!L310+สุราษฎร์ธานี!L310</f>
        <v>6921400</v>
      </c>
      <c r="M310" s="156">
        <f ca="1">กระบี่!M310+ชุมพร!M310+ตรัง!M310+นครศรีธรรมราช!M310+นราธิวาส!M310+ปัตตานี!M310+พังงา!M310+พัทลุง!M310+ภูเก็ต!M310+ยะลา!M310+ระนอง!M310+สงขลา!M310+สตูล!M310+สุราษฎร์ธานี!M310</f>
        <v>6581700</v>
      </c>
      <c r="N310" s="156">
        <f ca="1">กระบี่!N310+ชุมพร!N310+ตรัง!N310+นครศรีธรรมราช!N310+นราธิวาส!N310+ปัตตานี!N310+พังงา!N310+พัทลุง!N310+ภูเก็ต!N310+ยะลา!N310+ระนอง!N310+สงขลา!N310+สตูล!N310+สุราษฎร์ธานี!N310</f>
        <v>525426</v>
      </c>
      <c r="O310" s="155">
        <f t="shared" ref="O310:O312" ca="1" si="67">IF(L310&gt;0,N310*100/L310,0)</f>
        <v>7.5913254543878406</v>
      </c>
      <c r="P310" s="155">
        <f t="shared" ref="P310:P312" ca="1" si="68">IF(M310&gt;0,N310*100/M310,0)</f>
        <v>7.983135056292447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>กระบี่!L311+ชุมพร!L311+ตรัง!L311+นครศรีธรรมราช!L311+นราธิวาส!L311+ปัตตานี!L311+พังงา!L311+พัทลุง!L311+ภูเก็ต!L311+ยะลา!L311+ระนอง!L311+สงขลา!L311+สตูล!L311+สุราษฎร์ธานี!L311</f>
        <v>0</v>
      </c>
      <c r="M311" s="161">
        <f>กระบี่!M311+ชุมพร!M311+ตรัง!M311+นครศรีธรรมราช!M311+นราธิวาส!M311+ปัตตานี!M311+พังงา!M311+พัทลุง!M311+ภูเก็ต!M311+ยะลา!M311+ระนอง!M311+สงขลา!M311+สตูล!M311+สุราษฎร์ธานี!M311</f>
        <v>0</v>
      </c>
      <c r="N311" s="161">
        <f>กระบี่!N311+ชุมพร!N311+ตรัง!N311+นครศรีธรรมราช!N311+นราธิวาส!N311+ปัตตานี!N311+พังงา!N311+พัทลุง!N311+ภูเก็ต!N311+ยะลา!N311+ระนอง!N311+สงขลา!N311+สตูล!N311+สุราษฎร์ธานี!N311</f>
        <v>0</v>
      </c>
      <c r="O311" s="160">
        <f t="shared" si="67"/>
        <v>0</v>
      </c>
      <c r="P311" s="160">
        <f t="shared" si="68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ca="1">กระบี่!L312+ชุมพร!L312+ตรัง!L312+นครศรีธรรมราช!L312+นราธิวาส!L312+ปัตตานี!L312+พังงา!L312+พัทลุง!L312+ภูเก็ต!L312+ยะลา!L312+ระนอง!L312+สงขลา!L312+สตูล!L312+สุราษฎร์ธานี!L312</f>
        <v>6921400</v>
      </c>
      <c r="M312" s="161">
        <f ca="1">กระบี่!M312+ชุมพร!M312+ตรัง!M312+นครศรีธรรมราช!M312+นราธิวาส!M312+ปัตตานี!M312+พังงา!M312+พัทลุง!M312+ภูเก็ต!M312+ยะลา!M312+ระนอง!M312+สงขลา!M312+สตูล!M312+สุราษฎร์ธานี!M312</f>
        <v>6581700</v>
      </c>
      <c r="N312" s="161">
        <f ca="1">กระบี่!N312+ชุมพร!N312+ตรัง!N312+นครศรีธรรมราช!N312+นราธิวาส!N312+ปัตตานี!N312+พังงา!N312+พัทลุง!N312+ภูเก็ต!N312+ยะลา!N312+ระนอง!N312+สงขลา!N312+สตูล!N312+สุราษฎร์ธานี!N312</f>
        <v>525426</v>
      </c>
      <c r="O312" s="160">
        <f t="shared" ca="1" si="67"/>
        <v>7.5913254543878406</v>
      </c>
      <c r="P312" s="160">
        <f t="shared" ca="1" si="68"/>
        <v>7.983135056292447</v>
      </c>
    </row>
    <row r="313" spans="1:16" ht="21.75" customHeight="1" x14ac:dyDescent="0.35">
      <c r="A313" s="162"/>
      <c r="B313" s="163"/>
      <c r="C313" s="163" t="s">
        <v>16</v>
      </c>
      <c r="D313" s="164" t="s">
        <v>38</v>
      </c>
      <c r="E313" s="165"/>
      <c r="F313" s="165"/>
      <c r="G313" s="166" t="s">
        <v>39</v>
      </c>
      <c r="H313" s="167" t="s">
        <v>12</v>
      </c>
      <c r="I313" s="168" t="s">
        <v>40</v>
      </c>
      <c r="J313" s="168"/>
      <c r="K313" s="169"/>
      <c r="L313" s="170">
        <f>กระบี่!L313+ชุมพร!L313+ตรัง!L313+นครศรีธรรมราช!L313+นราธิวาส!L313+ปัตตานี!L313+พังงา!L313+พัทลุง!L313+ภูเก็ต!L313+ยะลา!L313+ระนอง!L313+สงขลา!L313+สตูล!L313+สุราษฎร์ธานี!L313</f>
        <v>0</v>
      </c>
      <c r="M313" s="170">
        <f>กระบี่!M313+ชุมพร!M313+ตรัง!M313+นครศรีธรรมราช!M313+นราธิวาส!M313+ปัตตานี!M313+พังงา!M313+พัทลุง!M313+ภูเก็ต!M313+ยะลา!M313+ระนอง!M313+สงขลา!M313+สตูล!M313+สุราษฎร์ธานี!M313</f>
        <v>0</v>
      </c>
      <c r="N313" s="170">
        <f>กระบี่!N313+ชุมพร!N313+ตรัง!N313+นครศรีธรรมราช!N313+นราธิวาส!N313+ปัตตานี!N313+พังงา!N313+พัทลุง!N313+ภูเก็ต!N313+ยะลา!N313+ระนอง!N313+สงขลา!N313+สตูล!N313+สุราษฎร์ธานี!N313</f>
        <v>0</v>
      </c>
      <c r="O313" s="171">
        <f>+IF(L313&gt;0,N313*100/L313,0)</f>
        <v>0</v>
      </c>
      <c r="P313" s="171"/>
    </row>
    <row r="314" spans="1:16" ht="21.75" customHeight="1" x14ac:dyDescent="0.35">
      <c r="A314" s="162"/>
      <c r="B314" s="163"/>
      <c r="C314" s="163"/>
      <c r="D314" s="172"/>
      <c r="E314" s="165"/>
      <c r="F314" s="165" t="s">
        <v>40</v>
      </c>
      <c r="G314" s="166" t="s">
        <v>41</v>
      </c>
      <c r="H314" s="167" t="s">
        <v>12</v>
      </c>
      <c r="I314" s="168"/>
      <c r="J314" s="168"/>
      <c r="K314" s="169"/>
      <c r="L314" s="173">
        <f ca="1">กระบี่!L314+ชุมพร!L314+ตรัง!L314+นครศรีธรรมราช!L314+นราธิวาส!L314+ปัตตานี!L314+พังงา!L314+พัทลุง!L314+ภูเก็ต!L314+ยะลา!L314+ระนอง!L314+สงขลา!L314+สตูล!L314+สุราษฎร์ธานี!L314</f>
        <v>971400</v>
      </c>
      <c r="M314" s="174">
        <f ca="1">กระบี่!M314+ชุมพร!M314+ตรัง!M314+นครศรีธรรมราช!M314+นราธิวาส!M314+ปัตตานี!M314+พังงา!M314+พัทลุง!M314+ภูเก็ต!M314+ยะลา!M314+ระนอง!M314+สงขลา!M314+สตูล!M314+สุราษฎร์ธานี!M314</f>
        <v>631700</v>
      </c>
      <c r="N314" s="175">
        <f ca="1">กระบี่!N314+ชุมพร!N314+ตรัง!N314+นครศรีธรรมราช!N314+นราธิวาส!N314+ปัตตานี!N314+พังงา!N314+พัทลุง!N314+ภูเก็ต!N314+ยะลา!N314+ระนอง!N314+สงขลา!N314+สตูล!N314+สุราษฎร์ธานี!N314</f>
        <v>525426</v>
      </c>
      <c r="O314" s="176">
        <f ca="1">IF(L314&gt;0,N314*100/L314,0)</f>
        <v>54.089561457689932</v>
      </c>
      <c r="P314" s="176">
        <f ca="1">IF(M314&gt;0,N314*100/M314,0)</f>
        <v>83.176507835998095</v>
      </c>
    </row>
    <row r="315" spans="1:16" ht="21.75" customHeight="1" x14ac:dyDescent="0.35">
      <c r="A315" s="162"/>
      <c r="B315" s="163"/>
      <c r="C315" s="163"/>
      <c r="D315" s="172"/>
      <c r="E315" s="165"/>
      <c r="F315" s="165"/>
      <c r="G315" s="177" t="s">
        <v>42</v>
      </c>
      <c r="H315" s="167" t="s">
        <v>12</v>
      </c>
      <c r="I315" s="168"/>
      <c r="J315" s="168"/>
      <c r="K315" s="169"/>
      <c r="L315" s="174">
        <f ca="1">กระบี่!L315+ชุมพร!L315+ตรัง!L315+นครศรีธรรมราช!L315+นราธิวาส!L315+ปัตตานี!L315+พังงา!L315+พัทลุง!L315+ภูเก็ต!L315+ยะลา!L315+ระนอง!L315+สงขลา!L315+สตูล!L315+สุราษฎร์ธานี!L315</f>
        <v>0</v>
      </c>
      <c r="M315" s="173"/>
      <c r="N315" s="173"/>
      <c r="O315" s="176"/>
      <c r="P315" s="176"/>
    </row>
    <row r="316" spans="1:16" ht="21.75" customHeight="1" x14ac:dyDescent="0.35">
      <c r="A316" s="162"/>
      <c r="B316" s="163"/>
      <c r="C316" s="163"/>
      <c r="D316" s="172"/>
      <c r="E316" s="165"/>
      <c r="F316" s="165"/>
      <c r="G316" s="177" t="s">
        <v>43</v>
      </c>
      <c r="H316" s="167" t="s">
        <v>12</v>
      </c>
      <c r="I316" s="168"/>
      <c r="J316" s="195"/>
      <c r="K316" s="231"/>
      <c r="L316" s="174">
        <f ca="1">กระบี่!L316+ชุมพร!L316+ตรัง!L316+นครศรีธรรมราช!L316+นราธิวาส!L316+ปัตตานี!L316+พังงา!L316+พัทลุง!L316+ภูเก็ต!L316+ยะลา!L316+ระนอง!L316+สงขลา!L316+สตูล!L316+สุราษฎร์ธานี!L316</f>
        <v>971400</v>
      </c>
      <c r="M316" s="173"/>
      <c r="N316" s="173"/>
      <c r="O316" s="176"/>
      <c r="P316" s="176"/>
    </row>
    <row r="317" spans="1:16" ht="21.75" customHeight="1" x14ac:dyDescent="0.45">
      <c r="A317" s="178"/>
      <c r="B317" s="81"/>
      <c r="C317" s="82" t="s">
        <v>16</v>
      </c>
      <c r="D317" s="549" t="s">
        <v>23</v>
      </c>
      <c r="E317" s="545"/>
      <c r="F317" s="89"/>
      <c r="G317" s="83" t="s">
        <v>18</v>
      </c>
      <c r="H317" s="179" t="s">
        <v>12</v>
      </c>
      <c r="I317" s="168"/>
      <c r="J317" s="195"/>
      <c r="K317" s="231"/>
      <c r="L317" s="93">
        <f>กระบี่!L317+ชุมพร!L317+ตรัง!L317+นครศรีธรรมราช!L317+นราธิวาส!L317+ปัตตานี!L317+พังงา!L317+พัทลุง!L317+ภูเก็ต!L317+ยะลา!L317+ระนอง!L317+สงขลา!L317+สตูล!L317+สุราษฎร์ธานี!L317</f>
        <v>0</v>
      </c>
      <c r="M317" s="93"/>
      <c r="N317" s="42"/>
      <c r="O317" s="93"/>
      <c r="P317" s="93"/>
    </row>
    <row r="318" spans="1:16" ht="21.75" customHeight="1" x14ac:dyDescent="0.45">
      <c r="A318" s="180"/>
      <c r="B318" s="95"/>
      <c r="C318" s="95"/>
      <c r="D318" s="181"/>
      <c r="E318" s="96"/>
      <c r="F318" s="96"/>
      <c r="G318" s="97" t="s">
        <v>19</v>
      </c>
      <c r="H318" s="182" t="s">
        <v>12</v>
      </c>
      <c r="I318" s="168"/>
      <c r="J318" s="195"/>
      <c r="K318" s="231"/>
      <c r="L318" s="91">
        <f ca="1">กระบี่!L318+ชุมพร!L318+ตรัง!L318+นครศรีธรรมราช!L318+นราธิวาส!L318+ปัตตานี!L318+พังงา!L318+พัทลุง!L318+ภูเก็ต!L318+ยะลา!L318+ระนอง!L318+สงขลา!L318+สตูล!L318+สุราษฎร์ธานี!L318</f>
        <v>5950000</v>
      </c>
      <c r="M318" s="101">
        <f ca="1">กระบี่!M318+ชุมพร!M318+ตรัง!M318+นครศรีธรรมราช!M318+นราธิวาส!M318+ปัตตานี!M318+พังงา!M318+พัทลุง!M318+ภูเก็ต!M318+ยะลา!M318+ระนอง!M318+สงขลา!M318+สตูล!M318+สุราษฎร์ธานี!M318</f>
        <v>5950000</v>
      </c>
      <c r="N318" s="91">
        <f ca="1">กระบี่!N318+ชุมพร!N318+ตรัง!N318+นครศรีธรรมราช!N318+นราธิวาส!N318+ปัตตานี!N318+พังงา!N318+พัทลุง!N318+ภูเก็ต!N318+ยะลา!N318+ระนอง!N318+สงขลา!N318+สตูล!N318+สุราษฎร์ธานี!N318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35">
      <c r="A319" s="183"/>
      <c r="B319" s="184"/>
      <c r="C319" s="163" t="s">
        <v>16</v>
      </c>
      <c r="D319" s="185" t="s">
        <v>44</v>
      </c>
      <c r="E319" s="186"/>
      <c r="F319" s="186"/>
      <c r="G319" s="187"/>
      <c r="H319" s="188"/>
      <c r="I319" s="168"/>
      <c r="J319" s="195"/>
      <c r="K319" s="231"/>
      <c r="L319" s="176"/>
      <c r="M319" s="176"/>
      <c r="N319" s="176"/>
      <c r="O319" s="189"/>
      <c r="P319" s="189"/>
    </row>
    <row r="320" spans="1:16" ht="21.75" customHeight="1" x14ac:dyDescent="0.35">
      <c r="A320" s="183"/>
      <c r="B320" s="184"/>
      <c r="C320" s="184"/>
      <c r="D320" s="190">
        <v>1</v>
      </c>
      <c r="E320" s="191" t="s">
        <v>45</v>
      </c>
      <c r="F320" s="192"/>
      <c r="G320" s="193"/>
      <c r="H320" s="194"/>
      <c r="I320" s="195"/>
      <c r="J320" s="195">
        <f ca="1">กระบี่!J320+ชุมพร!J320+ตรัง!J320+นครศรีธรรมราช!J320+นราธิวาส!J320+ปัตตานี!J320+พังงา!J320+พัทลุง!J320+ภูเก็ต!J320+ยะลา!J320+ระนอง!J320+สงขลา!J320+สตูล!J320+สุราษฎร์ธานี!J320</f>
        <v>0</v>
      </c>
      <c r="K320" s="231"/>
      <c r="L320" s="176"/>
      <c r="M320" s="176"/>
      <c r="N320" s="176"/>
      <c r="O320" s="189"/>
      <c r="P320" s="189"/>
    </row>
    <row r="321" spans="1:16" ht="21.75" customHeight="1" x14ac:dyDescent="0.35">
      <c r="A321" s="183"/>
      <c r="B321" s="184"/>
      <c r="C321" s="184"/>
      <c r="D321" s="197">
        <v>2</v>
      </c>
      <c r="E321" s="198" t="s">
        <v>46</v>
      </c>
      <c r="F321" s="199"/>
      <c r="G321" s="200"/>
      <c r="H321" s="194"/>
      <c r="I321" s="195"/>
      <c r="J321" s="195">
        <f ca="1">กระบี่!J321+ชุมพร!J321+ตรัง!J321+นครศรีธรรมราช!J321+นราธิวาส!J321+ปัตตานี!J321+พังงา!J321+พัทลุง!J321+ภูเก็ต!J321+ยะลา!J321+ระนอง!J321+สงขลา!J321+สตูล!J321+สุราษฎร์ธานี!J321</f>
        <v>4</v>
      </c>
      <c r="K321" s="231"/>
      <c r="L321" s="176" t="s">
        <v>40</v>
      </c>
      <c r="M321" s="176"/>
      <c r="N321" s="176" t="s">
        <v>40</v>
      </c>
      <c r="O321" s="189"/>
      <c r="P321" s="189"/>
    </row>
    <row r="322" spans="1:16" ht="21.75" customHeight="1" x14ac:dyDescent="0.35">
      <c r="A322" s="183"/>
      <c r="B322" s="184"/>
      <c r="C322" s="184"/>
      <c r="D322" s="201"/>
      <c r="E322" s="202" t="s">
        <v>47</v>
      </c>
      <c r="F322" s="203"/>
      <c r="G322" s="204"/>
      <c r="H322" s="194"/>
      <c r="I322" s="195"/>
      <c r="J322" s="195">
        <f ca="1">กระบี่!J322+ชุมพร!J322+ตรัง!J322+นครศรีธรรมราช!J322+นราธิวาส!J322+ปัตตานี!J322+พังงา!J322+พัทลุง!J322+ภูเก็ต!J322+ยะลา!J322+ระนอง!J322+สงขลา!J322+สตูล!J322+สุราษฎร์ธานี!J322</f>
        <v>4</v>
      </c>
      <c r="K322" s="231"/>
      <c r="L322" s="176"/>
      <c r="M322" s="176"/>
      <c r="N322" s="176"/>
      <c r="O322" s="189"/>
      <c r="P322" s="189"/>
    </row>
    <row r="323" spans="1:16" ht="21.75" customHeight="1" x14ac:dyDescent="0.35">
      <c r="A323" s="183"/>
      <c r="B323" s="184"/>
      <c r="C323" s="184"/>
      <c r="D323" s="201"/>
      <c r="E323" s="202" t="s">
        <v>48</v>
      </c>
      <c r="F323" s="203"/>
      <c r="G323" s="204"/>
      <c r="H323" s="194"/>
      <c r="I323" s="195"/>
      <c r="J323" s="195">
        <f ca="1">กระบี่!J323+ชุมพร!J323+ตรัง!J323+นครศรีธรรมราช!J323+นราธิวาส!J323+ปัตตานี!J323+พังงา!J323+พัทลุง!J323+ภูเก็ต!J323+ยะลา!J323+ระนอง!J323+สงขลา!J323+สตูล!J323+สุราษฎร์ธานี!J323</f>
        <v>4</v>
      </c>
      <c r="K323" s="231"/>
      <c r="L323" s="176"/>
      <c r="M323" s="176"/>
      <c r="N323" s="176"/>
      <c r="O323" s="189"/>
      <c r="P323" s="189"/>
    </row>
    <row r="324" spans="1:16" ht="21.75" customHeight="1" x14ac:dyDescent="0.35">
      <c r="A324" s="183"/>
      <c r="B324" s="184"/>
      <c r="C324" s="184"/>
      <c r="D324" s="201"/>
      <c r="E324" s="206"/>
      <c r="F324" s="202" t="s">
        <v>117</v>
      </c>
      <c r="G324" s="204"/>
      <c r="H324" s="194" t="s">
        <v>116</v>
      </c>
      <c r="I324" s="195">
        <f ca="1">กระบี่!I324+ชุมพร!I324+ตรัง!I324+นครศรีธรรมราช!I324+นราธิวาส!I324+ปัตตานี!I324+พังงา!I324+พัทลุง!I324+ภูเก็ต!I324+ยะลา!I324+ระนอง!I324+สงขลา!I324+สตูล!I324+สุราษฎร์ธานี!I324</f>
        <v>5</v>
      </c>
      <c r="J324" s="211">
        <f ca="1">กระบี่!J324+ชุมพร!J324+ตรัง!J324+นครศรีธรรมราช!J324+นราธิวาส!J324+ปัตตานี!J324+พังงา!J324+พัทลุง!J324+ภูเก็ต!J324+ยะลา!J324+ระนอง!J324+สงขลา!J324+สตูล!J324+สุราษฎร์ธานี!J324</f>
        <v>3</v>
      </c>
      <c r="K324" s="231">
        <f ca="1">IF(I324&gt;0,J324*100/I324,0)</f>
        <v>60</v>
      </c>
      <c r="L324" s="176"/>
      <c r="M324" s="176"/>
      <c r="N324" s="176"/>
      <c r="O324" s="189"/>
      <c r="P324" s="189"/>
    </row>
    <row r="325" spans="1:16" ht="21.75" customHeight="1" x14ac:dyDescent="0.35">
      <c r="A325" s="183"/>
      <c r="B325" s="184"/>
      <c r="C325" s="184"/>
      <c r="D325" s="201"/>
      <c r="E325" s="202" t="s">
        <v>54</v>
      </c>
      <c r="F325" s="203"/>
      <c r="G325" s="204"/>
      <c r="H325" s="194"/>
      <c r="I325" s="195"/>
      <c r="J325" s="195">
        <f ca="1">กระบี่!J325+ชุมพร!J325+ตรัง!J325+นครศรีธรรมราช!J325+นราธิวาส!J325+ปัตตานี!J325+พังงา!J325+พัทลุง!J325+ภูเก็ต!J325+ยะลา!J325+ระนอง!J325+สงขลา!J325+สตูล!J325+สุราษฎร์ธานี!J325</f>
        <v>0</v>
      </c>
      <c r="K325" s="231"/>
      <c r="L325" s="176"/>
      <c r="M325" s="176"/>
      <c r="N325" s="176"/>
      <c r="O325" s="189"/>
      <c r="P325" s="189"/>
    </row>
    <row r="326" spans="1:16" ht="21.75" customHeight="1" x14ac:dyDescent="0.35">
      <c r="A326" s="183"/>
      <c r="B326" s="184"/>
      <c r="C326" s="184"/>
      <c r="D326" s="213">
        <v>3</v>
      </c>
      <c r="E326" s="214" t="s">
        <v>55</v>
      </c>
      <c r="F326" s="215"/>
      <c r="G326" s="216"/>
      <c r="H326" s="194"/>
      <c r="I326" s="195"/>
      <c r="J326" s="234">
        <f ca="1">กระบี่!J326+ชุมพร!J326+ตรัง!J326+นครศรีธรรมราช!J326+นราธิวาส!J326+ปัตตานี!J326+พังงา!J326+พัทลุง!J326+ภูเก็ต!J326+ยะลา!J326+ระนอง!J326+สงขลา!J326+สตูล!J326+สุราษฎร์ธานี!J326</f>
        <v>0</v>
      </c>
      <c r="K326" s="231"/>
      <c r="L326" s="176"/>
      <c r="M326" s="176"/>
      <c r="N326" s="176"/>
      <c r="O326" s="189"/>
      <c r="P326" s="189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กระบี่!I328+ชุมพร!I328+ตรัง!I328+นครศรีธรรมราช!I328+นราธิวาส!I328+ปัตตานี!I328+พังงา!I328+พัทลุง!I328+ภูเก็ต!I328+ยะลา!I328+ระนอง!I328+สงขลา!I328+สตูล!I328+สุราษฎร์ธานี!I328</f>
        <v>2553</v>
      </c>
      <c r="J328" s="345">
        <f ca="1">กระบี่!J328+ชุมพร!J328+ตรัง!J328+นครศรีธรรมราช!J328+นราธิวาส!J328+ปัตตานี!J328+พังงา!J328+พัทลุง!J328+ภูเก็ต!J328+ยะลา!J328+ระนอง!J328+สงขลา!J328+สตูล!J328+สุราษฎร์ธานี!J328</f>
        <v>743</v>
      </c>
      <c r="K328" s="323">
        <f ca="1">IF(I328&gt;0,J328*100/I328,0)</f>
        <v>29.103016059537797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52" t="s">
        <v>17</v>
      </c>
      <c r="E329" s="543"/>
      <c r="F329" s="543"/>
      <c r="G329" s="543"/>
      <c r="H329" s="153" t="s">
        <v>12</v>
      </c>
      <c r="I329" s="168"/>
      <c r="J329" s="168"/>
      <c r="K329" s="169"/>
      <c r="L329" s="156">
        <f ca="1">กระบี่!L329+ชุมพร!L329+ตรัง!L329+นครศรีธรรมราช!L329+นราธิวาส!L329+ปัตตานี!L329+พังงา!L329+พัทลุง!L329+ภูเก็ต!L329+ยะลา!L329+ระนอง!L329+สงขลา!L329+สตูล!L329+สุราษฎร์ธานี!L329</f>
        <v>12918830</v>
      </c>
      <c r="M329" s="156">
        <f ca="1">กระบี่!M329+ชุมพร!M329+ตรัง!M329+นครศรีธรรมราช!M329+นราธิวาส!M329+ปัตตานี!M329+พังงา!M329+พัทลุง!M329+ภูเก็ต!M329+ยะลา!M329+ระนอง!M329+สงขลา!M329+สตูล!M329+สุราษฎร์ธานี!M329</f>
        <v>7337830</v>
      </c>
      <c r="N329" s="156">
        <f ca="1">กระบี่!N329+ชุมพร!N329+ตรัง!N329+นครศรีธรรมราช!N329+นราธิวาส!N329+ปัตตานี!N329+พังงา!N329+พัทลุง!N329+ภูเก็ต!N329+ยะลา!N329+ระนอง!N329+สงขลา!N329+สตูล!N329+สุราษฎร์ธานี!N329</f>
        <v>5943512</v>
      </c>
      <c r="O329" s="155">
        <f t="shared" ref="O329:O331" ca="1" si="69">IF(L329&gt;0,N329*100/L329,0)</f>
        <v>46.006581091321735</v>
      </c>
      <c r="P329" s="155">
        <f t="shared" ref="P329:P331" ca="1" si="70">IF(M329&gt;0,N329*100/M329,0)</f>
        <v>80.99822427066313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8"/>
      <c r="J330" s="168"/>
      <c r="K330" s="169"/>
      <c r="L330" s="161">
        <f>กระบี่!L330+ชุมพร!L330+ตรัง!L330+นครศรีธรรมราช!L330+นราธิวาส!L330+ปัตตานี!L330+พังงา!L330+พัทลุง!L330+ภูเก็ต!L330+ยะลา!L330+ระนอง!L330+สงขลา!L330+สตูล!L330+สุราษฎร์ธานี!L330</f>
        <v>0</v>
      </c>
      <c r="M330" s="161">
        <f>กระบี่!M330+ชุมพร!M330+ตรัง!M330+นครศรีธรรมราช!M330+นราธิวาส!M330+ปัตตานี!M330+พังงา!M330+พัทลุง!M330+ภูเก็ต!M330+ยะลา!M330+ระนอง!M330+สงขลา!M330+สตูล!M330+สุราษฎร์ธานี!M330</f>
        <v>0</v>
      </c>
      <c r="N330" s="161">
        <f>กระบี่!N330+ชุมพร!N330+ตรัง!N330+นครศรีธรรมราช!N330+นราธิวาส!N330+ปัตตานี!N330+พังงา!N330+พัทลุง!N330+ภูเก็ต!N330+ยะลา!N330+ระนอง!N330+สงขลา!N330+สตูล!N330+สุราษฎร์ธานี!N330</f>
        <v>0</v>
      </c>
      <c r="O330" s="160">
        <f t="shared" si="69"/>
        <v>0</v>
      </c>
      <c r="P330" s="160">
        <f t="shared" si="7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8"/>
      <c r="J331" s="168"/>
      <c r="K331" s="169"/>
      <c r="L331" s="161">
        <f ca="1">กระบี่!L331+ชุมพร!L331+ตรัง!L331+นครศรีธรรมราช!L331+นราธิวาส!L331+ปัตตานี!L331+พังงา!L331+พัทลุง!L331+ภูเก็ต!L331+ยะลา!L331+ระนอง!L331+สงขลา!L331+สตูล!L331+สุราษฎร์ธานี!L331</f>
        <v>12918830</v>
      </c>
      <c r="M331" s="161">
        <f ca="1">กระบี่!M331+ชุมพร!M331+ตรัง!M331+นครศรีธรรมราช!M331+นราธิวาส!M331+ปัตตานี!M331+พังงา!M331+พัทลุง!M331+ภูเก็ต!M331+ยะลา!M331+ระนอง!M331+สงขลา!M331+สตูล!M331+สุราษฎร์ธานี!M331</f>
        <v>7337830</v>
      </c>
      <c r="N331" s="161">
        <f ca="1">กระบี่!N331+ชุมพร!N331+ตรัง!N331+นครศรีธรรมราช!N331+นราธิวาส!N331+ปัตตานี!N331+พังงา!N331+พัทลุง!N331+ภูเก็ต!N331+ยะลา!N331+ระนอง!N331+สงขลา!N331+สตูล!N331+สุราษฎร์ธานี!N331</f>
        <v>5943512</v>
      </c>
      <c r="O331" s="160">
        <f t="shared" ca="1" si="69"/>
        <v>46.006581091321735</v>
      </c>
      <c r="P331" s="160">
        <f t="shared" ca="1" si="70"/>
        <v>80.99822427066313</v>
      </c>
    </row>
    <row r="332" spans="1:16" ht="21.75" customHeight="1" x14ac:dyDescent="0.35">
      <c r="A332" s="162"/>
      <c r="B332" s="163"/>
      <c r="C332" s="163" t="s">
        <v>16</v>
      </c>
      <c r="D332" s="164" t="s">
        <v>38</v>
      </c>
      <c r="E332" s="165"/>
      <c r="F332" s="165"/>
      <c r="G332" s="166" t="s">
        <v>39</v>
      </c>
      <c r="H332" s="167" t="s">
        <v>12</v>
      </c>
      <c r="I332" s="168" t="s">
        <v>40</v>
      </c>
      <c r="J332" s="168"/>
      <c r="K332" s="169"/>
      <c r="L332" s="170">
        <f>กระบี่!L332+ชุมพร!L332+ตรัง!L332+นครศรีธรรมราช!L332+นราธิวาส!L332+ปัตตานี!L332+พังงา!L332+พัทลุง!L332+ภูเก็ต!L332+ยะลา!L332+ระนอง!L332+สงขลา!L332+สตูล!L332+สุราษฎร์ธานี!L332</f>
        <v>0</v>
      </c>
      <c r="M332" s="170">
        <f>กระบี่!M332+ชุมพร!M332+ตรัง!M332+นครศรีธรรมราช!M332+นราธิวาส!M332+ปัตตานี!M332+พังงา!M332+พัทลุง!M332+ภูเก็ต!M332+ยะลา!M332+ระนอง!M332+สงขลา!M332+สตูล!M332+สุราษฎร์ธานี!M332</f>
        <v>0</v>
      </c>
      <c r="N332" s="170">
        <f>กระบี่!N332+ชุมพร!N332+ตรัง!N332+นครศรีธรรมราช!N332+นราธิวาส!N332+ปัตตานี!N332+พังงา!N332+พัทลุง!N332+ภูเก็ต!N332+ยะลา!N332+ระนอง!N332+สงขลา!N332+สตูล!N332+สุราษฎร์ธานี!N332</f>
        <v>0</v>
      </c>
      <c r="O332" s="171">
        <f>+IF(L332&gt;0,N332*100/L332,0)</f>
        <v>0</v>
      </c>
      <c r="P332" s="171"/>
    </row>
    <row r="333" spans="1:16" ht="21.75" customHeight="1" x14ac:dyDescent="0.35">
      <c r="A333" s="162"/>
      <c r="B333" s="163"/>
      <c r="C333" s="163"/>
      <c r="D333" s="172"/>
      <c r="E333" s="165"/>
      <c r="F333" s="165" t="s">
        <v>40</v>
      </c>
      <c r="G333" s="166" t="s">
        <v>41</v>
      </c>
      <c r="H333" s="167" t="s">
        <v>12</v>
      </c>
      <c r="I333" s="168"/>
      <c r="J333" s="168"/>
      <c r="K333" s="169"/>
      <c r="L333" s="173">
        <f ca="1">กระบี่!L333+ชุมพร!L333+ตรัง!L333+นครศรีธรรมราช!L333+นราธิวาส!L333+ปัตตานี!L333+พังงา!L333+พัทลุง!L333+ภูเก็ต!L333+ยะลา!L333+ระนอง!L333+สงขลา!L333+สตูล!L333+สุราษฎร์ธานี!L333</f>
        <v>11889260</v>
      </c>
      <c r="M333" s="174">
        <f ca="1">กระบี่!M333+ชุมพร!M333+ตรัง!M333+นครศรีธรรมราช!M333+นราธิวาส!M333+ปัตตานี!M333+พังงา!M333+พัทลุง!M333+ภูเก็ต!M333+ยะลา!M333+ระนอง!M333+สงขลา!M333+สตูล!M333+สุราษฎร์ธานี!M333</f>
        <v>6308260</v>
      </c>
      <c r="N333" s="175">
        <f ca="1">กระบี่!N333+ชุมพร!N333+ตรัง!N333+นครศรีธรรมราช!N333+นราธิวาส!N333+ปัตตานี!N333+พังงา!N333+พัทลุง!N333+ภูเก็ต!N333+ยะลา!N333+ระนอง!N333+สงขลา!N333+สตูล!N333+สุราษฎร์ธานี!N333</f>
        <v>4913942</v>
      </c>
      <c r="O333" s="176">
        <f ca="1">IF(L333&gt;0,N333*100/L333,0)</f>
        <v>41.330932286786563</v>
      </c>
      <c r="P333" s="176">
        <f ca="1">IF(M333&gt;0,N333*100/M333,0)</f>
        <v>77.896947811282345</v>
      </c>
    </row>
    <row r="334" spans="1:16" ht="21.75" customHeight="1" x14ac:dyDescent="0.35">
      <c r="A334" s="162"/>
      <c r="B334" s="163"/>
      <c r="C334" s="163"/>
      <c r="D334" s="172"/>
      <c r="E334" s="165"/>
      <c r="F334" s="165"/>
      <c r="G334" s="177" t="s">
        <v>42</v>
      </c>
      <c r="H334" s="167" t="s">
        <v>12</v>
      </c>
      <c r="I334" s="168"/>
      <c r="J334" s="168"/>
      <c r="K334" s="169"/>
      <c r="L334" s="174">
        <f ca="1">กระบี่!L334+ชุมพร!L334+ตรัง!L334+นครศรีธรรมราช!L334+นราธิวาส!L334+ปัตตานี!L334+พังงา!L334+พัทลุง!L334+ภูเก็ต!L334+ยะลา!L334+ระนอง!L334+สงขลา!L334+สตูล!L334+สุราษฎร์ธานี!L334</f>
        <v>6929700</v>
      </c>
      <c r="M334" s="173"/>
      <c r="N334" s="173"/>
      <c r="O334" s="176"/>
      <c r="P334" s="176"/>
    </row>
    <row r="335" spans="1:16" ht="21.75" customHeight="1" x14ac:dyDescent="0.35">
      <c r="A335" s="162"/>
      <c r="B335" s="163"/>
      <c r="C335" s="163"/>
      <c r="D335" s="172"/>
      <c r="E335" s="165"/>
      <c r="F335" s="165"/>
      <c r="G335" s="177" t="s">
        <v>43</v>
      </c>
      <c r="H335" s="167" t="s">
        <v>12</v>
      </c>
      <c r="I335" s="168"/>
      <c r="J335" s="168"/>
      <c r="K335" s="169"/>
      <c r="L335" s="174">
        <f ca="1">กระบี่!L335+ชุมพร!L335+ตรัง!L335+นครศรีธรรมราช!L335+นราธิวาส!L335+ปัตตานี!L335+พังงา!L335+พัทลุง!L335+ภูเก็ต!L335+ยะลา!L335+ระนอง!L335+สงขลา!L335+สตูล!L335+สุราษฎร์ธานี!L335</f>
        <v>4959560</v>
      </c>
      <c r="M335" s="173"/>
      <c r="N335" s="173"/>
      <c r="O335" s="176"/>
      <c r="P335" s="176"/>
    </row>
    <row r="336" spans="1:16" ht="21.75" customHeight="1" x14ac:dyDescent="0.45">
      <c r="A336" s="178"/>
      <c r="B336" s="81"/>
      <c r="C336" s="82" t="s">
        <v>16</v>
      </c>
      <c r="D336" s="549" t="s">
        <v>23</v>
      </c>
      <c r="E336" s="545"/>
      <c r="F336" s="89"/>
      <c r="G336" s="83" t="s">
        <v>18</v>
      </c>
      <c r="H336" s="179" t="s">
        <v>12</v>
      </c>
      <c r="I336" s="168"/>
      <c r="J336" s="168"/>
      <c r="K336" s="169"/>
      <c r="L336" s="93">
        <f>กระบี่!L336+ชุมพร!L336+ตรัง!L336+นครศรีธรรมราช!L336+นราธิวาส!L336+ปัตตานี!L336+พังงา!L336+พัทลุง!L336+ภูเก็ต!L336+ยะลา!L336+ระนอง!L336+สงขลา!L336+สตูล!L336+สุราษฎร์ธานี!L336</f>
        <v>0</v>
      </c>
      <c r="M336" s="93"/>
      <c r="N336" s="42"/>
      <c r="O336" s="93"/>
      <c r="P336" s="93"/>
    </row>
    <row r="337" spans="1:16" ht="21.75" customHeight="1" x14ac:dyDescent="0.45">
      <c r="A337" s="180"/>
      <c r="B337" s="95"/>
      <c r="C337" s="95"/>
      <c r="D337" s="181"/>
      <c r="E337" s="96"/>
      <c r="F337" s="96"/>
      <c r="G337" s="97" t="s">
        <v>19</v>
      </c>
      <c r="H337" s="182" t="s">
        <v>12</v>
      </c>
      <c r="I337" s="168"/>
      <c r="J337" s="168"/>
      <c r="K337" s="169"/>
      <c r="L337" s="91">
        <f ca="1">กระบี่!L337+ชุมพร!L337+ตรัง!L337+นครศรีธรรมราช!L337+นราธิวาส!L337+ปัตตานี!L337+พังงา!L337+พัทลุง!L337+ภูเก็ต!L337+ยะลา!L337+ระนอง!L337+สงขลา!L337+สตูล!L337+สุราษฎร์ธานี!L337</f>
        <v>1029570</v>
      </c>
      <c r="M337" s="101">
        <f ca="1">กระบี่!M337+ชุมพร!M337+ตรัง!M337+นครศรีธรรมราช!M337+นราธิวาส!M337+ปัตตานี!M337+พังงา!M337+พัทลุง!M337+ภูเก็ต!M337+ยะลา!M337+ระนอง!M337+สงขลา!M337+สตูล!M337+สุราษฎร์ธานี!M337</f>
        <v>1029570</v>
      </c>
      <c r="N337" s="91">
        <f ca="1">กระบี่!N337+ชุมพร!N337+ตรัง!N337+นครศรีธรรมราช!N337+นราธิวาส!N337+ปัตตานี!N337+พังงา!N337+พัทลุง!N337+ภูเก็ต!N337+ยะลา!N337+ระนอง!N337+สงขลา!N337+สตูล!N337+สุราษฎร์ธานี!N337</f>
        <v>1029570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3"/>
      <c r="B338" s="297"/>
      <c r="C338" s="346" t="s">
        <v>120</v>
      </c>
      <c r="D338" s="203"/>
      <c r="E338" s="203"/>
      <c r="F338" s="203"/>
      <c r="G338" s="204"/>
      <c r="H338" s="188"/>
      <c r="I338" s="347"/>
      <c r="J338" s="347"/>
      <c r="K338" s="348"/>
      <c r="L338" s="189"/>
      <c r="M338" s="189"/>
      <c r="N338" s="189"/>
      <c r="O338" s="349"/>
      <c r="P338" s="349"/>
    </row>
    <row r="339" spans="1:16" ht="21.75" customHeight="1" x14ac:dyDescent="0.35">
      <c r="A339" s="183"/>
      <c r="B339" s="297"/>
      <c r="C339" s="184"/>
      <c r="D339" s="203"/>
      <c r="E339" s="202" t="s">
        <v>121</v>
      </c>
      <c r="F339" s="203"/>
      <c r="G339" s="204"/>
      <c r="H339" s="350" t="s">
        <v>37</v>
      </c>
      <c r="I339" s="211">
        <f ca="1">กระบี่!I339+ชุมพร!I339+ตรัง!I339+นครศรีธรรมราช!I339+นราธิวาส!I339+ปัตตานี!I339+พังงา!I339+พัทลุง!I339+ภูเก็ต!I339+ยะลา!I339+ระนอง!I339+สงขลา!I339+สตูล!I339+สุราษฎร์ธานี!I339</f>
        <v>0</v>
      </c>
      <c r="J339" s="195">
        <f ca="1">กระบี่!J339+ชุมพร!J339+ตรัง!J339+นครศรีธรรมราช!J339+นราธิวาส!J339+ปัตตานี!J339+พังงา!J339+พัทลุง!J339+ภูเก็ต!J339+ยะลา!J339+ระนอง!J339+สงขลา!J339+สตูล!J339+สุราษฎร์ธานี!J339</f>
        <v>1598</v>
      </c>
      <c r="K339" s="348">
        <f t="shared" ref="K339:K346" ca="1" si="71">IF(I339&gt;0,J339*100/I339,0)</f>
        <v>0</v>
      </c>
      <c r="L339" s="189"/>
      <c r="M339" s="189"/>
      <c r="N339" s="189"/>
      <c r="O339" s="349"/>
      <c r="P339" s="349"/>
    </row>
    <row r="340" spans="1:16" ht="21.75" customHeight="1" x14ac:dyDescent="0.35">
      <c r="A340" s="183"/>
      <c r="B340" s="297"/>
      <c r="C340" s="184"/>
      <c r="D340" s="203"/>
      <c r="E340" s="203"/>
      <c r="F340" s="203"/>
      <c r="G340" s="204"/>
      <c r="H340" s="350" t="s">
        <v>122</v>
      </c>
      <c r="I340" s="195">
        <f ca="1">กระบี่!I340+ชุมพร!I340+ตรัง!I340+นครศรีธรรมราช!I340+นราธิวาส!I340+ปัตตานี!I340+พังงา!I340+พัทลุง!I340+ภูเก็ต!I340+ยะลา!I340+ระนอง!I340+สงขลา!I340+สตูล!I340+สุราษฎร์ธานี!I340</f>
        <v>22324</v>
      </c>
      <c r="J340" s="195">
        <f ca="1">กระบี่!J340+ชุมพร!J340+ตรัง!J340+นครศรีธรรมราช!J340+นราธิวาส!J340+ปัตตานี!J340+พังงา!J340+พัทลุง!J340+ภูเก็ต!J340+ยะลา!J340+ระนอง!J340+สงขลา!J340+สตูล!J340+สุราษฎร์ธานี!J340</f>
        <v>14150.30999999999</v>
      </c>
      <c r="K340" s="348">
        <f t="shared" ca="1" si="71"/>
        <v>63.386086722809488</v>
      </c>
      <c r="L340" s="189"/>
      <c r="M340" s="189"/>
      <c r="N340" s="189"/>
      <c r="O340" s="349"/>
      <c r="P340" s="349"/>
    </row>
    <row r="341" spans="1:16" ht="21.75" customHeight="1" x14ac:dyDescent="0.35">
      <c r="A341" s="183"/>
      <c r="B341" s="297"/>
      <c r="C341" s="184"/>
      <c r="D341" s="203"/>
      <c r="E341" s="202" t="s">
        <v>123</v>
      </c>
      <c r="F341" s="203"/>
      <c r="G341" s="204"/>
      <c r="H341" s="188" t="s">
        <v>37</v>
      </c>
      <c r="I341" s="195">
        <f ca="1">กระบี่!I341+ชุมพร!I341+ตรัง!I341+นครศรีธรรมราช!I341+นราธิวาส!I341+ปัตตานี!I341+พังงา!I341+พัทลุง!I341+ภูเก็ต!I341+ยะลา!I341+ระนอง!I341+สงขลา!I341+สตูล!I341+สุราษฎร์ธานี!I341</f>
        <v>2553</v>
      </c>
      <c r="J341" s="195">
        <f ca="1">กระบี่!J341+ชุมพร!J341+ตรัง!J341+นครศรีธรรมราช!J341+นราธิวาส!J341+ปัตตานี!J341+พังงา!J341+พัทลุง!J341+ภูเก็ต!J341+ยะลา!J341+ระนอง!J341+สงขลา!J341+สตูล!J341+สุราษฎร์ธานี!J341</f>
        <v>1813</v>
      </c>
      <c r="K341" s="348">
        <f t="shared" ca="1" si="71"/>
        <v>71.014492753623188</v>
      </c>
      <c r="L341" s="189"/>
      <c r="M341" s="189"/>
      <c r="N341" s="189"/>
      <c r="O341" s="349"/>
      <c r="P341" s="349"/>
    </row>
    <row r="342" spans="1:16" ht="21.75" customHeight="1" x14ac:dyDescent="0.35">
      <c r="A342" s="183"/>
      <c r="B342" s="297"/>
      <c r="C342" s="184"/>
      <c r="D342" s="203"/>
      <c r="E342" s="203"/>
      <c r="F342" s="203"/>
      <c r="G342" s="204"/>
      <c r="H342" s="188" t="s">
        <v>122</v>
      </c>
      <c r="I342" s="351">
        <f ca="1">กระบี่!I342+ชุมพร!I342+ตรัง!I342+นครศรีธรรมราช!I342+นราธิวาส!I342+ปัตตานี!I342+พังงา!I342+พัทลุง!I342+ภูเก็ต!I342+ยะลา!I342+ระนอง!I342+สงขลา!I342+สตูล!I342+สุราษฎร์ธานี!I342</f>
        <v>0</v>
      </c>
      <c r="J342" s="195">
        <f ca="1">กระบี่!J342+ชุมพร!J342+ตรัง!J342+นครศรีธรรมราช!J342+นราธิวาส!J342+ปัตตานี!J342+พังงา!J342+พัทลุง!J342+ภูเก็ต!J342+ยะลา!J342+ระนอง!J342+สงขลา!J342+สตูล!J342+สุราษฎร์ธานี!J342</f>
        <v>17841.599999999999</v>
      </c>
      <c r="K342" s="348">
        <f t="shared" ca="1" si="71"/>
        <v>0</v>
      </c>
      <c r="L342" s="189"/>
      <c r="M342" s="189"/>
      <c r="N342" s="189"/>
      <c r="O342" s="349"/>
      <c r="P342" s="349"/>
    </row>
    <row r="343" spans="1:16" ht="21.75" customHeight="1" x14ac:dyDescent="0.35">
      <c r="A343" s="183"/>
      <c r="B343" s="297"/>
      <c r="C343" s="184"/>
      <c r="D343" s="203"/>
      <c r="E343" s="202" t="s">
        <v>124</v>
      </c>
      <c r="F343" s="203"/>
      <c r="G343" s="204"/>
      <c r="H343" s="188" t="s">
        <v>37</v>
      </c>
      <c r="I343" s="195">
        <f ca="1">กระบี่!I343+ชุมพร!I343+ตรัง!I343+นครศรีธรรมราช!I343+นราธิวาส!I343+ปัตตานี!I343+พังงา!I343+พัทลุง!I343+ภูเก็ต!I343+ยะลา!I343+ระนอง!I343+สงขลา!I343+สตูล!I343+สุราษฎร์ธานี!I343</f>
        <v>2553</v>
      </c>
      <c r="J343" s="195">
        <f ca="1">กระบี่!J343+ชุมพร!J343+ตรัง!J343+นครศรีธรรมราช!J343+นราธิวาส!J343+ปัตตานี!J343+พังงา!J343+พัทลุง!J343+ภูเก็ต!J343+ยะลา!J343+ระนอง!J343+สงขลา!J343+สตูล!J343+สุราษฎร์ธานี!J343</f>
        <v>57</v>
      </c>
      <c r="K343" s="348">
        <f t="shared" ca="1" si="71"/>
        <v>2.2326674500587544</v>
      </c>
      <c r="L343" s="189"/>
      <c r="M343" s="189"/>
      <c r="N343" s="189"/>
      <c r="O343" s="349"/>
      <c r="P343" s="349"/>
    </row>
    <row r="344" spans="1:16" ht="21.75" customHeight="1" x14ac:dyDescent="0.35">
      <c r="A344" s="183"/>
      <c r="B344" s="297"/>
      <c r="C344" s="184"/>
      <c r="D344" s="203"/>
      <c r="E344" s="203"/>
      <c r="F344" s="203"/>
      <c r="G344" s="204"/>
      <c r="H344" s="188" t="s">
        <v>122</v>
      </c>
      <c r="I344" s="351">
        <f ca="1">กระบี่!I344+ชุมพร!I344+ตรัง!I344+นครศรีธรรมราช!I344+นราธิวาส!I344+ปัตตานี!I344+พังงา!I344+พัทลุง!I344+ภูเก็ต!I344+ยะลา!I344+ระนอง!I344+สงขลา!I344+สตูล!I344+สุราษฎร์ธานี!I344</f>
        <v>0</v>
      </c>
      <c r="J344" s="195">
        <f ca="1">กระบี่!J344+ชุมพร!J344+ตรัง!J344+นครศรีธรรมราช!J344+นราธิวาส!J344+ปัตตานี!J344+พังงา!J344+พัทลุง!J344+ภูเก็ต!J344+ยะลา!J344+ระนอง!J344+สงขลา!J344+สตูล!J344+สุราษฎร์ธานี!J344</f>
        <v>310.45</v>
      </c>
      <c r="K344" s="348">
        <f t="shared" ca="1" si="71"/>
        <v>0</v>
      </c>
      <c r="L344" s="189"/>
      <c r="M344" s="189"/>
      <c r="N344" s="189"/>
      <c r="O344" s="349"/>
      <c r="P344" s="349"/>
    </row>
    <row r="345" spans="1:16" ht="21.75" customHeight="1" x14ac:dyDescent="0.35">
      <c r="A345" s="183"/>
      <c r="B345" s="297"/>
      <c r="C345" s="184"/>
      <c r="D345" s="203"/>
      <c r="E345" s="202" t="s">
        <v>125</v>
      </c>
      <c r="F345" s="203"/>
      <c r="G345" s="204"/>
      <c r="H345" s="188" t="s">
        <v>37</v>
      </c>
      <c r="I345" s="195">
        <f ca="1">กระบี่!I345+ชุมพร!I345+ตรัง!I345+นครศรีธรรมราช!I345+นราธิวาส!I345+ปัตตานี!I345+พังงา!I345+พัทลุง!I345+ภูเก็ต!I345+ยะลา!I345+ระนอง!I345+สงขลา!I345+สตูล!I345+สุราษฎร์ธานี!I345</f>
        <v>2553</v>
      </c>
      <c r="J345" s="195">
        <f ca="1">กระบี่!J345+ชุมพร!J345+ตรัง!J345+นครศรีธรรมราช!J345+นราธิวาส!J345+ปัตตานี!J345+พังงา!J345+พัทลุง!J345+ภูเก็ต!J345+ยะลา!J345+ระนอง!J345+สงขลา!J345+สตูล!J345+สุราษฎร์ธานี!J345</f>
        <v>743</v>
      </c>
      <c r="K345" s="348">
        <f t="shared" ca="1" si="71"/>
        <v>29.103016059537797</v>
      </c>
      <c r="L345" s="189"/>
      <c r="M345" s="189"/>
      <c r="N345" s="189"/>
      <c r="O345" s="349"/>
      <c r="P345" s="349"/>
    </row>
    <row r="346" spans="1:16" ht="21.75" customHeight="1" x14ac:dyDescent="0.35">
      <c r="A346" s="241"/>
      <c r="B346" s="352"/>
      <c r="C346" s="242"/>
      <c r="D346" s="352"/>
      <c r="E346" s="353"/>
      <c r="F346" s="353"/>
      <c r="G346" s="354"/>
      <c r="H346" s="355" t="s">
        <v>122</v>
      </c>
      <c r="I346" s="356">
        <f ca="1">กระบี่!I346+ชุมพร!I346+ตรัง!I346+นครศรีธรรมราช!I346+นราธิวาส!I346+ปัตตานี!I346+พังงา!I346+พัทลุง!I346+ภูเก็ต!I346+ยะลา!I346+ระนอง!I346+สงขลา!I346+สตูล!I346+สุราษฎร์ธานี!I346</f>
        <v>0</v>
      </c>
      <c r="J346" s="195">
        <f ca="1">กระบี่!J346+ชุมพร!J346+ตรัง!J346+นครศรีธรรมราช!J346+นราธิวาส!J346+ปัตตานี!J346+พังงา!J346+พัทลุง!J346+ภูเก็ต!J346+ยะลา!J346+ระนอง!J346+สงขลา!J346+สตูล!J346+สุราษฎร์ธานี!J346</f>
        <v>8650.5300000000007</v>
      </c>
      <c r="K346" s="357">
        <f t="shared" ca="1" si="71"/>
        <v>0</v>
      </c>
      <c r="L346" s="252"/>
      <c r="M346" s="252"/>
      <c r="N346" s="252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กระบี่!L347+ชุมพร!L347+ตรัง!L347+นครศรีธรรมราช!L347+นราธิวาส!L347+ปัตตานี!L347+พังงา!L347+พัทลุง!L347+ภูเก็ต!L347+ยะลา!L347+ระนอง!L347+สงขลา!L347+สตูล!L347+สุราษฎร์ธานี!L347</f>
        <v>18291994</v>
      </c>
      <c r="M347" s="364"/>
      <c r="N347" s="364">
        <f ca="1">กระบี่!N347+ชุมพร!N347+ตรัง!N347+นครศรีธรรมราช!N347+นราธิวาส!N347+ปัตตานี!N347+พังงา!N347+พัทลุง!N347+ภูเก็ต!N347+ยะลา!N347+ระนอง!N347+สงขลา!N347+สตูล!N347+สุราษฎร์ธานี!N347</f>
        <v>5136028.9999999981</v>
      </c>
      <c r="O347" s="364">
        <f ca="1">+IF(L347&gt;0,N347*100/L347,0)</f>
        <v>28.078015988852819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กระบี่!I349+ชุมพร!I349+ตรัง!I349+นครศรีธรรมราช!I349+นราธิวาส!I349+ปัตตานี!I349+พังงา!I349+พัทลุง!I349+ภูเก็ต!I349+ยะลา!I349+ระนอง!I349+สงขลา!I349+สตูล!I349+สุราษฎร์ธานี!I349</f>
        <v>793</v>
      </c>
      <c r="J349" s="377">
        <f ca="1">กระบี่!J349+ชุมพร!J349+ตรัง!J349+นครศรีธรรมราช!J349+นราธิวาส!J349+ปัตตานี!J349+พังงา!J349+พัทลุง!J349+ภูเก็ต!J349+ยะลา!J349+ระนอง!J349+สงขลา!J349+สตูล!J349+สุราษฎร์ธานี!J349</f>
        <v>168</v>
      </c>
      <c r="K349" s="378">
        <f t="shared" ref="K349:K350" ca="1" si="72">IF(I349&gt;0,J349*100/I349,0)</f>
        <v>21.185372005044137</v>
      </c>
      <c r="L349" s="379">
        <f ca="1">กระบี่!L349+ชุมพร!L349+ตรัง!L349+นครศรีธรรมราช!L349+นราธิวาส!L349+ปัตตานี!L349+พังงา!L349+พัทลุง!L349+ภูเก็ต!L349+ยะลา!L349+ระนอง!L349+สงขลา!L349+สตูล!L349+สุราษฎร์ธานี!L349</f>
        <v>2192930</v>
      </c>
      <c r="M349" s="379"/>
      <c r="N349" s="379">
        <f ca="1">กระบี่!N349+ชุมพร!N349+ตรัง!N349+นครศรีธรรมราช!N349+นราธิวาส!N349+ปัตตานี!N349+พังงา!N349+พัทลุง!N349+ภูเก็ต!N349+ยะลา!N349+ระนอง!N349+สงขลา!N349+สตูล!N349+สุราษฎร์ธานี!N349</f>
        <v>844823.73</v>
      </c>
      <c r="O349" s="379">
        <f ca="1">+IF(L349&gt;0,N349*100/L349,0)</f>
        <v>38.524883603215791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กระบี่!I350+ชุมพร!I350+ตรัง!I350+นครศรีธรรมราช!I350+นราธิวาส!I350+ปัตตานี!I350+พังงา!I350+พัทลุง!I350+ภูเก็ต!I350+ยะลา!I350+ระนอง!I350+สงขลา!I350+สตูล!I350+สุราษฎร์ธานี!I350</f>
        <v>257</v>
      </c>
      <c r="J350" s="377">
        <f ca="1">กระบี่!J350+ชุมพร!J350+ตรัง!J350+นครศรีธรรมราช!J350+นราธิวาส!J350+ปัตตานี!J350+พังงา!J350+พัทลุง!J350+ภูเก็ต!J350+ยะลา!J350+ระนอง!J350+สงขลา!J350+สตูล!J350+สุราษฎร์ธานี!J350</f>
        <v>162</v>
      </c>
      <c r="K350" s="378">
        <f t="shared" ca="1" si="72"/>
        <v>63.035019455252922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164" t="s">
        <v>38</v>
      </c>
      <c r="E351" s="165"/>
      <c r="F351" s="165"/>
      <c r="G351" s="166" t="s">
        <v>39</v>
      </c>
      <c r="H351" s="167" t="s">
        <v>12</v>
      </c>
      <c r="I351" s="168" t="s">
        <v>40</v>
      </c>
      <c r="J351" s="168"/>
      <c r="K351" s="169"/>
      <c r="L351" s="170">
        <f ca="1">กระบี่!L351+ชุมพร!L351+ตรัง!L351+นครศรีธรรมราช!L351+นราธิวาส!L351+ปัตตานี!L351+พังงา!L351+พัทลุง!L351+ภูเก็ต!L351+ยะลา!L351+ระนอง!L351+สงขลา!L351+สตูล!L351+สุราษฎร์ธานี!L351</f>
        <v>0</v>
      </c>
      <c r="M351" s="170"/>
      <c r="N351" s="170">
        <f ca="1">กระบี่!N351+ชุมพร!N351+ตรัง!N351+นครศรีธรรมราช!N351+นราธิวาส!N351+ปัตตานี!N351+พังงา!N351+พัทลุง!N351+ภูเก็ต!N351+ยะลา!N351+ระนอง!N351+สงขลา!N351+สตูล!N351+สุราษฎร์ธานี!N351</f>
        <v>0</v>
      </c>
      <c r="O351" s="171">
        <f t="shared" ref="O351:O354" ca="1" si="73">+IF(L351&gt;0,N351*100/L351,0)</f>
        <v>0</v>
      </c>
      <c r="P351" s="171"/>
    </row>
    <row r="352" spans="1:16" ht="21.75" customHeight="1" x14ac:dyDescent="0.35">
      <c r="A352" s="162"/>
      <c r="B352" s="163"/>
      <c r="C352" s="163"/>
      <c r="D352" s="172"/>
      <c r="E352" s="165"/>
      <c r="F352" s="165" t="s">
        <v>40</v>
      </c>
      <c r="G352" s="166" t="s">
        <v>41</v>
      </c>
      <c r="H352" s="167" t="s">
        <v>12</v>
      </c>
      <c r="I352" s="168"/>
      <c r="J352" s="168"/>
      <c r="K352" s="169"/>
      <c r="L352" s="171">
        <f ca="1">กระบี่!L352+ชุมพร!L352+ตรัง!L352+นครศรีธรรมราช!L352+นราธิวาส!L352+ปัตตานี!L352+พังงา!L352+พัทลุง!L352+ภูเก็ต!L352+ยะลา!L352+ระนอง!L352+สงขลา!L352+สตูล!L352+สุราษฎร์ธานี!L352</f>
        <v>2192930</v>
      </c>
      <c r="M352" s="171"/>
      <c r="N352" s="170">
        <f ca="1">กระบี่!N352+ชุมพร!N352+ตรัง!N352+นครศรีธรรมราช!N352+นราธิวาส!N352+ปัตตานี!N352+พังงา!N352+พัทลุง!N352+ภูเก็ต!N352+ยะลา!N352+ระนอง!N352+สงขลา!N352+สตูล!N352+สุราษฎร์ธานี!N352</f>
        <v>844823.73</v>
      </c>
      <c r="O352" s="171">
        <f t="shared" ca="1" si="73"/>
        <v>38.524883603215791</v>
      </c>
      <c r="P352" s="171"/>
    </row>
    <row r="353" spans="1:16" ht="21.75" customHeight="1" x14ac:dyDescent="0.35">
      <c r="A353" s="162"/>
      <c r="B353" s="163"/>
      <c r="C353" s="163"/>
      <c r="D353" s="172"/>
      <c r="E353" s="165"/>
      <c r="F353" s="165"/>
      <c r="G353" s="380" t="s">
        <v>129</v>
      </c>
      <c r="H353" s="167" t="s">
        <v>12</v>
      </c>
      <c r="I353" s="168"/>
      <c r="J353" s="168"/>
      <c r="K353" s="169"/>
      <c r="L353" s="176">
        <f ca="1">กระบี่!L353+ชุมพร!L353+ตรัง!L353+นครศรีธรรมราช!L353+นราธิวาส!L353+ปัตตานี!L353+พังงา!L353+พัทลุง!L353+ภูเก็ต!L353+ยะลา!L353+ระนอง!L353+สงขลา!L353+สตูล!L353+สุราษฎร์ธานี!L353</f>
        <v>0</v>
      </c>
      <c r="M353" s="176"/>
      <c r="N353" s="176">
        <f ca="1">กระบี่!N353+ชุมพร!N353+ตรัง!N353+นครศรีธรรมราช!N353+นราธิวาส!N353+ปัตตานี!N353+พังงา!N353+พัทลุง!N353+ภูเก็ต!N353+ยะลา!N353+ระนอง!N353+สงขลา!N353+สตูล!N353+สุราษฎร์ธานี!N353</f>
        <v>0</v>
      </c>
      <c r="O353" s="176">
        <f t="shared" ca="1" si="73"/>
        <v>0</v>
      </c>
      <c r="P353" s="176"/>
    </row>
    <row r="354" spans="1:16" ht="21.75" customHeight="1" x14ac:dyDescent="0.35">
      <c r="A354" s="162"/>
      <c r="B354" s="163"/>
      <c r="C354" s="163"/>
      <c r="D354" s="172"/>
      <c r="E354" s="165"/>
      <c r="F354" s="165"/>
      <c r="G354" s="380" t="s">
        <v>130</v>
      </c>
      <c r="H354" s="167" t="s">
        <v>12</v>
      </c>
      <c r="I354" s="168"/>
      <c r="J354" s="168"/>
      <c r="K354" s="169"/>
      <c r="L354" s="176">
        <f ca="1">กระบี่!L354+ชุมพร!L354+ตรัง!L354+นครศรีธรรมราช!L354+นราธิวาส!L354+ปัตตานี!L354+พังงา!L354+พัทลุง!L354+ภูเก็ต!L354+ยะลา!L354+ระนอง!L354+สงขลา!L354+สตูล!L354+สุราษฎร์ธานี!L354</f>
        <v>2192930</v>
      </c>
      <c r="M354" s="176"/>
      <c r="N354" s="173">
        <f ca="1">กระบี่!N354+ชุมพร!N354+ตรัง!N354+นครศรีธรรมราช!N354+นราธิวาส!N354+ปัตตานี!N354+พังงา!N354+พัทลุง!N354+ภูเก็ต!N354+ยะลา!N354+ระนอง!N354+สงขลา!N354+สตูล!N354+สุราษฎร์ธานี!N354</f>
        <v>844823.73</v>
      </c>
      <c r="O354" s="176">
        <f t="shared" ca="1" si="73"/>
        <v>38.524883603215791</v>
      </c>
      <c r="P354" s="176"/>
    </row>
    <row r="355" spans="1:16" ht="21.75" customHeight="1" x14ac:dyDescent="0.35">
      <c r="A355" s="381"/>
      <c r="B355" s="382"/>
      <c r="C355" s="163"/>
      <c r="D355" s="383"/>
      <c r="E355" s="165"/>
      <c r="F355" s="165"/>
      <c r="G355" s="384" t="s">
        <v>131</v>
      </c>
      <c r="H355" s="167" t="s">
        <v>12</v>
      </c>
      <c r="I355" s="195"/>
      <c r="J355" s="195"/>
      <c r="K355" s="231"/>
      <c r="L355" s="176"/>
      <c r="M355" s="176"/>
      <c r="N355" s="385">
        <f ca="1">กระบี่!N355+ชุมพร!N355+ตรัง!N355+นครศรีธรรมราช!N355+นราธิวาส!N355+ปัตตานี!N355+พังงา!N355+พัทลุง!N355+ภูเก็ต!N355+ยะลา!N355+ระนอง!N355+สงขลา!N355+สตูล!N355+สุราษฎร์ธานี!N355</f>
        <v>211149</v>
      </c>
      <c r="O355" s="176"/>
      <c r="P355" s="176"/>
    </row>
    <row r="356" spans="1:16" ht="21.75" customHeight="1" x14ac:dyDescent="0.35">
      <c r="A356" s="381"/>
      <c r="B356" s="382"/>
      <c r="C356" s="163"/>
      <c r="D356" s="383"/>
      <c r="E356" s="165"/>
      <c r="F356" s="165"/>
      <c r="G356" s="384" t="s">
        <v>132</v>
      </c>
      <c r="H356" s="167" t="s">
        <v>12</v>
      </c>
      <c r="I356" s="195"/>
      <c r="J356" s="195"/>
      <c r="K356" s="231"/>
      <c r="L356" s="176"/>
      <c r="M356" s="176"/>
      <c r="N356" s="385">
        <f ca="1">กระบี่!N356+ชุมพร!N356+ตรัง!N356+นครศรีธรรมราช!N356+นราธิวาส!N356+ปัตตานี!N356+พังงา!N356+พัทลุง!N356+ภูเก็ต!N356+ยะลา!N356+ระนอง!N356+สงขลา!N356+สตูล!N356+สุราษฎร์ธานี!N356</f>
        <v>161700</v>
      </c>
      <c r="O356" s="176"/>
      <c r="P356" s="176"/>
    </row>
    <row r="357" spans="1:16" ht="21.75" customHeight="1" x14ac:dyDescent="0.35">
      <c r="A357" s="381"/>
      <c r="B357" s="382"/>
      <c r="C357" s="163"/>
      <c r="D357" s="383"/>
      <c r="E357" s="165"/>
      <c r="F357" s="165"/>
      <c r="G357" s="384" t="s">
        <v>133</v>
      </c>
      <c r="H357" s="167" t="s">
        <v>12</v>
      </c>
      <c r="I357" s="195"/>
      <c r="J357" s="195"/>
      <c r="K357" s="231"/>
      <c r="L357" s="176"/>
      <c r="M357" s="176"/>
      <c r="N357" s="385">
        <f ca="1">กระบี่!N357+ชุมพร!N357+ตรัง!N357+นครศรีธรรมราช!N357+นราธิวาส!N357+ปัตตานี!N357+พังงา!N357+พัทลุง!N357+ภูเก็ต!N357+ยะลา!N357+ระนอง!N357+สงขลา!N357+สตูล!N357+สุราษฎร์ธานี!N357</f>
        <v>390132.64</v>
      </c>
      <c r="O357" s="176"/>
      <c r="P357" s="176"/>
    </row>
    <row r="358" spans="1:16" ht="21.75" customHeight="1" x14ac:dyDescent="0.35">
      <c r="A358" s="381"/>
      <c r="B358" s="382"/>
      <c r="C358" s="163"/>
      <c r="D358" s="383"/>
      <c r="E358" s="165"/>
      <c r="F358" s="165"/>
      <c r="G358" s="384" t="s">
        <v>134</v>
      </c>
      <c r="H358" s="167" t="s">
        <v>12</v>
      </c>
      <c r="I358" s="195"/>
      <c r="J358" s="195"/>
      <c r="K358" s="231"/>
      <c r="L358" s="176"/>
      <c r="M358" s="176"/>
      <c r="N358" s="385">
        <f ca="1">กระบี่!N358+ชุมพร!N358+ตรัง!N358+นครศรีธรรมราช!N358+นราธิวาส!N358+ปัตตานี!N358+พังงา!N358+พัทลุง!N358+ภูเก็ต!N358+ยะลา!N358+ระนอง!N358+สงขลา!N358+สตูล!N358+สุราษฎร์ธานี!N358</f>
        <v>81842.09</v>
      </c>
      <c r="O358" s="176"/>
      <c r="P358" s="176"/>
    </row>
    <row r="359" spans="1:16" ht="21.75" customHeight="1" x14ac:dyDescent="0.35">
      <c r="A359" s="183"/>
      <c r="B359" s="184"/>
      <c r="C359" s="163" t="s">
        <v>16</v>
      </c>
      <c r="D359" s="185" t="s">
        <v>44</v>
      </c>
      <c r="E359" s="186"/>
      <c r="F359" s="186"/>
      <c r="G359" s="187"/>
      <c r="H359" s="188"/>
      <c r="I359" s="168"/>
      <c r="J359" s="168"/>
      <c r="K359" s="169"/>
      <c r="L359" s="189"/>
      <c r="M359" s="189"/>
      <c r="N359" s="189"/>
      <c r="O359" s="189"/>
      <c r="P359" s="189"/>
    </row>
    <row r="360" spans="1:16" ht="21.75" customHeight="1" x14ac:dyDescent="0.35">
      <c r="A360" s="183"/>
      <c r="B360" s="184"/>
      <c r="C360" s="184"/>
      <c r="D360" s="190">
        <v>1</v>
      </c>
      <c r="E360" s="191" t="s">
        <v>45</v>
      </c>
      <c r="F360" s="192"/>
      <c r="G360" s="193"/>
      <c r="H360" s="194"/>
      <c r="I360" s="195"/>
      <c r="J360" s="205">
        <f ca="1">กระบี่!J360+ชุมพร!J360+ตรัง!J360+นครศรีธรรมราช!J360+นราธิวาส!J360+ปัตตานี!J360+พังงา!J360+พัทลุง!J360+ภูเก็ต!J360+ยะลา!J360+ระนอง!J360+สงขลา!J360+สตูล!J360+สุราษฎร์ธานี!J360</f>
        <v>0</v>
      </c>
      <c r="K360" s="169"/>
      <c r="L360" s="189"/>
      <c r="M360" s="189"/>
      <c r="N360" s="189"/>
      <c r="O360" s="189"/>
      <c r="P360" s="189"/>
    </row>
    <row r="361" spans="1:16" ht="21.75" customHeight="1" x14ac:dyDescent="0.35">
      <c r="A361" s="183"/>
      <c r="B361" s="184"/>
      <c r="C361" s="184"/>
      <c r="D361" s="197">
        <v>2</v>
      </c>
      <c r="E361" s="198" t="s">
        <v>46</v>
      </c>
      <c r="F361" s="199"/>
      <c r="G361" s="200"/>
      <c r="H361" s="194"/>
      <c r="I361" s="195"/>
      <c r="J361" s="196">
        <f ca="1">กระบี่!J361+ชุมพร!J361+ตรัง!J361+นครศรีธรรมราช!J361+นราธิวาส!J361+ปัตตานี!J361+พังงา!J361+พัทลุง!J361+ภูเก็ต!J361+ยะลา!J361+ระนอง!J361+สงขลา!J361+สตูล!J361+สุราษฎร์ธานี!J361</f>
        <v>9</v>
      </c>
      <c r="K361" s="169"/>
      <c r="L361" s="189" t="s">
        <v>40</v>
      </c>
      <c r="M361" s="189"/>
      <c r="N361" s="189" t="s">
        <v>40</v>
      </c>
      <c r="O361" s="189"/>
      <c r="P361" s="189"/>
    </row>
    <row r="362" spans="1:16" ht="21.75" customHeight="1" x14ac:dyDescent="0.35">
      <c r="A362" s="183"/>
      <c r="B362" s="184"/>
      <c r="C362" s="184"/>
      <c r="D362" s="201"/>
      <c r="E362" s="202" t="s">
        <v>47</v>
      </c>
      <c r="F362" s="203"/>
      <c r="G362" s="204"/>
      <c r="H362" s="194"/>
      <c r="I362" s="195"/>
      <c r="J362" s="196">
        <f ca="1">กระบี่!J362+ชุมพร!J362+ตรัง!J362+นครศรีธรรมราช!J362+นราธิวาส!J362+ปัตตานี!J362+พังงา!J362+พัทลุง!J362+ภูเก็ต!J362+ยะลา!J362+ระนอง!J362+สงขลา!J362+สตูล!J362+สุราษฎร์ธานี!J362</f>
        <v>9</v>
      </c>
      <c r="K362" s="169"/>
      <c r="L362" s="189"/>
      <c r="M362" s="189"/>
      <c r="N362" s="189"/>
      <c r="O362" s="189"/>
      <c r="P362" s="189"/>
    </row>
    <row r="363" spans="1:16" ht="21.75" customHeight="1" x14ac:dyDescent="0.35">
      <c r="A363" s="183"/>
      <c r="B363" s="184"/>
      <c r="C363" s="184"/>
      <c r="D363" s="201"/>
      <c r="E363" s="202" t="s">
        <v>48</v>
      </c>
      <c r="F363" s="203"/>
      <c r="G363" s="204"/>
      <c r="H363" s="194"/>
      <c r="I363" s="195"/>
      <c r="J363" s="205">
        <f ca="1">กระบี่!J363+ชุมพร!J363+ตรัง!J363+นครศรีธรรมราช!J363+นราธิวาส!J363+ปัตตานี!J363+พังงา!J363+พัทลุง!J363+ภูเก็ต!J363+ยะลา!J363+ระนอง!J363+สงขลา!J363+สตูล!J363+สุราษฎร์ธานี!J363</f>
        <v>9</v>
      </c>
      <c r="K363" s="169"/>
      <c r="L363" s="189"/>
      <c r="M363" s="189"/>
      <c r="N363" s="189"/>
      <c r="O363" s="189"/>
      <c r="P363" s="189"/>
    </row>
    <row r="364" spans="1:16" ht="21.75" hidden="1" customHeight="1" x14ac:dyDescent="0.35">
      <c r="A364" s="183"/>
      <c r="B364" s="184"/>
      <c r="C364" s="184"/>
      <c r="D364" s="201"/>
      <c r="E364" s="206"/>
      <c r="F364" s="202" t="s">
        <v>70</v>
      </c>
      <c r="G364" s="204"/>
      <c r="H364" s="188"/>
      <c r="I364" s="195"/>
      <c r="J364" s="195">
        <f ca="1">กระบี่!J364+ชุมพร!J364+ตรัง!J364+นครศรีธรรมราช!J364+นราธิวาส!J364+ปัตตานี!J364+พังงา!J364+พัทลุง!J364+ภูเก็ต!J364+ยะลา!J364+ระนอง!J364+สงขลา!J364+สตูล!J364+สุราษฎร์ธานี!J364</f>
        <v>0</v>
      </c>
      <c r="K364" s="169"/>
      <c r="L364" s="189"/>
      <c r="M364" s="189"/>
      <c r="N364" s="189"/>
      <c r="O364" s="189"/>
      <c r="P364" s="189"/>
    </row>
    <row r="365" spans="1:16" ht="21.75" hidden="1" customHeight="1" x14ac:dyDescent="0.35">
      <c r="A365" s="183"/>
      <c r="B365" s="184"/>
      <c r="C365" s="184"/>
      <c r="D365" s="201"/>
      <c r="E365" s="206"/>
      <c r="F365" s="203"/>
      <c r="G365" s="233" t="s">
        <v>135</v>
      </c>
      <c r="H365" s="188" t="s">
        <v>37</v>
      </c>
      <c r="I365" s="195">
        <f ca="1">IFERROR(__xludf.DUMMYFUNCTION("IMPORTRANGE(""https://docs.google.com/spreadsheets/d/1C3CXT74ZlgGe6_JY_1olB1XN4rF0dxEuIIF-xsYjHgg/edit?usp=sharing"",""งบกองทุน!f63"")"),0)</f>
        <v>0</v>
      </c>
      <c r="J365" s="195">
        <f ca="1">กระบี่!J365+ชุมพร!J365+ตรัง!J365+นครศรีธรรมราช!J365+นราธิวาส!J365+ปัตตานี!J365+พังงา!J365+พัทลุง!J365+ภูเก็ต!J365+ยะลา!J365+ระนอง!J365+สงขลา!J365+สตูล!J365+สุราษฎร์ธานี!J365</f>
        <v>0</v>
      </c>
      <c r="K365" s="169">
        <f ca="1">IF(I365&gt;0,J365*100/I365,0)</f>
        <v>0</v>
      </c>
      <c r="L365" s="189"/>
      <c r="M365" s="189"/>
      <c r="N365" s="189"/>
      <c r="O365" s="189"/>
      <c r="P365" s="189"/>
    </row>
    <row r="366" spans="1:16" ht="21.75" hidden="1" customHeight="1" x14ac:dyDescent="0.35">
      <c r="A366" s="183"/>
      <c r="B366" s="184"/>
      <c r="C366" s="184"/>
      <c r="D366" s="201"/>
      <c r="E366" s="206"/>
      <c r="F366" s="203"/>
      <c r="G366" s="204" t="s">
        <v>136</v>
      </c>
      <c r="H366" s="188"/>
      <c r="I366" s="168"/>
      <c r="J366" s="195">
        <f ca="1">กระบี่!J366+ชุมพร!J366+ตรัง!J366+นครศรีธรรมราช!J366+นราธิวาส!J366+ปัตตานี!J366+พังงา!J366+พัทลุง!J366+ภูเก็ต!J366+ยะลา!J366+ระนอง!J366+สงขลา!J366+สตูล!J366+สุราษฎร์ธานี!J366</f>
        <v>0</v>
      </c>
      <c r="K366" s="169"/>
      <c r="L366" s="189"/>
      <c r="M366" s="189"/>
      <c r="N366" s="189"/>
      <c r="O366" s="189"/>
      <c r="P366" s="189"/>
    </row>
    <row r="367" spans="1:16" ht="21.75" hidden="1" customHeight="1" x14ac:dyDescent="0.35">
      <c r="A367" s="183"/>
      <c r="B367" s="184"/>
      <c r="C367" s="184"/>
      <c r="D367" s="201"/>
      <c r="E367" s="206"/>
      <c r="F367" s="203"/>
      <c r="G367" s="233" t="s">
        <v>137</v>
      </c>
      <c r="H367" s="194" t="s">
        <v>122</v>
      </c>
      <c r="I367" s="195">
        <f ca="1">SUM(I369,I371)</f>
        <v>0</v>
      </c>
      <c r="J367" s="195">
        <f ca="1">กระบี่!J367+ชุมพร!J367+ตรัง!J367+นครศรีธรรมราช!J367+นราธิวาส!J367+ปัตตานี!J367+พังงา!J367+พัทลุง!J367+ภูเก็ต!J367+ยะลา!J367+ระนอง!J367+สงขลา!J367+สตูล!J367+สุราษฎร์ธานี!J367</f>
        <v>0</v>
      </c>
      <c r="K367" s="169">
        <f t="shared" ref="K367:K373" ca="1" si="74">IF(I367&gt;0,J367*100/I367,0)</f>
        <v>0</v>
      </c>
      <c r="L367" s="189"/>
      <c r="M367" s="189"/>
      <c r="N367" s="189"/>
      <c r="O367" s="189"/>
      <c r="P367" s="189"/>
    </row>
    <row r="368" spans="1:16" ht="21.75" customHeight="1" x14ac:dyDescent="0.35">
      <c r="A368" s="183"/>
      <c r="B368" s="184"/>
      <c r="C368" s="184"/>
      <c r="D368" s="201"/>
      <c r="E368" s="206"/>
      <c r="F368" s="386" t="s">
        <v>138</v>
      </c>
      <c r="G368" s="387"/>
      <c r="H368" s="194" t="s">
        <v>37</v>
      </c>
      <c r="I368" s="168">
        <f ca="1">กระบี่!I368+ชุมพร!I368+ตรัง!I368+นครศรีธรรมราช!I368+นราธิวาส!I368+ปัตตานี!I368+พังงา!I368+พัทลุง!I368+ภูเก็ต!I368+ยะลา!I368+ระนอง!I368+สงขลา!I368+สตูล!I368+สุราษฎร์ธานี!I368</f>
        <v>257</v>
      </c>
      <c r="J368" s="195">
        <f ca="1">กระบี่!J368+ชุมพร!J368+ตรัง!J368+นครศรีธรรมราช!J368+นราธิวาส!J368+ปัตตานี!J368+พังงา!J368+พัทลุง!J368+ภูเก็ต!J368+ยะลา!J368+ระนอง!J368+สงขลา!J368+สตูล!J368+สุราษฎร์ธานี!J368</f>
        <v>162</v>
      </c>
      <c r="K368" s="169">
        <f t="shared" ca="1" si="74"/>
        <v>63.035019455252922</v>
      </c>
      <c r="L368" s="189"/>
      <c r="M368" s="189"/>
      <c r="N368" s="189"/>
      <c r="O368" s="189"/>
      <c r="P368" s="189"/>
    </row>
    <row r="369" spans="1:16" ht="21.75" hidden="1" customHeight="1" x14ac:dyDescent="0.35">
      <c r="A369" s="183"/>
      <c r="B369" s="184"/>
      <c r="C369" s="184"/>
      <c r="D369" s="201"/>
      <c r="E369" s="206"/>
      <c r="F369" s="203"/>
      <c r="G369" s="387"/>
      <c r="H369" s="188" t="s">
        <v>122</v>
      </c>
      <c r="I369" s="168">
        <f ca="1">กระบี่!I369+ชุมพร!I369+ตรัง!I369+นครศรีธรรมราช!I369+นราธิวาส!I369+ปัตตานี!I369+พังงา!I369+พัทลุง!I369+ภูเก็ต!I369+ยะลา!I369+ระนอง!I369+สงขลา!I369+สตูล!I369+สุราษฎร์ธานี!I369</f>
        <v>0</v>
      </c>
      <c r="J369" s="211">
        <f ca="1">กระบี่!J369+ชุมพร!J369+ตรัง!J369+นครศรีธรรมราช!J369+นราธิวาส!J369+ปัตตานี!J369+พังงา!J369+พัทลุง!J369+ภูเก็ต!J369+ยะลา!J369+ระนอง!J369+สงขลา!J369+สตูล!J369+สุราษฎร์ธานี!J369</f>
        <v>0</v>
      </c>
      <c r="K369" s="169">
        <f t="shared" ca="1" si="74"/>
        <v>0</v>
      </c>
      <c r="L369" s="189"/>
      <c r="M369" s="189"/>
      <c r="N369" s="189"/>
      <c r="O369" s="189"/>
      <c r="P369" s="189"/>
    </row>
    <row r="370" spans="1:16" ht="21.75" customHeight="1" x14ac:dyDescent="0.35">
      <c r="A370" s="183"/>
      <c r="B370" s="184"/>
      <c r="C370" s="184"/>
      <c r="D370" s="201"/>
      <c r="E370" s="206"/>
      <c r="F370" s="203"/>
      <c r="G370" s="386" t="s">
        <v>139</v>
      </c>
      <c r="H370" s="188" t="s">
        <v>37</v>
      </c>
      <c r="I370" s="168">
        <f ca="1">กระบี่!I370+ชุมพร!I370+ตรัง!I370+นครศรีธรรมราช!I370+นราธิวาส!I370+ปัตตานี!I370+พังงา!I370+พัทลุง!I370+ภูเก็ต!I370+ยะลา!I370+ระนอง!I370+สงขลา!I370+สตูล!I370+สุราษฎร์ธานี!I370</f>
        <v>257</v>
      </c>
      <c r="J370" s="211">
        <f ca="1">กระบี่!J370+ชุมพร!J370+ตรัง!J370+นครศรีธรรมราช!J370+นราธิวาส!J370+ปัตตานี!J370+พังงา!J370+พัทลุง!J370+ภูเก็ต!J370+ยะลา!J370+ระนอง!J370+สงขลา!J370+สตูล!J370+สุราษฎร์ธานี!J370</f>
        <v>172</v>
      </c>
      <c r="K370" s="169">
        <f t="shared" ca="1" si="74"/>
        <v>66.92607003891051</v>
      </c>
      <c r="L370" s="189"/>
      <c r="M370" s="189"/>
      <c r="N370" s="189"/>
      <c r="O370" s="189"/>
      <c r="P370" s="189"/>
    </row>
    <row r="371" spans="1:16" ht="21.75" hidden="1" customHeight="1" x14ac:dyDescent="0.35">
      <c r="A371" s="183"/>
      <c r="B371" s="184"/>
      <c r="C371" s="184"/>
      <c r="D371" s="201"/>
      <c r="E371" s="206"/>
      <c r="F371" s="203"/>
      <c r="G371" s="387"/>
      <c r="H371" s="188" t="s">
        <v>122</v>
      </c>
      <c r="I371" s="168">
        <f ca="1">กระบี่!I371+ชุมพร!I371+ตรัง!I371+นครศรีธรรมราช!I371+นราธิวาส!I371+ปัตตานี!I371+พังงา!I371+พัทลุง!I371+ภูเก็ต!I371+ยะลา!I371+ระนอง!I371+สงขลา!I371+สตูล!I371+สุราษฎร์ธานี!I371</f>
        <v>0</v>
      </c>
      <c r="J371" s="196">
        <f ca="1">กระบี่!J371+ชุมพร!J371+ตรัง!J371+นครศรีธรรมราช!J371+นราธิวาส!J371+ปัตตานี!J371+พังงา!J371+พัทลุง!J371+ภูเก็ต!J371+ยะลา!J371+ระนอง!J371+สงขลา!J371+สตูล!J371+สุราษฎร์ธานี!J371</f>
        <v>0</v>
      </c>
      <c r="K371" s="169">
        <f t="shared" ca="1" si="74"/>
        <v>0</v>
      </c>
      <c r="L371" s="189"/>
      <c r="M371" s="189"/>
      <c r="N371" s="189"/>
      <c r="O371" s="189"/>
      <c r="P371" s="189"/>
    </row>
    <row r="372" spans="1:16" ht="21.75" customHeight="1" x14ac:dyDescent="0.35">
      <c r="A372" s="183"/>
      <c r="B372" s="184"/>
      <c r="C372" s="184"/>
      <c r="D372" s="201"/>
      <c r="E372" s="206"/>
      <c r="F372" s="203"/>
      <c r="G372" s="386" t="s">
        <v>140</v>
      </c>
      <c r="H372" s="188" t="s">
        <v>37</v>
      </c>
      <c r="I372" s="168">
        <f ca="1">กระบี่!I372+ชุมพร!I372+ตรัง!I372+นครศรีธรรมราช!I372+นราธิวาส!I372+ปัตตานี!I372+พังงา!I372+พัทลุง!I372+ภูเก็ต!I372+ยะลา!I372+ระนอง!I372+สงขลา!I372+สตูล!I372+สุราษฎร์ธานี!I372</f>
        <v>257</v>
      </c>
      <c r="J372" s="196">
        <f ca="1">กระบี่!J372+ชุมพร!J372+ตรัง!J372+นครศรีธรรมราช!J372+นราธิวาส!J372+ปัตตานี!J372+พังงา!J372+พัทลุง!J372+ภูเก็ต!J372+ยะลา!J372+ระนอง!J372+สงขลา!J372+สตูล!J372+สุราษฎร์ธานี!J372</f>
        <v>162</v>
      </c>
      <c r="K372" s="169">
        <f t="shared" ca="1" si="74"/>
        <v>63.035019455252922</v>
      </c>
      <c r="L372" s="189"/>
      <c r="M372" s="189"/>
      <c r="N372" s="189"/>
      <c r="O372" s="189"/>
      <c r="P372" s="189"/>
    </row>
    <row r="373" spans="1:16" ht="21.75" hidden="1" customHeight="1" x14ac:dyDescent="0.35">
      <c r="A373" s="183"/>
      <c r="B373" s="184"/>
      <c r="C373" s="184"/>
      <c r="D373" s="201"/>
      <c r="E373" s="206"/>
      <c r="F373" s="203"/>
      <c r="G373" s="233" t="s">
        <v>141</v>
      </c>
      <c r="H373" s="188" t="s">
        <v>37</v>
      </c>
      <c r="I373" s="195">
        <f ca="1">กระบี่!I373+ชุมพร!I373+ตรัง!I373+นครศรีธรรมราช!I373+นราธิวาส!I373+ปัตตานี!I373+พังงา!I373+พัทลุง!I373+ภูเก็ต!I373+ยะลา!I373+ระนอง!I373+สงขลา!I373+สตูล!I373+สุราษฎร์ธานี!I373</f>
        <v>0</v>
      </c>
      <c r="J373" s="211">
        <f ca="1">กระบี่!J373+ชุมพร!J373+ตรัง!J373+นครศรีธรรมราช!J373+นราธิวาส!J373+ปัตตานี!J373+พังงา!J373+พัทลุง!J373+ภูเก็ต!J373+ยะลา!J373+ระนอง!J373+สงขลา!J373+สตูล!J373+สุราษฎร์ธานี!J373</f>
        <v>0</v>
      </c>
      <c r="K373" s="169">
        <f t="shared" ca="1" si="74"/>
        <v>0</v>
      </c>
      <c r="L373" s="189"/>
      <c r="M373" s="189"/>
      <c r="N373" s="189"/>
      <c r="O373" s="189"/>
      <c r="P373" s="189"/>
    </row>
    <row r="374" spans="1:16" ht="21.75" hidden="1" customHeight="1" x14ac:dyDescent="0.35">
      <c r="A374" s="183"/>
      <c r="B374" s="184"/>
      <c r="C374" s="184"/>
      <c r="D374" s="201"/>
      <c r="E374" s="206"/>
      <c r="F374" s="203"/>
      <c r="G374" s="204" t="s">
        <v>142</v>
      </c>
      <c r="H374" s="188"/>
      <c r="I374" s="195">
        <f ca="1">กระบี่!I374+ชุมพร!I374+ตรัง!I374+นครศรีธรรมราช!I374+นราธิวาส!I374+ปัตตานี!I374+พังงา!I374+พัทลุง!I374+ภูเก็ต!I374+ยะลา!I374+ระนอง!I374+สงขลา!I374+สตูล!I374+สุราษฎร์ธานี!I374</f>
        <v>0</v>
      </c>
      <c r="J374" s="195">
        <f ca="1">กระบี่!J374+ชุมพร!J374+ตรัง!J374+นครศรีธรรมราช!J374+นราธิวาส!J374+ปัตตานี!J374+พังงา!J374+พัทลุง!J374+ภูเก็ต!J374+ยะลา!J374+ระนอง!J374+สงขลา!J374+สตูล!J374+สุราษฎร์ธานี!J374</f>
        <v>0</v>
      </c>
      <c r="K374" s="169"/>
      <c r="L374" s="189"/>
      <c r="M374" s="189"/>
      <c r="N374" s="189"/>
      <c r="O374" s="189"/>
      <c r="P374" s="189"/>
    </row>
    <row r="375" spans="1:16" ht="21.75" customHeight="1" x14ac:dyDescent="0.35">
      <c r="A375" s="183"/>
      <c r="B375" s="184"/>
      <c r="C375" s="184"/>
      <c r="D375" s="201"/>
      <c r="E375" s="203"/>
      <c r="F375" s="212" t="s">
        <v>53</v>
      </c>
      <c r="G375" s="204"/>
      <c r="H375" s="286" t="s">
        <v>122</v>
      </c>
      <c r="I375" s="195">
        <f ca="1">กระบี่!I375+ชุมพร!I375+ตรัง!I375+นครศรีธรรมราช!I375+นราธิวาส!I375+ปัตตานี!I375+พังงา!I375+พัทลุง!I375+ภูเก็ต!I375+ยะลา!I375+ระนอง!I375+สงขลา!I375+สตูล!I375+สุราษฎร์ธานี!I375</f>
        <v>793</v>
      </c>
      <c r="J375" s="195">
        <f ca="1">กระบี่!J375+ชุมพร!J375+ตรัง!J375+นครศรีธรรมราช!J375+นราธิวาส!J375+ปัตตานี!J375+พังงา!J375+พัทลุง!J375+ภูเก็ต!J375+ยะลา!J375+ระนอง!J375+สงขลา!J375+สตูล!J375+สุราษฎร์ธานี!J375</f>
        <v>168</v>
      </c>
      <c r="K375" s="169">
        <f t="shared" ref="K375:K377" ca="1" si="75">IF(I375&gt;0,J375*100/I375,0)</f>
        <v>21.185372005044137</v>
      </c>
      <c r="L375" s="189"/>
      <c r="M375" s="189"/>
      <c r="N375" s="189"/>
      <c r="O375" s="189"/>
      <c r="P375" s="189"/>
    </row>
    <row r="376" spans="1:16" ht="21.75" customHeight="1" x14ac:dyDescent="0.35">
      <c r="A376" s="183"/>
      <c r="B376" s="184"/>
      <c r="C376" s="184"/>
      <c r="D376" s="201"/>
      <c r="E376" s="203"/>
      <c r="F376" s="203"/>
      <c r="G376" s="287" t="s">
        <v>143</v>
      </c>
      <c r="H376" s="286" t="s">
        <v>122</v>
      </c>
      <c r="I376" s="195">
        <f ca="1">กระบี่!I376+ชุมพร!I376+ตรัง!I376+นครศรีธรรมราช!I376+นราธิวาส!I376+ปัตตานี!I376+พังงา!I376+พัทลุง!I376+ภูเก็ต!I376+ยะลา!I376+ระนอง!I376+สงขลา!I376+สตูล!I376+สุราษฎร์ธานี!I376</f>
        <v>250</v>
      </c>
      <c r="J376" s="196">
        <f ca="1">กระบี่!J376+ชุมพร!J376+ตรัง!J376+นครศรีธรรมราช!J376+นราธิวาส!J376+ปัตตานี!J376+พังงา!J376+พัทลุง!J376+ภูเก็ต!J376+ยะลา!J376+ระนอง!J376+สงขลา!J376+สตูล!J376+สุราษฎร์ธานี!J376</f>
        <v>60</v>
      </c>
      <c r="K376" s="169">
        <f t="shared" ca="1" si="75"/>
        <v>24</v>
      </c>
      <c r="L376" s="189"/>
      <c r="M376" s="189"/>
      <c r="N376" s="189"/>
      <c r="O376" s="189"/>
      <c r="P376" s="189"/>
    </row>
    <row r="377" spans="1:16" ht="21.75" customHeight="1" x14ac:dyDescent="0.35">
      <c r="A377" s="183"/>
      <c r="B377" s="184"/>
      <c r="C377" s="184"/>
      <c r="D377" s="201"/>
      <c r="E377" s="203"/>
      <c r="F377" s="203"/>
      <c r="G377" s="287" t="s">
        <v>144</v>
      </c>
      <c r="H377" s="286" t="s">
        <v>122</v>
      </c>
      <c r="I377" s="195">
        <f ca="1">กระบี่!I377+ชุมพร!I377+ตรัง!I377+นครศรีธรรมราช!I377+นราธิวาส!I377+ปัตตานี!I377+พังงา!I377+พัทลุง!I377+ภูเก็ต!I377+ยะลา!I377+ระนอง!I377+สงขลา!I377+สตูล!I377+สุราษฎร์ธานี!I377</f>
        <v>543</v>
      </c>
      <c r="J377" s="211">
        <f ca="1">กระบี่!J377+ชุมพร!J377+ตรัง!J377+นครศรีธรรมราช!J377+นราธิวาส!J377+ปัตตานี!J377+พังงา!J377+พัทลุง!J377+ภูเก็ต!J377+ยะลา!J377+ระนอง!J377+สงขลา!J377+สตูล!J377+สุราษฎร์ธานี!J377</f>
        <v>108</v>
      </c>
      <c r="K377" s="169">
        <f t="shared" ca="1" si="75"/>
        <v>19.88950276243094</v>
      </c>
      <c r="L377" s="189"/>
      <c r="M377" s="189"/>
      <c r="N377" s="189"/>
      <c r="O377" s="189"/>
      <c r="P377" s="189"/>
    </row>
    <row r="378" spans="1:16" ht="21.75" customHeight="1" x14ac:dyDescent="0.35">
      <c r="A378" s="183"/>
      <c r="B378" s="184"/>
      <c r="C378" s="184"/>
      <c r="D378" s="201"/>
      <c r="E378" s="202" t="s">
        <v>54</v>
      </c>
      <c r="F378" s="203"/>
      <c r="G378" s="204"/>
      <c r="H378" s="194"/>
      <c r="I378" s="195"/>
      <c r="J378" s="205">
        <f ca="1">กระบี่!J378+ชุมพร!J378+ตรัง!J378+นครศรีธรรมราช!J378+นราธิวาส!J378+ปัตตานี!J378+พังงา!J378+พัทลุง!J378+ภูเก็ต!J378+ยะลา!J378+ระนอง!J378+สงขลา!J378+สตูล!J378+สุราษฎร์ธานี!J378</f>
        <v>0</v>
      </c>
      <c r="K378" s="169"/>
      <c r="L378" s="189"/>
      <c r="M378" s="189"/>
      <c r="N378" s="189"/>
      <c r="O378" s="189"/>
      <c r="P378" s="189"/>
    </row>
    <row r="379" spans="1:16" ht="21.75" customHeight="1" x14ac:dyDescent="0.35">
      <c r="A379" s="183"/>
      <c r="B379" s="184"/>
      <c r="C379" s="184"/>
      <c r="D379" s="213">
        <v>3</v>
      </c>
      <c r="E379" s="214" t="s">
        <v>55</v>
      </c>
      <c r="F379" s="215"/>
      <c r="G379" s="216"/>
      <c r="H379" s="194"/>
      <c r="I379" s="195"/>
      <c r="J379" s="217">
        <f ca="1">กระบี่!J379+ชุมพร!J379+ตรัง!J379+นครศรีธรรมราช!J379+นราธิวาส!J379+ปัตตานี!J379+พังงา!J379+พัทลุง!J379+ภูเก็ต!J379+ยะลา!J379+ระนอง!J379+สงขลา!J379+สตูล!J379+สุราษฎร์ธานี!J379</f>
        <v>0</v>
      </c>
      <c r="K379" s="169"/>
      <c r="L379" s="189"/>
      <c r="M379" s="189"/>
      <c r="N379" s="189"/>
      <c r="O379" s="189"/>
      <c r="P379" s="189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กระบี่!I380+ชุมพร!I380+ตรัง!I380+นครศรีธรรมราช!I380+นราธิวาส!I380+ปัตตานี!I380+พังงา!I380+พัทลุง!I380+ภูเก็ต!I380+ยะลา!I380+ระนอง!I380+สงขลา!I380+สตูล!I380+สุราษฎร์ธานี!I380</f>
        <v>4700</v>
      </c>
      <c r="J380" s="377">
        <f ca="1">กระบี่!J380+ชุมพร!J380+ตรัง!J380+นครศรีธรรมราช!J380+นราธิวาส!J380+ปัตตานี!J380+พังงา!J380+พัทลุง!J380+ภูเก็ต!J380+ยะลา!J380+ระนอง!J380+สงขลา!J380+สตูล!J380+สุราษฎร์ธานี!J380</f>
        <v>150</v>
      </c>
      <c r="K380" s="378">
        <f t="shared" ref="K380:K381" ca="1" si="76">IF(I380&gt;0,J380*100/I380,0)</f>
        <v>3.1914893617021276</v>
      </c>
      <c r="L380" s="379">
        <f ca="1">กระบี่!L380+ชุมพร!L380+ตรัง!L380+นครศรีธรรมราช!L380+นราธิวาส!L380+ปัตตานี!L380+พังงา!L380+พัทลุง!L380+ภูเก็ต!L380+ยะลา!L380+ระนอง!L380+สงขลา!L380+สตูล!L380+สุราษฎร์ธานี!L380</f>
        <v>4832540</v>
      </c>
      <c r="M380" s="379"/>
      <c r="N380" s="379">
        <f ca="1">กระบี่!N380+ชุมพร!N380+ตรัง!N380+นครศรีธรรมราช!N380+นราธิวาส!N380+ปัตตานี!N380+พังงา!N380+พัทลุง!N380+ภูเก็ต!N380+ยะลา!N380+ระนอง!N380+สงขลา!N380+สตูล!N380+สุราษฎร์ธานี!N380</f>
        <v>1029191.289999999</v>
      </c>
      <c r="O380" s="379">
        <f ca="1">+IF(L380&gt;0,N380*100/L380,0)</f>
        <v>21.297108559887739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กระบี่!I381+ชุมพร!I381+ตรัง!I381+นครศรีธรรมราช!I381+นราธิวาส!I381+ปัตตานี!I381+พังงา!I381+พัทลุง!I381+ภูเก็ต!I381+ยะลา!I381+ระนอง!I381+สงขลา!I381+สตูล!I381+สุราษฎร์ธานี!I381</f>
        <v>470</v>
      </c>
      <c r="J381" s="377">
        <f ca="1">กระบี่!J381+ชุมพร!J381+ตรัง!J381+นครศรีธรรมราช!J381+นราธิวาส!J381+ปัตตานี!J381+พังงา!J381+พัทลุง!J381+ภูเก็ต!J381+ยะลา!J381+ระนอง!J381+สงขลา!J381+สตูล!J381+สุราษฎร์ธานี!J381</f>
        <v>320</v>
      </c>
      <c r="K381" s="378">
        <f t="shared" ca="1" si="76"/>
        <v>68.085106382978722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164" t="s">
        <v>38</v>
      </c>
      <c r="E382" s="165"/>
      <c r="F382" s="165"/>
      <c r="G382" s="166" t="s">
        <v>39</v>
      </c>
      <c r="H382" s="167" t="s">
        <v>12</v>
      </c>
      <c r="I382" s="168" t="s">
        <v>40</v>
      </c>
      <c r="J382" s="168"/>
      <c r="K382" s="169"/>
      <c r="L382" s="170">
        <f ca="1">กระบี่!L382+ชุมพร!L382+ตรัง!L382+นครศรีธรรมราช!L382+นราธิวาส!L382+ปัตตานี!L382+พังงา!L382+พัทลุง!L382+ภูเก็ต!L382+ยะลา!L382+ระนอง!L382+สงขลา!L382+สตูล!L382+สุราษฎร์ธานี!L382</f>
        <v>0</v>
      </c>
      <c r="M382" s="170"/>
      <c r="N382" s="170">
        <f ca="1">กระบี่!N382+ชุมพร!N382+ตรัง!N382+นครศรีธรรมราช!N382+นราธิวาส!N382+ปัตตานี!N382+พังงา!N382+พัทลุง!N382+ภูเก็ต!N382+ยะลา!N382+ระนอง!N382+สงขลา!N382+สตูล!N382+สุราษฎร์ธานี!N382</f>
        <v>0</v>
      </c>
      <c r="O382" s="171">
        <f t="shared" ref="O382:O385" ca="1" si="77">+IF(L382&gt;0,N382*100/L382,0)</f>
        <v>0</v>
      </c>
      <c r="P382" s="171"/>
    </row>
    <row r="383" spans="1:16" ht="21.75" customHeight="1" x14ac:dyDescent="0.35">
      <c r="A383" s="162"/>
      <c r="B383" s="163"/>
      <c r="C383" s="163"/>
      <c r="D383" s="172"/>
      <c r="E383" s="165"/>
      <c r="F383" s="165" t="s">
        <v>40</v>
      </c>
      <c r="G383" s="166" t="s">
        <v>41</v>
      </c>
      <c r="H383" s="167" t="s">
        <v>12</v>
      </c>
      <c r="I383" s="168"/>
      <c r="J383" s="168"/>
      <c r="K383" s="169"/>
      <c r="L383" s="171">
        <f ca="1">กระบี่!L383+ชุมพร!L383+ตรัง!L383+นครศรีธรรมราช!L383+นราธิวาส!L383+ปัตตานี!L383+พังงา!L383+พัทลุง!L383+ภูเก็ต!L383+ยะลา!L383+ระนอง!L383+สงขลา!L383+สตูล!L383+สุราษฎร์ธานี!L383</f>
        <v>4832540</v>
      </c>
      <c r="M383" s="171"/>
      <c r="N383" s="171">
        <f ca="1">กระบี่!N383+ชุมพร!N383+ตรัง!N383+นครศรีธรรมราช!N383+นราธิวาส!N383+ปัตตานี!N383+พังงา!N383+พัทลุง!N383+ภูเก็ต!N383+ยะลา!N383+ระนอง!N383+สงขลา!N383+สตูล!N383+สุราษฎร์ธานี!N383</f>
        <v>1029191.289999999</v>
      </c>
      <c r="O383" s="171">
        <f t="shared" ca="1" si="77"/>
        <v>21.297108559887739</v>
      </c>
      <c r="P383" s="171"/>
    </row>
    <row r="384" spans="1:16" ht="21.75" customHeight="1" x14ac:dyDescent="0.35">
      <c r="A384" s="162"/>
      <c r="B384" s="163"/>
      <c r="C384" s="163"/>
      <c r="D384" s="172"/>
      <c r="E384" s="165"/>
      <c r="F384" s="165"/>
      <c r="G384" s="380" t="s">
        <v>129</v>
      </c>
      <c r="H384" s="167" t="s">
        <v>12</v>
      </c>
      <c r="I384" s="168"/>
      <c r="J384" s="168"/>
      <c r="K384" s="169"/>
      <c r="L384" s="176">
        <f ca="1">กระบี่!L384+ชุมพร!L384+ตรัง!L384+นครศรีธรรมราช!L384+นราธิวาส!L384+ปัตตานี!L384+พังงา!L384+พัทลุง!L384+ภูเก็ต!L384+ยะลา!L384+ระนอง!L384+สงขลา!L384+สตูล!L384+สุราษฎร์ธานี!L384</f>
        <v>0</v>
      </c>
      <c r="M384" s="176"/>
      <c r="N384" s="176">
        <f ca="1">กระบี่!N384+ชุมพร!N384+ตรัง!N384+นครศรีธรรมราช!N384+นราธิวาส!N384+ปัตตานี!N384+พังงา!N384+พัทลุง!N384+ภูเก็ต!N384+ยะลา!N384+ระนอง!N384+สงขลา!N384+สตูล!N384+สุราษฎร์ธานี!N384</f>
        <v>0</v>
      </c>
      <c r="O384" s="176">
        <f t="shared" ca="1" si="77"/>
        <v>0</v>
      </c>
      <c r="P384" s="176"/>
    </row>
    <row r="385" spans="1:16" ht="21.75" customHeight="1" x14ac:dyDescent="0.35">
      <c r="A385" s="162"/>
      <c r="B385" s="163"/>
      <c r="C385" s="163"/>
      <c r="D385" s="172"/>
      <c r="E385" s="165"/>
      <c r="F385" s="165"/>
      <c r="G385" s="380" t="s">
        <v>130</v>
      </c>
      <c r="H385" s="167" t="s">
        <v>12</v>
      </c>
      <c r="I385" s="168"/>
      <c r="J385" s="168"/>
      <c r="K385" s="169"/>
      <c r="L385" s="176">
        <f ca="1">กระบี่!L385+ชุมพร!L385+ตรัง!L385+นครศรีธรรมราช!L385+นราธิวาส!L385+ปัตตานี!L385+พังงา!L385+พัทลุง!L385+ภูเก็ต!L385+ยะลา!L385+ระนอง!L385+สงขลา!L385+สตูล!L385+สุราษฎร์ธานี!L385</f>
        <v>4832540</v>
      </c>
      <c r="M385" s="176"/>
      <c r="N385" s="173">
        <f ca="1">กระบี่!N385+ชุมพร!N385+ตรัง!N385+นครศรีธรรมราช!N385+นราธิวาส!N385+ปัตตานี!N385+พังงา!N385+พัทลุง!N385+ภูเก็ต!N385+ยะลา!N385+ระนอง!N385+สงขลา!N385+สตูล!N385+สุราษฎร์ธานี!N385</f>
        <v>1029191.289999999</v>
      </c>
      <c r="O385" s="176">
        <f t="shared" ca="1" si="77"/>
        <v>21.297108559887739</v>
      </c>
      <c r="P385" s="176"/>
    </row>
    <row r="386" spans="1:16" ht="21.75" customHeight="1" x14ac:dyDescent="0.35">
      <c r="A386" s="381"/>
      <c r="B386" s="382"/>
      <c r="C386" s="163"/>
      <c r="D386" s="383"/>
      <c r="E386" s="165"/>
      <c r="F386" s="165"/>
      <c r="G386" s="384" t="s">
        <v>131</v>
      </c>
      <c r="H386" s="167" t="s">
        <v>12</v>
      </c>
      <c r="I386" s="195"/>
      <c r="J386" s="195"/>
      <c r="K386" s="231"/>
      <c r="L386" s="176"/>
      <c r="M386" s="176"/>
      <c r="N386" s="385">
        <f ca="1">กระบี่!N386+ชุมพร!N386+ตรัง!N386+นครศรีธรรมราช!N386+นราธิวาส!N386+ปัตตานี!N386+พังงา!N386+พัทลุง!N386+ภูเก็ต!N386+ยะลา!N386+ระนอง!N386+สงขลา!N386+สตูล!N386+สุราษฎร์ธานี!N386</f>
        <v>729605</v>
      </c>
      <c r="O386" s="176"/>
      <c r="P386" s="176"/>
    </row>
    <row r="387" spans="1:16" ht="21.75" customHeight="1" x14ac:dyDescent="0.35">
      <c r="A387" s="381"/>
      <c r="B387" s="382"/>
      <c r="C387" s="163"/>
      <c r="D387" s="383"/>
      <c r="E387" s="165"/>
      <c r="F387" s="165"/>
      <c r="G387" s="384" t="s">
        <v>132</v>
      </c>
      <c r="H387" s="167" t="s">
        <v>12</v>
      </c>
      <c r="I387" s="195"/>
      <c r="J387" s="195"/>
      <c r="K387" s="231"/>
      <c r="L387" s="176"/>
      <c r="M387" s="176"/>
      <c r="N387" s="385">
        <f ca="1">กระบี่!N387+ชุมพร!N387+ตรัง!N387+นครศรีธรรมราช!N387+นราธิวาส!N387+ปัตตานี!N387+พังงา!N387+พัทลุง!N387+ภูเก็ต!N387+ยะลา!N387+ระนอง!N387+สงขลา!N387+สตูล!N387+สุราษฎร์ธานี!N387</f>
        <v>88600</v>
      </c>
      <c r="O387" s="176"/>
      <c r="P387" s="176"/>
    </row>
    <row r="388" spans="1:16" ht="21.75" customHeight="1" x14ac:dyDescent="0.35">
      <c r="A388" s="381"/>
      <c r="B388" s="382"/>
      <c r="C388" s="163"/>
      <c r="D388" s="383"/>
      <c r="E388" s="165"/>
      <c r="F388" s="165"/>
      <c r="G388" s="384" t="s">
        <v>133</v>
      </c>
      <c r="H388" s="167" t="s">
        <v>12</v>
      </c>
      <c r="I388" s="195"/>
      <c r="J388" s="195"/>
      <c r="K388" s="231"/>
      <c r="L388" s="176"/>
      <c r="M388" s="176"/>
      <c r="N388" s="385">
        <f ca="1">กระบี่!N388+ชุมพร!N388+ตรัง!N388+นครศรีธรรมราช!N388+นราธิวาส!N388+ปัตตานี!N388+พังงา!N388+พัทลุง!N388+ภูเก็ต!N388+ยะลา!N388+ระนอง!N388+สงขลา!N388+สตูล!N388+สุราษฎร์ธานี!N388</f>
        <v>107102.17</v>
      </c>
      <c r="O388" s="176"/>
      <c r="P388" s="176"/>
    </row>
    <row r="389" spans="1:16" ht="21.75" customHeight="1" x14ac:dyDescent="0.35">
      <c r="A389" s="381"/>
      <c r="B389" s="382"/>
      <c r="C389" s="163"/>
      <c r="D389" s="383"/>
      <c r="E389" s="165"/>
      <c r="F389" s="165"/>
      <c r="G389" s="384" t="s">
        <v>134</v>
      </c>
      <c r="H389" s="167" t="s">
        <v>12</v>
      </c>
      <c r="I389" s="195"/>
      <c r="J389" s="195"/>
      <c r="K389" s="231"/>
      <c r="L389" s="176"/>
      <c r="M389" s="176"/>
      <c r="N389" s="385">
        <f ca="1">กระบี่!N389+ชุมพร!N389+ตรัง!N389+นครศรีธรรมราช!N389+นราธิวาส!N389+ปัตตานี!N389+พังงา!N389+พัทลุง!N389+ภูเก็ต!N389+ยะลา!N389+ระนอง!N389+สงขลา!N389+สตูล!N389+สุราษฎร์ธานี!N389</f>
        <v>103884.12</v>
      </c>
      <c r="O389" s="176"/>
      <c r="P389" s="176"/>
    </row>
    <row r="390" spans="1:16" ht="21.75" customHeight="1" x14ac:dyDescent="0.35">
      <c r="A390" s="183"/>
      <c r="B390" s="184"/>
      <c r="C390" s="163" t="s">
        <v>16</v>
      </c>
      <c r="D390" s="185" t="s">
        <v>44</v>
      </c>
      <c r="E390" s="186"/>
      <c r="F390" s="186"/>
      <c r="G390" s="187"/>
      <c r="H390" s="188"/>
      <c r="I390" s="168"/>
      <c r="J390" s="168"/>
      <c r="K390" s="169"/>
      <c r="L390" s="189"/>
      <c r="M390" s="189"/>
      <c r="N390" s="189"/>
      <c r="O390" s="189"/>
      <c r="P390" s="189"/>
    </row>
    <row r="391" spans="1:16" ht="21.75" customHeight="1" x14ac:dyDescent="0.35">
      <c r="A391" s="183"/>
      <c r="B391" s="184"/>
      <c r="C391" s="184"/>
      <c r="D391" s="190">
        <v>1</v>
      </c>
      <c r="E391" s="191" t="s">
        <v>45</v>
      </c>
      <c r="F391" s="192"/>
      <c r="G391" s="193"/>
      <c r="H391" s="194"/>
      <c r="I391" s="195"/>
      <c r="J391" s="205">
        <f ca="1">กระบี่!J391+ชุมพร!J391+ตรัง!J391+นครศรีธรรมราช!J391+นราธิวาส!J391+ปัตตานี!J391+พังงา!J391+พัทลุง!J391+ภูเก็ต!J391+ยะลา!J391+ระนอง!J391+สงขลา!J391+สตูล!J391+สุราษฎร์ธานี!J391</f>
        <v>0</v>
      </c>
      <c r="K391" s="169"/>
      <c r="L391" s="189"/>
      <c r="M391" s="189"/>
      <c r="N391" s="189"/>
      <c r="O391" s="189"/>
      <c r="P391" s="189"/>
    </row>
    <row r="392" spans="1:16" ht="21.75" customHeight="1" x14ac:dyDescent="0.35">
      <c r="A392" s="183"/>
      <c r="B392" s="184"/>
      <c r="C392" s="184"/>
      <c r="D392" s="197">
        <v>2</v>
      </c>
      <c r="E392" s="198" t="s">
        <v>46</v>
      </c>
      <c r="F392" s="199"/>
      <c r="G392" s="200"/>
      <c r="H392" s="194"/>
      <c r="I392" s="195"/>
      <c r="J392" s="196">
        <f ca="1">กระบี่!J392+ชุมพร!J392+ตรัง!J392+นครศรีธรรมราช!J392+นราธิวาส!J392+ปัตตานี!J392+พังงา!J392+พัทลุง!J392+ภูเก็ต!J392+ยะลา!J392+ระนอง!J392+สงขลา!J392+สตูล!J392+สุราษฎร์ธานี!J392</f>
        <v>14</v>
      </c>
      <c r="K392" s="169"/>
      <c r="L392" s="189" t="s">
        <v>40</v>
      </c>
      <c r="M392" s="189"/>
      <c r="N392" s="189" t="s">
        <v>40</v>
      </c>
      <c r="O392" s="189"/>
      <c r="P392" s="189"/>
    </row>
    <row r="393" spans="1:16" ht="21.75" customHeight="1" x14ac:dyDescent="0.35">
      <c r="A393" s="183"/>
      <c r="B393" s="184"/>
      <c r="C393" s="184"/>
      <c r="D393" s="201"/>
      <c r="E393" s="202" t="s">
        <v>47</v>
      </c>
      <c r="F393" s="203"/>
      <c r="G393" s="204"/>
      <c r="H393" s="194"/>
      <c r="I393" s="195"/>
      <c r="J393" s="196">
        <f ca="1">กระบี่!J393+ชุมพร!J393+ตรัง!J393+นครศรีธรรมราช!J393+นราธิวาส!J393+ปัตตานี!J393+พังงา!J393+พัทลุง!J393+ภูเก็ต!J393+ยะลา!J393+ระนอง!J393+สงขลา!J393+สตูล!J393+สุราษฎร์ธานี!J393</f>
        <v>14</v>
      </c>
      <c r="K393" s="169"/>
      <c r="L393" s="189"/>
      <c r="M393" s="189"/>
      <c r="N393" s="189"/>
      <c r="O393" s="189"/>
      <c r="P393" s="189"/>
    </row>
    <row r="394" spans="1:16" ht="21.75" customHeight="1" x14ac:dyDescent="0.35">
      <c r="A394" s="183"/>
      <c r="B394" s="184"/>
      <c r="C394" s="184"/>
      <c r="D394" s="201"/>
      <c r="E394" s="202" t="s">
        <v>48</v>
      </c>
      <c r="F394" s="203"/>
      <c r="G394" s="204"/>
      <c r="H394" s="194"/>
      <c r="I394" s="195"/>
      <c r="J394" s="205">
        <f ca="1">กระบี่!J394+ชุมพร!J394+ตรัง!J394+นครศรีธรรมราช!J394+นราธิวาส!J394+ปัตตานี!J394+พังงา!J394+พัทลุง!J394+ภูเก็ต!J394+ยะลา!J394+ระนอง!J394+สงขลา!J394+สตูล!J394+สุราษฎร์ธานี!J394</f>
        <v>14</v>
      </c>
      <c r="K394" s="169"/>
      <c r="L394" s="189"/>
      <c r="M394" s="189"/>
      <c r="N394" s="189"/>
      <c r="O394" s="189"/>
      <c r="P394" s="189"/>
    </row>
    <row r="395" spans="1:16" ht="21.75" customHeight="1" x14ac:dyDescent="0.35">
      <c r="A395" s="183"/>
      <c r="B395" s="184"/>
      <c r="C395" s="184"/>
      <c r="D395" s="201"/>
      <c r="E395" s="206"/>
      <c r="F395" s="202" t="s">
        <v>146</v>
      </c>
      <c r="G395" s="203"/>
      <c r="H395" s="194"/>
      <c r="I395" s="195"/>
      <c r="J395" s="195"/>
      <c r="K395" s="169"/>
      <c r="L395" s="189"/>
      <c r="M395" s="189"/>
      <c r="N395" s="189"/>
      <c r="O395" s="189"/>
      <c r="P395" s="189"/>
    </row>
    <row r="396" spans="1:16" ht="21.75" customHeight="1" x14ac:dyDescent="0.35">
      <c r="A396" s="183"/>
      <c r="B396" s="184"/>
      <c r="C396" s="184"/>
      <c r="D396" s="201"/>
      <c r="E396" s="206"/>
      <c r="F396" s="203"/>
      <c r="G396" s="299" t="s">
        <v>70</v>
      </c>
      <c r="H396" s="194" t="s">
        <v>37</v>
      </c>
      <c r="I396" s="195">
        <f ca="1">กระบี่!I396+ชุมพร!I396+ตรัง!I396+นครศรีธรรมราช!I396+นราธิวาส!I396+ปัตตานี!I396+พังงา!I396+พัทลุง!I396+ภูเก็ต!I396+ยะลา!I396+ระนอง!I396+สงขลา!I396+สตูล!I396+สุราษฎร์ธานี!I396</f>
        <v>470</v>
      </c>
      <c r="J396" s="205">
        <f ca="1">กระบี่!J396+ชุมพร!J396+ตรัง!J396+นครศรีธรรมราช!J396+นราธิวาส!J396+ปัตตานี!J396+พังงา!J396+พัทลุง!J396+ภูเก็ต!J396+ยะลา!J396+ระนอง!J396+สงขลา!J396+สตูล!J396+สุราษฎร์ธานี!J396</f>
        <v>320</v>
      </c>
      <c r="K396" s="169">
        <f t="shared" ref="K396:K398" ca="1" si="78">IF(I396&gt;0,J396*100/I396,0)</f>
        <v>68.085106382978722</v>
      </c>
      <c r="L396" s="189"/>
      <c r="M396" s="189"/>
      <c r="N396" s="189"/>
      <c r="O396" s="189"/>
      <c r="P396" s="189"/>
    </row>
    <row r="397" spans="1:16" ht="21.75" customHeight="1" x14ac:dyDescent="0.35">
      <c r="A397" s="183"/>
      <c r="B397" s="184"/>
      <c r="C397" s="184"/>
      <c r="D397" s="201"/>
      <c r="E397" s="206"/>
      <c r="F397" s="203"/>
      <c r="G397" s="204" t="s">
        <v>53</v>
      </c>
      <c r="H397" s="194" t="s">
        <v>122</v>
      </c>
      <c r="I397" s="195">
        <f ca="1">กระบี่!I397+ชุมพร!I397+ตรัง!I397+นครศรีธรรมราช!I397+นราธิวาส!I397+ปัตตานี!I397+พังงา!I397+พัทลุง!I397+ภูเก็ต!I397+ยะลา!I397+ระนอง!I397+สงขลา!I397+สตูล!I397+สุราษฎร์ธานี!I397</f>
        <v>4700</v>
      </c>
      <c r="J397" s="205">
        <f ca="1">กระบี่!J397+ชุมพร!J397+ตรัง!J397+นครศรีธรรมราช!J397+นราธิวาส!J397+ปัตตานี!J397+พังงา!J397+พัทลุง!J397+ภูเก็ต!J397+ยะลา!J397+ระนอง!J397+สงขลา!J397+สตูล!J397+สุราษฎร์ธานี!J397</f>
        <v>150</v>
      </c>
      <c r="K397" s="169">
        <f t="shared" ca="1" si="78"/>
        <v>3.1914893617021276</v>
      </c>
      <c r="L397" s="189"/>
      <c r="M397" s="189"/>
      <c r="N397" s="189"/>
      <c r="O397" s="189"/>
      <c r="P397" s="189"/>
    </row>
    <row r="398" spans="1:16" ht="21.75" customHeight="1" x14ac:dyDescent="0.35">
      <c r="A398" s="183"/>
      <c r="B398" s="184"/>
      <c r="C398" s="184"/>
      <c r="D398" s="201"/>
      <c r="E398" s="206"/>
      <c r="F398" s="203"/>
      <c r="G398" s="204"/>
      <c r="H398" s="194" t="s">
        <v>37</v>
      </c>
      <c r="I398" s="195">
        <f ca="1">กระบี่!I398+ชุมพร!I398+ตรัง!I398+นครศรีธรรมราช!I398+นราธิวาส!I398+ปัตตานี!I398+พังงา!I398+พัทลุง!I398+ภูเก็ต!I398+ยะลา!I398+ระนอง!I398+สงขลา!I398+สตูล!I398+สุราษฎร์ธานี!I398</f>
        <v>470</v>
      </c>
      <c r="J398" s="205">
        <f ca="1">กระบี่!J398+ชุมพร!J398+ตรัง!J398+นครศรีธรรมราช!J398+นราธิวาส!J398+ปัตตานี!J398+พังงา!J398+พัทลุง!J398+ภูเก็ต!J398+ยะลา!J398+ระนอง!J398+สงขลา!J398+สตูล!J398+สุราษฎร์ธานี!J398</f>
        <v>15</v>
      </c>
      <c r="K398" s="169">
        <f t="shared" ca="1" si="78"/>
        <v>3.1914893617021276</v>
      </c>
      <c r="L398" s="189"/>
      <c r="M398" s="189"/>
      <c r="N398" s="189"/>
      <c r="O398" s="189"/>
      <c r="P398" s="189"/>
    </row>
    <row r="399" spans="1:16" ht="21.75" customHeight="1" x14ac:dyDescent="0.35">
      <c r="A399" s="183"/>
      <c r="B399" s="184"/>
      <c r="C399" s="184"/>
      <c r="D399" s="201"/>
      <c r="E399" s="202" t="s">
        <v>54</v>
      </c>
      <c r="F399" s="203"/>
      <c r="G399" s="204"/>
      <c r="H399" s="194"/>
      <c r="I399" s="195"/>
      <c r="J399" s="205">
        <f ca="1">กระบี่!J399+ชุมพร!J399+ตรัง!J399+นครศรีธรรมราช!J399+นราธิวาส!J399+ปัตตานี!J399+พังงา!J399+พัทลุง!J399+ภูเก็ต!J399+ยะลา!J399+ระนอง!J399+สงขลา!J399+สตูล!J399+สุราษฎร์ธานี!J399</f>
        <v>0</v>
      </c>
      <c r="K399" s="169"/>
      <c r="L399" s="189"/>
      <c r="M399" s="189"/>
      <c r="N399" s="189"/>
      <c r="O399" s="189"/>
      <c r="P399" s="189"/>
    </row>
    <row r="400" spans="1:16" ht="21.75" customHeight="1" x14ac:dyDescent="0.35">
      <c r="A400" s="183"/>
      <c r="B400" s="184"/>
      <c r="C400" s="184"/>
      <c r="D400" s="213">
        <v>3</v>
      </c>
      <c r="E400" s="214" t="s">
        <v>55</v>
      </c>
      <c r="F400" s="215"/>
      <c r="G400" s="216"/>
      <c r="H400" s="194"/>
      <c r="I400" s="195"/>
      <c r="J400" s="217">
        <f ca="1">กระบี่!J400+ชุมพร!J400+ตรัง!J400+นครศรีธรรมราช!J400+นราธิวาส!J400+ปัตตานี!J400+พังงา!J400+พัทลุง!J400+ภูเก็ต!J400+ยะลา!J400+ระนอง!J400+สงขลา!J400+สตูล!J400+สุราษฎร์ธานี!J400</f>
        <v>0</v>
      </c>
      <c r="K400" s="169"/>
      <c r="L400" s="189"/>
      <c r="M400" s="189"/>
      <c r="N400" s="189"/>
      <c r="O400" s="189"/>
      <c r="P400" s="189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กระบี่!I401+ชุมพร!I401+ตรัง!I401+นครศรีธรรมราช!I401+นราธิวาส!I401+ปัตตานี!I401+พังงา!I401+พัทลุง!I401+ภูเก็ต!I401+ยะลา!I401+ระนอง!I401+สงขลา!I401+สตูล!I401+สุราษฎร์ธานี!I401</f>
        <v>1620</v>
      </c>
      <c r="J401" s="377">
        <f ca="1">กระบี่!J401+ชุมพร!J401+ตรัง!J401+นครศรีธรรมราช!J401+นราธิวาส!J401+ปัตตานี!J401+พังงา!J401+พัทลุง!J401+ภูเก็ต!J401+ยะลา!J401+ระนอง!J401+สงขลา!J401+สตูล!J401+สุราษฎร์ธานี!J401</f>
        <v>720</v>
      </c>
      <c r="K401" s="378">
        <f t="shared" ref="K401:K402" ca="1" si="79">IF(I401&gt;0,J401*100/I401,0)</f>
        <v>44.444444444444443</v>
      </c>
      <c r="L401" s="379">
        <f ca="1">กระบี่!L401+ชุมพร!L401+ตรัง!L401+นครศรีธรรมราช!L401+นราธิวาส!L401+ปัตตานี!L401+พังงา!L401+พัทลุง!L401+ภูเก็ต!L401+ยะลา!L401+ระนอง!L401+สงขลา!L401+สตูล!L401+สุราษฎร์ธานี!L401</f>
        <v>1883810</v>
      </c>
      <c r="M401" s="379"/>
      <c r="N401" s="379">
        <f ca="1">กระบี่!N401+ชุมพร!N401+ตรัง!N401+นครศรีธรรมราช!N401+นราธิวาส!N401+ปัตตานี!N401+พังงา!N401+พัทลุง!N401+ภูเก็ต!N401+ยะลา!N401+ระนอง!N401+สงขลา!N401+สตูล!N401+สุราษฎร์ธานี!N401</f>
        <v>899412</v>
      </c>
      <c r="O401" s="379">
        <f ca="1">+IF(L401&gt;0,N401*100/L401,0)</f>
        <v>47.744305423583057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กระบี่!I402+ชุมพร!I402+ตรัง!I402+นครศรีธรรมราช!I402+นราธิวาส!I402+ปัตตานี!I402+พังงา!I402+พัทลุง!I402+ภูเก็ต!I402+ยะลา!I402+ระนอง!I402+สงขลา!I402+สตูล!I402+สุราษฎร์ธานี!I402</f>
        <v>540</v>
      </c>
      <c r="J402" s="377">
        <f ca="1">กระบี่!J402+ชุมพร!J402+ตรัง!J402+นครศรีธรรมราช!J402+นราธิวาส!J402+ปัตตานี!J402+พังงา!J402+พัทลุง!J402+ภูเก็ต!J402+ยะลา!J402+ระนอง!J402+สงขลา!J402+สตูล!J402+สุราษฎร์ธานี!J402</f>
        <v>300</v>
      </c>
      <c r="K402" s="378">
        <f t="shared" ca="1" si="79"/>
        <v>55.555555555555557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164" t="s">
        <v>38</v>
      </c>
      <c r="E403" s="165"/>
      <c r="F403" s="165"/>
      <c r="G403" s="166" t="s">
        <v>39</v>
      </c>
      <c r="H403" s="167" t="s">
        <v>12</v>
      </c>
      <c r="I403" s="168" t="s">
        <v>40</v>
      </c>
      <c r="J403" s="168"/>
      <c r="K403" s="169"/>
      <c r="L403" s="170">
        <f ca="1">กระบี่!L403+ชุมพร!L403+ตรัง!L403+นครศรีธรรมราช!L403+นราธิวาส!L403+ปัตตานี!L403+พังงา!L403+พัทลุง!L403+ภูเก็ต!L403+ยะลา!L403+ระนอง!L403+สงขลา!L403+สตูล!L403+สุราษฎร์ธานี!L403</f>
        <v>0</v>
      </c>
      <c r="M403" s="170"/>
      <c r="N403" s="176">
        <f ca="1">กระบี่!N403+ชุมพร!N403+ตรัง!N403+นครศรีธรรมราช!N403+นราธิวาส!N403+ปัตตานี!N403+พังงา!N403+พัทลุง!N403+ภูเก็ต!N403+ยะลา!N403+ระนอง!N403+สงขลา!N403+สตูล!N403+สุราษฎร์ธานี!N403</f>
        <v>0</v>
      </c>
      <c r="O403" s="176">
        <f t="shared" ref="O403:O406" ca="1" si="80">+IF(L403&gt;0,N403*100/L403,0)</f>
        <v>0</v>
      </c>
      <c r="P403" s="176"/>
    </row>
    <row r="404" spans="1:16" ht="21.75" customHeight="1" x14ac:dyDescent="0.35">
      <c r="A404" s="162"/>
      <c r="B404" s="163"/>
      <c r="C404" s="163"/>
      <c r="D404" s="172"/>
      <c r="E404" s="165"/>
      <c r="F404" s="165" t="s">
        <v>40</v>
      </c>
      <c r="G404" s="166" t="s">
        <v>41</v>
      </c>
      <c r="H404" s="167" t="s">
        <v>12</v>
      </c>
      <c r="I404" s="168"/>
      <c r="J404" s="168"/>
      <c r="K404" s="169"/>
      <c r="L404" s="171">
        <f ca="1">กระบี่!L404+ชุมพร!L404+ตรัง!L404+นครศรีธรรมราช!L404+นราธิวาส!L404+ปัตตานี!L404+พังงา!L404+พัทลุง!L404+ภูเก็ต!L404+ยะลา!L404+ระนอง!L404+สงขลา!L404+สตูล!L404+สุราษฎร์ธานี!L404</f>
        <v>1883810</v>
      </c>
      <c r="M404" s="171"/>
      <c r="N404" s="176">
        <f ca="1">กระบี่!N404+ชุมพร!N404+ตรัง!N404+นครศรีธรรมราช!N404+นราธิวาส!N404+ปัตตานี!N404+พังงา!N404+พัทลุง!N404+ภูเก็ต!N404+ยะลา!N404+ระนอง!N404+สงขลา!N404+สตูล!N404+สุราษฎร์ธานี!N404</f>
        <v>899412</v>
      </c>
      <c r="O404" s="176">
        <f t="shared" ca="1" si="80"/>
        <v>47.744305423583057</v>
      </c>
      <c r="P404" s="176"/>
    </row>
    <row r="405" spans="1:16" ht="21.75" customHeight="1" x14ac:dyDescent="0.35">
      <c r="A405" s="162"/>
      <c r="B405" s="163"/>
      <c r="C405" s="163"/>
      <c r="D405" s="172"/>
      <c r="E405" s="165"/>
      <c r="F405" s="165"/>
      <c r="G405" s="380" t="s">
        <v>129</v>
      </c>
      <c r="H405" s="167" t="s">
        <v>12</v>
      </c>
      <c r="I405" s="168"/>
      <c r="J405" s="168"/>
      <c r="K405" s="169"/>
      <c r="L405" s="176">
        <f ca="1">กระบี่!L405+ชุมพร!L405+ตรัง!L405+นครศรีธรรมราช!L405+นราธิวาส!L405+ปัตตานี!L405+พังงา!L405+พัทลุง!L405+ภูเก็ต!L405+ยะลา!L405+ระนอง!L405+สงขลา!L405+สตูล!L405+สุราษฎร์ธานี!L405</f>
        <v>0</v>
      </c>
      <c r="M405" s="176"/>
      <c r="N405" s="176">
        <f ca="1">กระบี่!N405+ชุมพร!N405+ตรัง!N405+นครศรีธรรมราช!N405+นราธิวาส!N405+ปัตตานี!N405+พังงา!N405+พัทลุง!N405+ภูเก็ต!N405+ยะลา!N405+ระนอง!N405+สงขลา!N405+สตูล!N405+สุราษฎร์ธานี!N405</f>
        <v>0</v>
      </c>
      <c r="O405" s="176">
        <f t="shared" ca="1" si="80"/>
        <v>0</v>
      </c>
      <c r="P405" s="176"/>
    </row>
    <row r="406" spans="1:16" ht="21.75" customHeight="1" x14ac:dyDescent="0.35">
      <c r="A406" s="162"/>
      <c r="B406" s="163"/>
      <c r="C406" s="163"/>
      <c r="D406" s="172"/>
      <c r="E406" s="165"/>
      <c r="F406" s="165"/>
      <c r="G406" s="380" t="s">
        <v>130</v>
      </c>
      <c r="H406" s="167" t="s">
        <v>12</v>
      </c>
      <c r="I406" s="168"/>
      <c r="J406" s="168"/>
      <c r="K406" s="169"/>
      <c r="L406" s="176">
        <f ca="1">กระบี่!L406+ชุมพร!L406+ตรัง!L406+นครศรีธรรมราช!L406+นราธิวาส!L406+ปัตตานี!L406+พังงา!L406+พัทลุง!L406+ภูเก็ต!L406+ยะลา!L406+ระนอง!L406+สงขลา!L406+สตูล!L406+สุราษฎร์ธานี!L406</f>
        <v>1883810</v>
      </c>
      <c r="M406" s="176"/>
      <c r="N406" s="176">
        <f ca="1">กระบี่!N406+ชุมพร!N406+ตรัง!N406+นครศรีธรรมราช!N406+นราธิวาส!N406+ปัตตานี!N406+พังงา!N406+พัทลุง!N406+ภูเก็ต!N406+ยะลา!N406+ระนอง!N406+สงขลา!N406+สตูล!N406+สุราษฎร์ธานี!N406</f>
        <v>899412</v>
      </c>
      <c r="O406" s="176">
        <f t="shared" ca="1" si="80"/>
        <v>47.744305423583057</v>
      </c>
      <c r="P406" s="176"/>
    </row>
    <row r="407" spans="1:16" ht="21.75" customHeight="1" x14ac:dyDescent="0.35">
      <c r="A407" s="381"/>
      <c r="B407" s="382"/>
      <c r="C407" s="163"/>
      <c r="D407" s="383"/>
      <c r="E407" s="165"/>
      <c r="F407" s="165"/>
      <c r="G407" s="384" t="s">
        <v>131</v>
      </c>
      <c r="H407" s="167" t="s">
        <v>12</v>
      </c>
      <c r="I407" s="195"/>
      <c r="J407" s="195"/>
      <c r="K407" s="231"/>
      <c r="L407" s="176"/>
      <c r="M407" s="176"/>
      <c r="N407" s="385">
        <f ca="1">กระบี่!N407+ชุมพร!N407+ตรัง!N407+นครศรีธรรมราช!N407+นราธิวาส!N407+ปัตตานี!N407+พังงา!N407+พัทลุง!N407+ภูเก็ต!N407+ยะลา!N407+ระนอง!N407+สงขลา!N407+สตูล!N407+สุราษฎร์ธานี!N407</f>
        <v>666785</v>
      </c>
      <c r="O407" s="176"/>
      <c r="P407" s="176"/>
    </row>
    <row r="408" spans="1:16" ht="21.75" customHeight="1" x14ac:dyDescent="0.35">
      <c r="A408" s="381"/>
      <c r="B408" s="382"/>
      <c r="C408" s="163"/>
      <c r="D408" s="383"/>
      <c r="E408" s="165"/>
      <c r="F408" s="165"/>
      <c r="G408" s="384" t="s">
        <v>132</v>
      </c>
      <c r="H408" s="167" t="s">
        <v>12</v>
      </c>
      <c r="I408" s="195"/>
      <c r="J408" s="195"/>
      <c r="K408" s="231"/>
      <c r="L408" s="176"/>
      <c r="M408" s="176"/>
      <c r="N408" s="385">
        <f ca="1">กระบี่!N408+ชุมพร!N408+ตรัง!N408+นครศรีธรรมราช!N408+นราธิวาส!N408+ปัตตานี!N408+พังงา!N408+พัทลุง!N408+ภูเก็ต!N408+ยะลา!N408+ระนอง!N408+สงขลา!N408+สตูล!N408+สุราษฎร์ธานี!N408</f>
        <v>107000</v>
      </c>
      <c r="O408" s="176"/>
      <c r="P408" s="176"/>
    </row>
    <row r="409" spans="1:16" ht="21.75" customHeight="1" x14ac:dyDescent="0.35">
      <c r="A409" s="381"/>
      <c r="B409" s="382"/>
      <c r="C409" s="163"/>
      <c r="D409" s="383"/>
      <c r="E409" s="165"/>
      <c r="F409" s="165"/>
      <c r="G409" s="384" t="s">
        <v>133</v>
      </c>
      <c r="H409" s="167" t="s">
        <v>12</v>
      </c>
      <c r="I409" s="195"/>
      <c r="J409" s="195"/>
      <c r="K409" s="231"/>
      <c r="L409" s="176"/>
      <c r="M409" s="176"/>
      <c r="N409" s="385">
        <f ca="1">กระบี่!N409+ชุมพร!N409+ตรัง!N409+นครศรีธรรมราช!N409+นราธิวาส!N409+ปัตตานี!N409+พังงา!N409+พัทลุง!N409+ภูเก็ต!N409+ยะลา!N409+ระนอง!N409+สงขลา!N409+สตูล!N409+สุราษฎร์ธานี!N409</f>
        <v>0</v>
      </c>
      <c r="O409" s="176"/>
      <c r="P409" s="176"/>
    </row>
    <row r="410" spans="1:16" ht="21.75" customHeight="1" x14ac:dyDescent="0.35">
      <c r="A410" s="381"/>
      <c r="B410" s="382"/>
      <c r="C410" s="163"/>
      <c r="D410" s="383"/>
      <c r="E410" s="165"/>
      <c r="F410" s="165"/>
      <c r="G410" s="384" t="s">
        <v>134</v>
      </c>
      <c r="H410" s="167" t="s">
        <v>12</v>
      </c>
      <c r="I410" s="195"/>
      <c r="J410" s="195"/>
      <c r="K410" s="231"/>
      <c r="L410" s="176"/>
      <c r="M410" s="176"/>
      <c r="N410" s="385">
        <f ca="1">กระบี่!N410+ชุมพร!N410+ตรัง!N410+นครศรีธรรมราช!N410+นราธิวาส!N410+ปัตตานี!N410+พังงา!N410+พัทลุง!N410+ภูเก็ต!N410+ยะลา!N410+ระนอง!N410+สงขลา!N410+สตูล!N410+สุราษฎร์ธานี!N410</f>
        <v>125627</v>
      </c>
      <c r="O410" s="176"/>
      <c r="P410" s="176"/>
    </row>
    <row r="411" spans="1:16" ht="21.75" customHeight="1" x14ac:dyDescent="0.35">
      <c r="A411" s="183"/>
      <c r="B411" s="184"/>
      <c r="C411" s="163" t="s">
        <v>16</v>
      </c>
      <c r="D411" s="185" t="s">
        <v>44</v>
      </c>
      <c r="E411" s="186"/>
      <c r="F411" s="186"/>
      <c r="G411" s="187"/>
      <c r="H411" s="188"/>
      <c r="I411" s="168"/>
      <c r="J411" s="168"/>
      <c r="K411" s="169"/>
      <c r="L411" s="189"/>
      <c r="M411" s="189"/>
      <c r="N411" s="189"/>
      <c r="O411" s="189"/>
      <c r="P411" s="189"/>
    </row>
    <row r="412" spans="1:16" ht="21.75" customHeight="1" x14ac:dyDescent="0.35">
      <c r="A412" s="183"/>
      <c r="B412" s="184"/>
      <c r="C412" s="184"/>
      <c r="D412" s="190">
        <v>1</v>
      </c>
      <c r="E412" s="191" t="s">
        <v>45</v>
      </c>
      <c r="F412" s="192"/>
      <c r="G412" s="193"/>
      <c r="H412" s="194"/>
      <c r="I412" s="195"/>
      <c r="J412" s="205">
        <f ca="1">กระบี่!J412+ชุมพร!J412+ตรัง!J412+นครศรีธรรมราช!J412+นราธิวาส!J412+ปัตตานี!J412+พังงา!J412+พัทลุง!J412+ภูเก็ต!J412+ยะลา!J412+ระนอง!J412+สงขลา!J412+สตูล!J412+สุราษฎร์ธานี!J412</f>
        <v>0</v>
      </c>
      <c r="K412" s="169"/>
      <c r="L412" s="189"/>
      <c r="M412" s="189"/>
      <c r="N412" s="189"/>
      <c r="O412" s="189"/>
      <c r="P412" s="189"/>
    </row>
    <row r="413" spans="1:16" ht="21.75" customHeight="1" x14ac:dyDescent="0.35">
      <c r="A413" s="183"/>
      <c r="B413" s="184"/>
      <c r="C413" s="184"/>
      <c r="D413" s="197">
        <v>2</v>
      </c>
      <c r="E413" s="198" t="s">
        <v>46</v>
      </c>
      <c r="F413" s="199"/>
      <c r="G413" s="200"/>
      <c r="H413" s="194"/>
      <c r="I413" s="195"/>
      <c r="J413" s="196">
        <f ca="1">กระบี่!J413+ชุมพร!J413+ตรัง!J413+นครศรีธรรมราช!J413+นราธิวาส!J413+ปัตตานี!J413+พังงา!J413+พัทลุง!J413+ภูเก็ต!J413+ยะลา!J413+ระนอง!J413+สงขลา!J413+สตูล!J413+สุราษฎร์ธานี!J413</f>
        <v>14</v>
      </c>
      <c r="K413" s="169"/>
      <c r="L413" s="189" t="s">
        <v>40</v>
      </c>
      <c r="M413" s="189"/>
      <c r="N413" s="189" t="s">
        <v>40</v>
      </c>
      <c r="O413" s="189"/>
      <c r="P413" s="189"/>
    </row>
    <row r="414" spans="1:16" ht="21.75" customHeight="1" x14ac:dyDescent="0.35">
      <c r="A414" s="183"/>
      <c r="B414" s="184"/>
      <c r="C414" s="184"/>
      <c r="D414" s="201"/>
      <c r="E414" s="202" t="s">
        <v>47</v>
      </c>
      <c r="F414" s="203"/>
      <c r="G414" s="204"/>
      <c r="H414" s="194"/>
      <c r="I414" s="195"/>
      <c r="J414" s="196">
        <f ca="1">กระบี่!J414+ชุมพร!J414+ตรัง!J414+นครศรีธรรมราช!J414+นราธิวาส!J414+ปัตตานี!J414+พังงา!J414+พัทลุง!J414+ภูเก็ต!J414+ยะลา!J414+ระนอง!J414+สงขลา!J414+สตูล!J414+สุราษฎร์ธานี!J414</f>
        <v>14</v>
      </c>
      <c r="K414" s="169"/>
      <c r="L414" s="189"/>
      <c r="M414" s="189"/>
      <c r="N414" s="189"/>
      <c r="O414" s="189"/>
      <c r="P414" s="189"/>
    </row>
    <row r="415" spans="1:16" ht="21.75" customHeight="1" x14ac:dyDescent="0.35">
      <c r="A415" s="183"/>
      <c r="B415" s="184"/>
      <c r="C415" s="184"/>
      <c r="D415" s="201"/>
      <c r="E415" s="202" t="s">
        <v>48</v>
      </c>
      <c r="F415" s="203"/>
      <c r="G415" s="204"/>
      <c r="H415" s="194"/>
      <c r="I415" s="195"/>
      <c r="J415" s="205">
        <f ca="1">กระบี่!J415+ชุมพร!J415+ตรัง!J415+นครศรีธรรมราช!J415+นราธิวาส!J415+ปัตตานี!J415+พังงา!J415+พัทลุง!J415+ภูเก็ต!J415+ยะลา!J415+ระนอง!J415+สงขลา!J415+สตูล!J415+สุราษฎร์ธานี!J415</f>
        <v>14</v>
      </c>
      <c r="K415" s="169"/>
      <c r="L415" s="189"/>
      <c r="M415" s="189"/>
      <c r="N415" s="189"/>
      <c r="O415" s="189"/>
      <c r="P415" s="189"/>
    </row>
    <row r="416" spans="1:16" ht="21.75" customHeight="1" x14ac:dyDescent="0.35">
      <c r="A416" s="183"/>
      <c r="B416" s="184"/>
      <c r="C416" s="184"/>
      <c r="D416" s="201"/>
      <c r="E416" s="206"/>
      <c r="F416" s="202" t="s">
        <v>70</v>
      </c>
      <c r="G416" s="394"/>
      <c r="H416" s="395" t="s">
        <v>37</v>
      </c>
      <c r="I416" s="208">
        <f ca="1">กระบี่!I416+ชุมพร!I416+ตรัง!I416+นครศรีธรรมราช!I416+นราธิวาส!I416+ปัตตานี!I416+พังงา!I416+พัทลุง!I416+ภูเก็ต!I416+ยะลา!I416+ระนอง!I416+สงขลา!I416+สตูล!I416+สุราษฎร์ธานี!I416</f>
        <v>540</v>
      </c>
      <c r="J416" s="208">
        <f ca="1">กระบี่!J416+ชุมพร!J416+ตรัง!J416+นครศรีธรรมราช!J416+นราธิวาส!J416+ปัตตานี!J416+พังงา!J416+พัทลุง!J416+ภูเก็ต!J416+ยะลา!J416+ระนอง!J416+สงขลา!J416+สตูล!J416+สุราษฎร์ธานี!J416</f>
        <v>300</v>
      </c>
      <c r="K416" s="209">
        <f t="shared" ref="K416:K432" ca="1" si="81">IF(I416&gt;0,J416*100/I416,0)</f>
        <v>55.555555555555557</v>
      </c>
      <c r="L416" s="189"/>
      <c r="M416" s="189"/>
      <c r="N416" s="189"/>
      <c r="O416" s="189"/>
      <c r="P416" s="189"/>
    </row>
    <row r="417" spans="1:16" ht="21.75" customHeight="1" x14ac:dyDescent="0.45">
      <c r="A417" s="183"/>
      <c r="B417" s="184"/>
      <c r="C417" s="184"/>
      <c r="D417" s="201"/>
      <c r="E417" s="206"/>
      <c r="F417" s="396" t="s">
        <v>148</v>
      </c>
      <c r="G417" s="204"/>
      <c r="H417" s="207" t="s">
        <v>37</v>
      </c>
      <c r="I417" s="397">
        <f ca="1">กระบี่!I417+ชุมพร!I417+ตรัง!I417+นครศรีธรรมราช!I417+นราธิวาส!I417+ปัตตานี!I417+พังงา!I417+พัทลุง!I417+ภูเก็ต!I417+ยะลา!I417+ระนอง!I417+สงขลา!I417+สตูล!I417+สุราษฎร์ธานี!I417</f>
        <v>135</v>
      </c>
      <c r="J417" s="398">
        <f ca="1">กระบี่!J417+ชุมพร!J417+ตรัง!J417+นครศรีธรรมราช!J417+นราธิวาส!J417+ปัตตานี!J417+พังงา!J417+พัทลุง!J417+ภูเก็ต!J417+ยะลา!J417+ระนอง!J417+สงขลา!J417+สตูล!J417+สุราษฎร์ธานี!J417</f>
        <v>75</v>
      </c>
      <c r="K417" s="209">
        <f t="shared" ca="1" si="81"/>
        <v>55.555555555555557</v>
      </c>
      <c r="L417" s="189"/>
      <c r="M417" s="189"/>
      <c r="N417" s="189"/>
      <c r="O417" s="189"/>
      <c r="P417" s="189"/>
    </row>
    <row r="418" spans="1:16" ht="21.75" customHeight="1" x14ac:dyDescent="0.45">
      <c r="A418" s="183"/>
      <c r="B418" s="184"/>
      <c r="C418" s="184"/>
      <c r="D418" s="201"/>
      <c r="E418" s="206"/>
      <c r="F418" s="203"/>
      <c r="G418" s="204"/>
      <c r="H418" s="207" t="s">
        <v>122</v>
      </c>
      <c r="I418" s="397">
        <f ca="1">กระบี่!I418+ชุมพร!I418+ตรัง!I418+นครศรีธรรมราช!I418+นราธิวาส!I418+ปัตตานี!I418+พังงา!I418+พัทลุง!I418+ภูเก็ต!I418+ยะลา!I418+ระนอง!I418+สงขลา!I418+สตูล!I418+สุราษฎร์ธานี!I418</f>
        <v>405</v>
      </c>
      <c r="J418" s="399">
        <f ca="1">กระบี่!J418+ชุมพร!J418+ตรัง!J418+นครศรีธรรมราช!J418+นราธิวาส!J418+ปัตตานี!J418+พังงา!J418+พัทลุง!J418+ภูเก็ต!J418+ยะลา!J418+ระนอง!J418+สงขลา!J418+สตูล!J418+สุราษฎร์ธานี!J418</f>
        <v>195</v>
      </c>
      <c r="K418" s="209">
        <f t="shared" ca="1" si="81"/>
        <v>48.148148148148145</v>
      </c>
      <c r="L418" s="189"/>
      <c r="M418" s="189"/>
      <c r="N418" s="189"/>
      <c r="O418" s="189"/>
      <c r="P418" s="189"/>
    </row>
    <row r="419" spans="1:16" ht="21.75" customHeight="1" x14ac:dyDescent="0.45">
      <c r="A419" s="183"/>
      <c r="B419" s="184"/>
      <c r="C419" s="184"/>
      <c r="D419" s="201"/>
      <c r="E419" s="206"/>
      <c r="F419" s="203"/>
      <c r="G419" s="233" t="s">
        <v>149</v>
      </c>
      <c r="H419" s="188" t="s">
        <v>37</v>
      </c>
      <c r="I419" s="347">
        <f ca="1">กระบี่!I419+ชุมพร!I419+ตรัง!I419+นครศรีธรรมราช!I419+นราธิวาส!I419+ปัตตานี!I419+พังงา!I419+พัทลุง!I419+ภูเก็ต!I419+ยะลา!I419+ระนอง!I419+สงขลา!I419+สตูล!I419+สุราษฎร์ธานี!I419</f>
        <v>135</v>
      </c>
      <c r="J419" s="400">
        <f ca="1">กระบี่!J419+ชุมพร!J419+ตรัง!J419+นครศรีธรรมราช!J419+นราธิวาส!J419+ปัตตานี!J419+พังงา!J419+พัทลุง!J419+ภูเก็ต!J419+ยะลา!J419+ระนอง!J419+สงขลา!J419+สตูล!J419+สุราษฎร์ธานี!J419</f>
        <v>85</v>
      </c>
      <c r="K419" s="169">
        <f t="shared" ca="1" si="81"/>
        <v>62.962962962962962</v>
      </c>
      <c r="L419" s="189"/>
      <c r="M419" s="189"/>
      <c r="N419" s="189"/>
      <c r="O419" s="189"/>
      <c r="P419" s="189"/>
    </row>
    <row r="420" spans="1:16" ht="21.75" customHeight="1" x14ac:dyDescent="0.45">
      <c r="A420" s="241"/>
      <c r="B420" s="242"/>
      <c r="C420" s="242"/>
      <c r="D420" s="401"/>
      <c r="E420" s="402"/>
      <c r="F420" s="353"/>
      <c r="G420" s="403" t="s">
        <v>150</v>
      </c>
      <c r="H420" s="355" t="s">
        <v>37</v>
      </c>
      <c r="I420" s="404">
        <f ca="1">กระบี่!I420+ชุมพร!I420+ตรัง!I420+นครศรีธรรมราช!I420+นราธิวาส!I420+ปัตตานี!I420+พังงา!I420+พัทลุง!I420+ภูเก็ต!I420+ยะลา!I420+ระนอง!I420+สงขลา!I420+สตูล!I420+สุราษฎร์ธานี!I420</f>
        <v>135</v>
      </c>
      <c r="J420" s="400">
        <f ca="1">กระบี่!J420+ชุมพร!J420+ตรัง!J420+นครศรีธรรมราช!J420+นราธิวาส!J420+ปัตตานี!J420+พังงา!J420+พัทลุง!J420+ภูเก็ต!J420+ยะลา!J420+ระนอง!J420+สงขลา!J420+สตูล!J420+สุราษฎร์ธานี!J420</f>
        <v>95</v>
      </c>
      <c r="K420" s="294">
        <f t="shared" ca="1" si="81"/>
        <v>70.370370370370367</v>
      </c>
      <c r="L420" s="252"/>
      <c r="M420" s="252"/>
      <c r="N420" s="252"/>
      <c r="O420" s="252"/>
      <c r="P420" s="252"/>
    </row>
    <row r="421" spans="1:16" ht="21.75" customHeight="1" x14ac:dyDescent="0.45">
      <c r="A421" s="183"/>
      <c r="B421" s="184"/>
      <c r="C421" s="184"/>
      <c r="D421" s="201"/>
      <c r="E421" s="206"/>
      <c r="F421" s="396" t="s">
        <v>151</v>
      </c>
      <c r="G421" s="204"/>
      <c r="H421" s="207" t="s">
        <v>37</v>
      </c>
      <c r="I421" s="397">
        <f ca="1">กระบี่!I421+ชุมพร!I421+ตรัง!I421+นครศรีธรรมราช!I421+นราธิวาส!I421+ปัตตานี!I421+พังงา!I421+พัทลุง!I421+ภูเก็ต!I421+ยะลา!I421+ระนอง!I421+สงขลา!I421+สตูล!I421+สุราษฎร์ธานี!I421</f>
        <v>235</v>
      </c>
      <c r="J421" s="398">
        <f ca="1">กระบี่!J421+ชุมพร!J421+ตรัง!J421+นครศรีธรรมราช!J421+นราธิวาส!J421+ปัตตานี!J421+พังงา!J421+พัทลุง!J421+ภูเก็ต!J421+ยะลา!J421+ระนอง!J421+สงขลา!J421+สตูล!J421+สุราษฎร์ธานี!J421</f>
        <v>115</v>
      </c>
      <c r="K421" s="209">
        <f t="shared" ca="1" si="81"/>
        <v>48.936170212765958</v>
      </c>
      <c r="L421" s="189"/>
      <c r="M421" s="189"/>
      <c r="N421" s="189"/>
      <c r="O421" s="189"/>
      <c r="P421" s="189"/>
    </row>
    <row r="422" spans="1:16" ht="21.75" customHeight="1" x14ac:dyDescent="0.45">
      <c r="A422" s="183"/>
      <c r="B422" s="184"/>
      <c r="C422" s="184"/>
      <c r="D422" s="201"/>
      <c r="E422" s="206"/>
      <c r="F422" s="203"/>
      <c r="G422" s="204"/>
      <c r="H422" s="207" t="s">
        <v>122</v>
      </c>
      <c r="I422" s="397">
        <f ca="1">กระบี่!I422+ชุมพร!I422+ตรัง!I422+นครศรีธรรมราช!I422+นราธิวาส!I422+ปัตตานี!I422+พังงา!I422+พัทลุง!I422+ภูเก็ต!I422+ยะลา!I422+ระนอง!I422+สงขลา!I422+สตูล!I422+สุราษฎร์ธานี!I422</f>
        <v>705</v>
      </c>
      <c r="J422" s="399">
        <f ca="1">กระบี่!J422+ชุมพร!J422+ตรัง!J422+นครศรีธรรมราช!J422+นราธิวาส!J422+ปัตตานี!J422+พังงา!J422+พัทลุง!J422+ภูเก็ต!J422+ยะลา!J422+ระนอง!J422+สงขลา!J422+สตูล!J422+สุราษฎร์ธานี!J422</f>
        <v>255</v>
      </c>
      <c r="K422" s="209">
        <f t="shared" ca="1" si="81"/>
        <v>36.170212765957444</v>
      </c>
      <c r="L422" s="189"/>
      <c r="M422" s="189"/>
      <c r="N422" s="189"/>
      <c r="O422" s="189"/>
      <c r="P422" s="189"/>
    </row>
    <row r="423" spans="1:16" ht="21.75" customHeight="1" x14ac:dyDescent="0.45">
      <c r="A423" s="183"/>
      <c r="B423" s="184"/>
      <c r="C423" s="184"/>
      <c r="D423" s="201"/>
      <c r="E423" s="206"/>
      <c r="F423" s="203"/>
      <c r="G423" s="233" t="s">
        <v>152</v>
      </c>
      <c r="H423" s="188" t="s">
        <v>37</v>
      </c>
      <c r="I423" s="347">
        <f ca="1">กระบี่!I423+ชุมพร!I423+ตรัง!I423+นครศรีธรรมราช!I423+นราธิวาส!I423+ปัตตานี!I423+พังงา!I423+พัทลุง!I423+ภูเก็ต!I423+ยะลา!I423+ระนอง!I423+สงขลา!I423+สตูล!I423+สุราษฎร์ธานี!I423</f>
        <v>235</v>
      </c>
      <c r="J423" s="400">
        <f ca="1">กระบี่!J423+ชุมพร!J423+ตรัง!J423+นครศรีธรรมราช!J423+นราธิวาส!J423+ปัตตานี!J423+พังงา!J423+พัทลุง!J423+ภูเก็ต!J423+ยะลา!J423+ระนอง!J423+สงขลา!J423+สตูล!J423+สุราษฎร์ธานี!J423</f>
        <v>175</v>
      </c>
      <c r="K423" s="169">
        <f t="shared" ca="1" si="81"/>
        <v>74.468085106382972</v>
      </c>
      <c r="L423" s="189"/>
      <c r="M423" s="189"/>
      <c r="N423" s="189"/>
      <c r="O423" s="189"/>
      <c r="P423" s="189"/>
    </row>
    <row r="424" spans="1:16" ht="21.75" customHeight="1" x14ac:dyDescent="0.45">
      <c r="A424" s="183"/>
      <c r="B424" s="184"/>
      <c r="C424" s="184"/>
      <c r="D424" s="201"/>
      <c r="E424" s="206"/>
      <c r="F424" s="203"/>
      <c r="G424" s="233" t="s">
        <v>153</v>
      </c>
      <c r="H424" s="188" t="s">
        <v>37</v>
      </c>
      <c r="I424" s="347">
        <f ca="1">กระบี่!I424+ชุมพร!I424+ตรัง!I424+นครศรีธรรมราช!I424+นราธิวาส!I424+ปัตตานี!I424+พังงา!I424+พัทลุง!I424+ภูเก็ต!I424+ยะลา!I424+ระนอง!I424+สงขลา!I424+สตูล!I424+สุราษฎร์ธานี!I424</f>
        <v>235</v>
      </c>
      <c r="J424" s="400">
        <f ca="1">กระบี่!J424+ชุมพร!J424+ตรัง!J424+นครศรีธรรมราช!J424+นราธิวาส!J424+ปัตตานี!J424+พังงา!J424+พัทลุง!J424+ภูเก็ต!J424+ยะลา!J424+ระนอง!J424+สงขลา!J424+สตูล!J424+สุราษฎร์ธานี!J424</f>
        <v>135</v>
      </c>
      <c r="K424" s="169">
        <f t="shared" ca="1" si="81"/>
        <v>57.446808510638299</v>
      </c>
      <c r="L424" s="189"/>
      <c r="M424" s="189"/>
      <c r="N424" s="189"/>
      <c r="O424" s="189"/>
      <c r="P424" s="189"/>
    </row>
    <row r="425" spans="1:16" ht="21.75" customHeight="1" x14ac:dyDescent="0.45">
      <c r="A425" s="183"/>
      <c r="B425" s="184"/>
      <c r="C425" s="184"/>
      <c r="D425" s="201"/>
      <c r="E425" s="206"/>
      <c r="F425" s="203"/>
      <c r="G425" s="233" t="s">
        <v>154</v>
      </c>
      <c r="H425" s="188" t="s">
        <v>37</v>
      </c>
      <c r="I425" s="347">
        <f ca="1">กระบี่!I425+ชุมพร!I425+ตรัง!I425+นครศรีธรรมราช!I425+นราธิวาส!I425+ปัตตานี!I425+พังงา!I425+พัทลุง!I425+ภูเก็ต!I425+ยะลา!I425+ระนอง!I425+สงขลา!I425+สตูล!I425+สุราษฎร์ธานี!I425</f>
        <v>235</v>
      </c>
      <c r="J425" s="400">
        <f ca="1">กระบี่!J425+ชุมพร!J425+ตรัง!J425+นครศรีธรรมราช!J425+นราธิวาส!J425+ปัตตานี!J425+พังงา!J425+พัทลุง!J425+ภูเก็ต!J425+ยะลา!J425+ระนอง!J425+สงขลา!J425+สตูล!J425+สุราษฎร์ธานี!J425</f>
        <v>155</v>
      </c>
      <c r="K425" s="169">
        <f t="shared" ca="1" si="81"/>
        <v>65.957446808510639</v>
      </c>
      <c r="L425" s="189"/>
      <c r="M425" s="189"/>
      <c r="N425" s="189"/>
      <c r="O425" s="189"/>
      <c r="P425" s="189"/>
    </row>
    <row r="426" spans="1:16" ht="21.75" customHeight="1" x14ac:dyDescent="0.45">
      <c r="A426" s="183"/>
      <c r="B426" s="184"/>
      <c r="C426" s="184"/>
      <c r="D426" s="201"/>
      <c r="E426" s="206"/>
      <c r="F426" s="405" t="s">
        <v>155</v>
      </c>
      <c r="G426" s="204"/>
      <c r="H426" s="207" t="s">
        <v>37</v>
      </c>
      <c r="I426" s="397">
        <f ca="1">กระบี่!I426+ชุมพร!I426+ตรัง!I426+นครศรีธรรมราช!I426+นราธิวาส!I426+ปัตตานี!I426+พังงา!I426+พัทลุง!I426+ภูเก็ต!I426+ยะลา!I426+ระนอง!I426+สงขลา!I426+สตูล!I426+สุราษฎร์ธานี!I426</f>
        <v>170</v>
      </c>
      <c r="J426" s="398">
        <f ca="1">กระบี่!J426+ชุมพร!J426+ตรัง!J426+นครศรีธรรมราช!J426+นราธิวาส!J426+ปัตตานี!J426+พังงา!J426+พัทลุง!J426+ภูเก็ต!J426+ยะลา!J426+ระนอง!J426+สงขลา!J426+สตูล!J426+สุราษฎร์ธานี!J426</f>
        <v>110</v>
      </c>
      <c r="K426" s="209">
        <f t="shared" ca="1" si="81"/>
        <v>64.705882352941174</v>
      </c>
      <c r="L426" s="189"/>
      <c r="M426" s="189"/>
      <c r="N426" s="189"/>
      <c r="O426" s="189"/>
      <c r="P426" s="189"/>
    </row>
    <row r="427" spans="1:16" ht="21.75" customHeight="1" x14ac:dyDescent="0.45">
      <c r="A427" s="183"/>
      <c r="B427" s="184"/>
      <c r="C427" s="184"/>
      <c r="D427" s="201"/>
      <c r="E427" s="206"/>
      <c r="F427" s="203"/>
      <c r="G427" s="204"/>
      <c r="H427" s="207" t="s">
        <v>122</v>
      </c>
      <c r="I427" s="397">
        <f ca="1">กระบี่!I427+ชุมพร!I427+ตรัง!I427+นครศรีธรรมราช!I427+นราธิวาส!I427+ปัตตานี!I427+พังงา!I427+พัทลุง!I427+ภูเก็ต!I427+ยะลา!I427+ระนอง!I427+สงขลา!I427+สตูล!I427+สุราษฎร์ธานี!I427</f>
        <v>510</v>
      </c>
      <c r="J427" s="399">
        <f ca="1">กระบี่!J427+ชุมพร!J427+ตรัง!J427+นครศรีธรรมราช!J427+นราธิวาส!J427+ปัตตานี!J427+พังงา!J427+พัทลุง!J427+ภูเก็ต!J427+ยะลา!J427+ระนอง!J427+สงขลา!J427+สตูล!J427+สุราษฎร์ธานี!J427</f>
        <v>270</v>
      </c>
      <c r="K427" s="209">
        <f t="shared" ca="1" si="81"/>
        <v>52.941176470588232</v>
      </c>
      <c r="L427" s="189"/>
      <c r="M427" s="189"/>
      <c r="N427" s="189"/>
      <c r="O427" s="189"/>
      <c r="P427" s="189"/>
    </row>
    <row r="428" spans="1:16" ht="21.75" customHeight="1" x14ac:dyDescent="0.45">
      <c r="A428" s="183"/>
      <c r="B428" s="184"/>
      <c r="C428" s="184"/>
      <c r="D428" s="201"/>
      <c r="E428" s="206"/>
      <c r="F428" s="203"/>
      <c r="G428" s="233" t="s">
        <v>156</v>
      </c>
      <c r="H428" s="188" t="s">
        <v>37</v>
      </c>
      <c r="I428" s="406">
        <f ca="1">กระบี่!I428+ชุมพร!I428+ตรัง!I428+นครศรีธรรมราช!I428+นราธิวาส!I428+ปัตตานี!I428+พังงา!I428+พัทลุง!I428+ภูเก็ต!I428+ยะลา!I428+ระนอง!I428+สงขลา!I428+สตูล!I428+สุราษฎร์ธานี!I428</f>
        <v>170</v>
      </c>
      <c r="J428" s="400">
        <f ca="1">กระบี่!J428+ชุมพร!J428+ตรัง!J428+นครศรีธรรมราช!J428+นราธิวาส!J428+ปัตตานี!J428+พังงา!J428+พัทลุง!J428+ภูเก็ต!J428+ยะลา!J428+ระนอง!J428+สงขลา!J428+สตูล!J428+สุราษฎร์ธานี!J428</f>
        <v>110</v>
      </c>
      <c r="K428" s="169">
        <f t="shared" ca="1" si="81"/>
        <v>64.705882352941174</v>
      </c>
      <c r="L428" s="189"/>
      <c r="M428" s="189"/>
      <c r="N428" s="189"/>
      <c r="O428" s="189"/>
      <c r="P428" s="189"/>
    </row>
    <row r="429" spans="1:16" ht="21.75" customHeight="1" x14ac:dyDescent="0.45">
      <c r="A429" s="183"/>
      <c r="B429" s="184"/>
      <c r="C429" s="184"/>
      <c r="D429" s="201"/>
      <c r="E429" s="206"/>
      <c r="F429" s="203"/>
      <c r="G429" s="233" t="s">
        <v>157</v>
      </c>
      <c r="H429" s="188" t="s">
        <v>37</v>
      </c>
      <c r="I429" s="406">
        <f ca="1">กระบี่!I429+ชุมพร!I429+ตรัง!I429+นครศรีธรรมราช!I429+นราธิวาส!I429+ปัตตานี!I429+พังงา!I429+พัทลุง!I429+ภูเก็ต!I429+ยะลา!I429+ระนอง!I429+สงขลา!I429+สตูล!I429+สุราษฎร์ธานี!I429</f>
        <v>170</v>
      </c>
      <c r="J429" s="400">
        <f ca="1">กระบี่!J429+ชุมพร!J429+ตรัง!J429+นครศรีธรรมราช!J429+นราธิวาส!J429+ปัตตานี!J429+พังงา!J429+พัทลุง!J429+ภูเก็ต!J429+ยะลา!J429+ระนอง!J429+สงขลา!J429+สตูล!J429+สุราษฎร์ธานี!J429</f>
        <v>110</v>
      </c>
      <c r="K429" s="169">
        <f t="shared" ca="1" si="81"/>
        <v>64.705882352941174</v>
      </c>
      <c r="L429" s="189"/>
      <c r="M429" s="189"/>
      <c r="N429" s="189"/>
      <c r="O429" s="189"/>
      <c r="P429" s="189"/>
    </row>
    <row r="430" spans="1:16" ht="21.75" customHeight="1" x14ac:dyDescent="0.45">
      <c r="A430" s="183"/>
      <c r="B430" s="184"/>
      <c r="C430" s="184"/>
      <c r="D430" s="201"/>
      <c r="E430" s="206"/>
      <c r="F430" s="202" t="s">
        <v>53</v>
      </c>
      <c r="G430" s="394"/>
      <c r="H430" s="407" t="s">
        <v>37</v>
      </c>
      <c r="I430" s="208">
        <f ca="1">กระบี่!I430+ชุมพร!I430+ตรัง!I430+นครศรีธรรมราช!I430+นราธิวาส!I430+ปัตตานี!I430+พังงา!I430+พัทลุง!I430+ภูเก็ต!I430+ยะลา!I430+ระนอง!I430+สงขลา!I430+สตูล!I430+สุราษฎร์ธานี!I430</f>
        <v>370</v>
      </c>
      <c r="J430" s="398">
        <f ca="1">กระบี่!J430+ชุมพร!J430+ตรัง!J430+นครศรีธรรมราช!J430+นราธิวาส!J430+ปัตตานี!J430+พังงา!J430+พัทลุง!J430+ภูเก็ต!J430+ยะลา!J430+ระนอง!J430+สงขลา!J430+สตูล!J430+สุราษฎร์ธานี!J430</f>
        <v>80</v>
      </c>
      <c r="K430" s="209">
        <f t="shared" ca="1" si="81"/>
        <v>21.621621621621621</v>
      </c>
      <c r="L430" s="189"/>
      <c r="M430" s="189"/>
      <c r="N430" s="189"/>
      <c r="O430" s="189"/>
      <c r="P430" s="189"/>
    </row>
    <row r="431" spans="1:16" ht="21.75" customHeight="1" x14ac:dyDescent="0.45">
      <c r="A431" s="408"/>
      <c r="B431" s="409"/>
      <c r="C431" s="409"/>
      <c r="D431" s="410"/>
      <c r="E431" s="206"/>
      <c r="F431" s="203"/>
      <c r="G431" s="233" t="s">
        <v>158</v>
      </c>
      <c r="H431" s="188" t="s">
        <v>37</v>
      </c>
      <c r="I431" s="406">
        <f ca="1">กระบี่!I431+ชุมพร!I431+ตรัง!I431+นครศรีธรรมราช!I431+นราธิวาส!I431+ปัตตานี!I431+พังงา!I431+พัทลุง!I431+ภูเก็ต!I431+ยะลา!I431+ระนอง!I431+สงขลา!I431+สตูล!I431+สุราษฎร์ธานี!I431</f>
        <v>135</v>
      </c>
      <c r="J431" s="400">
        <f ca="1">กระบี่!J431+ชุมพร!J431+ตรัง!J431+นครศรีธรรมราช!J431+นราธิวาส!J431+ปัตตานี!J431+พังงา!J431+พัทลุง!J431+ภูเก็ต!J431+ยะลา!J431+ระนอง!J431+สงขลา!J431+สตูล!J431+สุราษฎร์ธานี!J431</f>
        <v>55</v>
      </c>
      <c r="K431" s="169">
        <f t="shared" ca="1" si="81"/>
        <v>40.74074074074074</v>
      </c>
      <c r="L431" s="189"/>
      <c r="M431" s="189"/>
      <c r="N431" s="189"/>
      <c r="O431" s="189"/>
      <c r="P431" s="189"/>
    </row>
    <row r="432" spans="1:16" ht="21.75" customHeight="1" x14ac:dyDescent="0.45">
      <c r="A432" s="408"/>
      <c r="B432" s="409"/>
      <c r="C432" s="409"/>
      <c r="D432" s="410"/>
      <c r="E432" s="206"/>
      <c r="F432" s="203"/>
      <c r="G432" s="233" t="s">
        <v>159</v>
      </c>
      <c r="H432" s="188" t="s">
        <v>37</v>
      </c>
      <c r="I432" s="406">
        <f ca="1">กระบี่!I432+ชุมพร!I432+ตรัง!I432+นครศรีธรรมราช!I432+นราธิวาส!I432+ปัตตานี!I432+พังงา!I432+พัทลุง!I432+ภูเก็ต!I432+ยะลา!I432+ระนอง!I432+สงขลา!I432+สตูล!I432+สุราษฎร์ธานี!I432</f>
        <v>235</v>
      </c>
      <c r="J432" s="400">
        <f ca="1">กระบี่!J432+ชุมพร!J432+ตรัง!J432+นครศรีธรรมราช!J432+นราธิวาส!J432+ปัตตานี!J432+พังงา!J432+พัทลุง!J432+ภูเก็ต!J432+ยะลา!J432+ระนอง!J432+สงขลา!J432+สตูล!J432+สุราษฎร์ธานี!J432</f>
        <v>35</v>
      </c>
      <c r="K432" s="169">
        <f t="shared" ca="1" si="81"/>
        <v>14.893617021276595</v>
      </c>
      <c r="L432" s="189"/>
      <c r="M432" s="189"/>
      <c r="N432" s="189"/>
      <c r="O432" s="189"/>
      <c r="P432" s="189"/>
    </row>
    <row r="433" spans="1:16" ht="21.75" customHeight="1" x14ac:dyDescent="0.35">
      <c r="A433" s="183"/>
      <c r="B433" s="184"/>
      <c r="C433" s="184"/>
      <c r="D433" s="201"/>
      <c r="E433" s="202" t="s">
        <v>54</v>
      </c>
      <c r="F433" s="203"/>
      <c r="G433" s="204"/>
      <c r="H433" s="194"/>
      <c r="I433" s="195"/>
      <c r="J433" s="205">
        <f ca="1">กระบี่!J433+ชุมพร!J433+ตรัง!J433+นครศรีธรรมราช!J433+นราธิวาส!J433+ปัตตานี!J433+พังงา!J433+พัทลุง!J433+ภูเก็ต!J433+ยะลา!J433+ระนอง!J433+สงขลา!J433+สตูล!J433+สุราษฎร์ธานี!J433</f>
        <v>0</v>
      </c>
      <c r="K433" s="169"/>
      <c r="L433" s="189"/>
      <c r="M433" s="189"/>
      <c r="N433" s="189"/>
      <c r="O433" s="189"/>
      <c r="P433" s="189"/>
    </row>
    <row r="434" spans="1:16" ht="21.75" customHeight="1" x14ac:dyDescent="0.35">
      <c r="A434" s="183"/>
      <c r="B434" s="184"/>
      <c r="C434" s="184"/>
      <c r="D434" s="213">
        <v>3</v>
      </c>
      <c r="E434" s="214" t="s">
        <v>55</v>
      </c>
      <c r="F434" s="215"/>
      <c r="G434" s="216"/>
      <c r="H434" s="194"/>
      <c r="I434" s="195"/>
      <c r="J434" s="217">
        <f ca="1">กระบี่!J434+ชุมพร!J434+ตรัง!J434+นครศรีธรรมราช!J434+นราธิวาส!J434+ปัตตานี!J434+พังงา!J434+พัทลุง!J434+ภูเก็ต!J434+ยะลา!J434+ระนอง!J434+สงขลา!J434+สตูล!J434+สุราษฎร์ธานี!J434</f>
        <v>0</v>
      </c>
      <c r="K434" s="169"/>
      <c r="L434" s="189"/>
      <c r="M434" s="189"/>
      <c r="N434" s="189"/>
      <c r="O434" s="189"/>
      <c r="P434" s="189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กระบี่!I435+ชุมพร!I435+ตรัง!I435+นครศรีธรรมราช!I435+นราธิวาส!I435+ปัตตานี!I435+พังงา!I435+พัทลุง!I435+ภูเก็ต!I435+ยะลา!I435+ระนอง!I435+สงขลา!I435+สตูล!I435+สุราษฎร์ธานี!I435</f>
        <v>235</v>
      </c>
      <c r="J435" s="416">
        <f ca="1">กระบี่!J435+ชุมพร!J435+ตรัง!J435+นครศรีธรรมราช!J435+นราธิวาส!J435+ปัตตานี!J435+พังงา!J435+พัทลุง!J435+ภูเก็ต!J435+ยะลา!J435+ระนอง!J435+สงขลา!J435+สตูล!J435+สุราษฎร์ธานี!J435</f>
        <v>220</v>
      </c>
      <c r="K435" s="417">
        <f ca="1">IF(I435&gt;0,J435*100/I435,0)</f>
        <v>93.61702127659575</v>
      </c>
      <c r="L435" s="418">
        <f ca="1">กระบี่!L435+ชุมพร!L435+ตรัง!L435+นครศรีธรรมราช!L435+นราธิวาส!L435+ปัตตานี!L435+พังงา!L435+พัทลุง!L435+ภูเก็ต!L435+ยะลา!L435+ระนอง!L435+สงขลา!L435+สตูล!L435+สุราษฎร์ธานี!L435</f>
        <v>2299500</v>
      </c>
      <c r="M435" s="418"/>
      <c r="N435" s="418">
        <f ca="1">กระบี่!N435+ชุมพร!N435+ตรัง!N435+นครศรีธรรมราช!N435+นราธิวาส!N435+ปัตตานี!N435+พังงา!N435+พัทลุง!N435+ภูเก็ต!N435+ยะลา!N435+ระนอง!N435+สงขลา!N435+สตูล!N435+สุราษฎร์ธานี!N435</f>
        <v>562379.94999999995</v>
      </c>
      <c r="O435" s="418">
        <f t="shared" ref="O435:O439" ca="1" si="82">+IF(L435&gt;0,N435*100/L435,0)</f>
        <v>24.456618830180471</v>
      </c>
      <c r="P435" s="418"/>
    </row>
    <row r="436" spans="1:16" ht="21.75" customHeight="1" x14ac:dyDescent="0.35">
      <c r="A436" s="162"/>
      <c r="B436" s="163"/>
      <c r="C436" s="163" t="s">
        <v>16</v>
      </c>
      <c r="D436" s="164" t="s">
        <v>38</v>
      </c>
      <c r="E436" s="165"/>
      <c r="F436" s="165"/>
      <c r="G436" s="166" t="s">
        <v>39</v>
      </c>
      <c r="H436" s="167" t="s">
        <v>12</v>
      </c>
      <c r="I436" s="168" t="s">
        <v>40</v>
      </c>
      <c r="J436" s="168"/>
      <c r="K436" s="169"/>
      <c r="L436" s="170">
        <f ca="1">กระบี่!L436+ชุมพร!L436+ตรัง!L436+นครศรีธรรมราช!L436+นราธิวาส!L436+ปัตตานี!L436+พังงา!L436+พัทลุง!L436+ภูเก็ต!L436+ยะลา!L436+ระนอง!L436+สงขลา!L436+สตูล!L436+สุราษฎร์ธานี!L436</f>
        <v>0</v>
      </c>
      <c r="M436" s="170"/>
      <c r="N436" s="176">
        <f ca="1">กระบี่!N436+ชุมพร!N436+ตรัง!N436+นครศรีธรรมราช!N436+นราธิวาส!N436+ปัตตานี!N436+พังงา!N436+พัทลุง!N436+ภูเก็ต!N436+ยะลา!N436+ระนอง!N436+สงขลา!N436+สตูล!N436+สุราษฎร์ธานี!N436</f>
        <v>0</v>
      </c>
      <c r="O436" s="176">
        <f t="shared" ca="1" si="82"/>
        <v>0</v>
      </c>
      <c r="P436" s="176"/>
    </row>
    <row r="437" spans="1:16" ht="21.75" customHeight="1" x14ac:dyDescent="0.35">
      <c r="A437" s="162"/>
      <c r="B437" s="163"/>
      <c r="C437" s="163"/>
      <c r="D437" s="172"/>
      <c r="E437" s="165"/>
      <c r="F437" s="165" t="s">
        <v>40</v>
      </c>
      <c r="G437" s="166" t="s">
        <v>41</v>
      </c>
      <c r="H437" s="167" t="s">
        <v>12</v>
      </c>
      <c r="I437" s="168"/>
      <c r="J437" s="168"/>
      <c r="K437" s="169"/>
      <c r="L437" s="171">
        <f ca="1">กระบี่!L437+ชุมพร!L437+ตรัง!L437+นครศรีธรรมราช!L437+นราธิวาส!L437+ปัตตานี!L437+พังงา!L437+พัทลุง!L437+ภูเก็ต!L437+ยะลา!L437+ระนอง!L437+สงขลา!L437+สตูล!L437+สุราษฎร์ธานี!L437</f>
        <v>2299500</v>
      </c>
      <c r="M437" s="171"/>
      <c r="N437" s="176">
        <f ca="1">กระบี่!N437+ชุมพร!N437+ตรัง!N437+นครศรีธรรมราช!N437+นราธิวาส!N437+ปัตตานี!N437+พังงา!N437+พัทลุง!N437+ภูเก็ต!N437+ยะลา!N437+ระนอง!N437+สงขลา!N437+สตูล!N437+สุราษฎร์ธานี!N437</f>
        <v>562379.94999999995</v>
      </c>
      <c r="O437" s="176">
        <f t="shared" ca="1" si="82"/>
        <v>24.456618830180471</v>
      </c>
      <c r="P437" s="176"/>
    </row>
    <row r="438" spans="1:16" ht="21.75" customHeight="1" x14ac:dyDescent="0.35">
      <c r="A438" s="162"/>
      <c r="B438" s="163"/>
      <c r="C438" s="163"/>
      <c r="D438" s="172"/>
      <c r="E438" s="165"/>
      <c r="F438" s="165"/>
      <c r="G438" s="380" t="s">
        <v>129</v>
      </c>
      <c r="H438" s="167" t="s">
        <v>12</v>
      </c>
      <c r="I438" s="168"/>
      <c r="J438" s="168"/>
      <c r="K438" s="169"/>
      <c r="L438" s="176">
        <f ca="1">กระบี่!L438+ชุมพร!L438+ตรัง!L438+นครศรีธรรมราช!L438+นราธิวาส!L438+ปัตตานี!L438+พังงา!L438+พัทลุง!L438+ภูเก็ต!L438+ยะลา!L438+ระนอง!L438+สงขลา!L438+สตูล!L438+สุราษฎร์ธานี!L438</f>
        <v>0</v>
      </c>
      <c r="M438" s="176"/>
      <c r="N438" s="176">
        <f ca="1">กระบี่!N438+ชุมพร!N438+ตรัง!N438+นครศรีธรรมราช!N438+นราธิวาส!N438+ปัตตานี!N438+พังงา!N438+พัทลุง!N438+ภูเก็ต!N438+ยะลา!N438+ระนอง!N438+สงขลา!N438+สตูล!N438+สุราษฎร์ธานี!N438</f>
        <v>0</v>
      </c>
      <c r="O438" s="176">
        <f t="shared" ca="1" si="82"/>
        <v>0</v>
      </c>
      <c r="P438" s="176"/>
    </row>
    <row r="439" spans="1:16" ht="21.75" customHeight="1" x14ac:dyDescent="0.35">
      <c r="A439" s="162"/>
      <c r="B439" s="163"/>
      <c r="C439" s="163"/>
      <c r="D439" s="172"/>
      <c r="E439" s="165"/>
      <c r="F439" s="165"/>
      <c r="G439" s="380" t="s">
        <v>130</v>
      </c>
      <c r="H439" s="167" t="s">
        <v>12</v>
      </c>
      <c r="I439" s="168"/>
      <c r="J439" s="168"/>
      <c r="K439" s="169"/>
      <c r="L439" s="176">
        <f ca="1">กระบี่!L439+ชุมพร!L439+ตรัง!L439+นครศรีธรรมราช!L439+นราธิวาส!L439+ปัตตานี!L439+พังงา!L439+พัทลุง!L439+ภูเก็ต!L439+ยะลา!L439+ระนอง!L439+สงขลา!L439+สตูล!L439+สุราษฎร์ธานี!L439</f>
        <v>1292500</v>
      </c>
      <c r="M439" s="176"/>
      <c r="N439" s="176">
        <f ca="1">กระบี่!N439+ชุมพร!N439+ตรัง!N439+นครศรีธรรมราช!N439+นราธิวาส!N439+ปัตตานี!N439+พังงา!N439+พัทลุง!N439+ภูเก็ต!N439+ยะลา!N439+ระนอง!N439+สงขลา!N439+สตูล!N439+สุราษฎร์ธานี!N439</f>
        <v>562379.94999999995</v>
      </c>
      <c r="O439" s="176">
        <f t="shared" ca="1" si="82"/>
        <v>43.511021276595741</v>
      </c>
      <c r="P439" s="176"/>
    </row>
    <row r="440" spans="1:16" ht="21.75" customHeight="1" x14ac:dyDescent="0.35">
      <c r="A440" s="381"/>
      <c r="B440" s="382"/>
      <c r="C440" s="163"/>
      <c r="D440" s="383"/>
      <c r="E440" s="165"/>
      <c r="F440" s="165"/>
      <c r="G440" s="384" t="s">
        <v>131</v>
      </c>
      <c r="H440" s="167" t="s">
        <v>12</v>
      </c>
      <c r="I440" s="195"/>
      <c r="J440" s="195"/>
      <c r="K440" s="231"/>
      <c r="L440" s="176"/>
      <c r="M440" s="176"/>
      <c r="N440" s="385">
        <f ca="1">กระบี่!N440+ชุมพร!N440+ตรัง!N440+นครศรีธรรมราช!N440+นราธิวาส!N440+ปัตตานี!N440+พังงา!N440+พัทลุง!N440+ภูเก็ต!N440+ยะลา!N440+ระนอง!N440+สงขลา!N440+สตูล!N440+สุราษฎร์ธานี!N440</f>
        <v>365469.87</v>
      </c>
      <c r="O440" s="176"/>
      <c r="P440" s="176"/>
    </row>
    <row r="441" spans="1:16" ht="21.75" customHeight="1" x14ac:dyDescent="0.35">
      <c r="A441" s="381"/>
      <c r="B441" s="382"/>
      <c r="C441" s="163"/>
      <c r="D441" s="383"/>
      <c r="E441" s="165"/>
      <c r="F441" s="165"/>
      <c r="G441" s="384" t="s">
        <v>132</v>
      </c>
      <c r="H441" s="167" t="s">
        <v>12</v>
      </c>
      <c r="I441" s="195"/>
      <c r="J441" s="195"/>
      <c r="K441" s="231"/>
      <c r="L441" s="176"/>
      <c r="M441" s="176"/>
      <c r="N441" s="385">
        <f ca="1">กระบี่!N441+ชุมพร!N441+ตรัง!N441+นครศรีธรรมราช!N441+นราธิวาส!N441+ปัตตานี!N441+พังงา!N441+พัทลุง!N441+ภูเก็ต!N441+ยะลา!N441+ระนอง!N441+สงขลา!N441+สตูล!N441+สุราษฎร์ธานี!N441</f>
        <v>0</v>
      </c>
      <c r="O441" s="176"/>
      <c r="P441" s="176"/>
    </row>
    <row r="442" spans="1:16" ht="21.75" customHeight="1" x14ac:dyDescent="0.35">
      <c r="A442" s="381"/>
      <c r="B442" s="382"/>
      <c r="C442" s="163"/>
      <c r="D442" s="383"/>
      <c r="E442" s="165"/>
      <c r="F442" s="165"/>
      <c r="G442" s="384" t="s">
        <v>133</v>
      </c>
      <c r="H442" s="167" t="s">
        <v>12</v>
      </c>
      <c r="I442" s="195"/>
      <c r="J442" s="195"/>
      <c r="K442" s="231"/>
      <c r="L442" s="176"/>
      <c r="M442" s="176"/>
      <c r="N442" s="385">
        <f ca="1">กระบี่!N442+ชุมพร!N442+ตรัง!N442+นครศรีธรรมราช!N442+นราธิวาส!N442+ปัตตานี!N442+พังงา!N442+พัทลุง!N442+ภูเก็ต!N442+ยะลา!N442+ระนอง!N442+สงขลา!N442+สตูล!N442+สุราษฎร์ธานี!N442</f>
        <v>4900</v>
      </c>
      <c r="O442" s="176"/>
      <c r="P442" s="176"/>
    </row>
    <row r="443" spans="1:16" ht="21.75" customHeight="1" x14ac:dyDescent="0.35">
      <c r="A443" s="381"/>
      <c r="B443" s="382"/>
      <c r="C443" s="163"/>
      <c r="D443" s="383"/>
      <c r="E443" s="165"/>
      <c r="F443" s="165"/>
      <c r="G443" s="384" t="s">
        <v>134</v>
      </c>
      <c r="H443" s="167" t="s">
        <v>12</v>
      </c>
      <c r="I443" s="195"/>
      <c r="J443" s="195"/>
      <c r="K443" s="231"/>
      <c r="L443" s="176"/>
      <c r="M443" s="176"/>
      <c r="N443" s="385">
        <f ca="1">กระบี่!N443+ชุมพร!N443+ตรัง!N443+นครศรีธรรมราช!N443+นราธิวาส!N443+ปัตตานี!N443+พังงา!N443+พัทลุง!N443+ภูเก็ต!N443+ยะลา!N443+ระนอง!N443+สงขลา!N443+สตูล!N443+สุราษฎร์ธานี!N443</f>
        <v>192010.08000000002</v>
      </c>
      <c r="O443" s="176"/>
      <c r="P443" s="176"/>
    </row>
    <row r="444" spans="1:16" ht="21.75" customHeight="1" x14ac:dyDescent="0.35">
      <c r="A444" s="183"/>
      <c r="B444" s="184"/>
      <c r="C444" s="163" t="s">
        <v>16</v>
      </c>
      <c r="D444" s="185" t="s">
        <v>44</v>
      </c>
      <c r="E444" s="186"/>
      <c r="F444" s="186"/>
      <c r="G444" s="187"/>
      <c r="H444" s="188"/>
      <c r="I444" s="168"/>
      <c r="J444" s="168"/>
      <c r="K444" s="169"/>
      <c r="L444" s="189"/>
      <c r="M444" s="189"/>
      <c r="N444" s="189"/>
      <c r="O444" s="189"/>
      <c r="P444" s="189"/>
    </row>
    <row r="445" spans="1:16" ht="21.75" customHeight="1" x14ac:dyDescent="0.35">
      <c r="A445" s="183"/>
      <c r="B445" s="184"/>
      <c r="C445" s="184"/>
      <c r="D445" s="190">
        <v>1</v>
      </c>
      <c r="E445" s="191" t="s">
        <v>45</v>
      </c>
      <c r="F445" s="192"/>
      <c r="G445" s="193"/>
      <c r="H445" s="194"/>
      <c r="I445" s="195"/>
      <c r="J445" s="217">
        <f ca="1">กระบี่!J445+ชุมพร!J445+ตรัง!J445+นครศรีธรรมราช!J445+นราธิวาส!J445+ปัตตานี!J445+พังงา!J445+พัทลุง!J445+ภูเก็ต!J445+ยะลา!J445+ระนอง!J445+สงขลา!J445+สตูล!J445+สุราษฎร์ธานี!J445</f>
        <v>0</v>
      </c>
      <c r="K445" s="169"/>
      <c r="L445" s="189"/>
      <c r="M445" s="189"/>
      <c r="N445" s="189"/>
      <c r="O445" s="189"/>
      <c r="P445" s="189"/>
    </row>
    <row r="446" spans="1:16" ht="21.75" customHeight="1" x14ac:dyDescent="0.35">
      <c r="A446" s="183"/>
      <c r="B446" s="184"/>
      <c r="C446" s="184"/>
      <c r="D446" s="197">
        <v>2</v>
      </c>
      <c r="E446" s="198" t="s">
        <v>46</v>
      </c>
      <c r="F446" s="199"/>
      <c r="G446" s="200"/>
      <c r="H446" s="194"/>
      <c r="I446" s="195"/>
      <c r="J446" s="419">
        <f ca="1">กระบี่!J446+ชุมพร!J446+ตรัง!J446+นครศรีธรรมราช!J446+นราธิวาส!J446+ปัตตานี!J446+พังงา!J446+พัทลุง!J446+ภูเก็ต!J446+ยะลา!J446+ระนอง!J446+สงขลา!J446+สตูล!J446+สุราษฎร์ธานี!J446</f>
        <v>14</v>
      </c>
      <c r="K446" s="169"/>
      <c r="L446" s="189" t="s">
        <v>40</v>
      </c>
      <c r="M446" s="189"/>
      <c r="N446" s="189" t="s">
        <v>40</v>
      </c>
      <c r="O446" s="189"/>
      <c r="P446" s="189"/>
    </row>
    <row r="447" spans="1:16" ht="21.75" customHeight="1" x14ac:dyDescent="0.35">
      <c r="A447" s="183"/>
      <c r="B447" s="184"/>
      <c r="C447" s="184"/>
      <c r="D447" s="201"/>
      <c r="E447" s="202" t="s">
        <v>161</v>
      </c>
      <c r="F447" s="203"/>
      <c r="G447" s="204"/>
      <c r="H447" s="194"/>
      <c r="I447" s="195"/>
      <c r="J447" s="196">
        <f ca="1">กระบี่!J447+ชุมพร!J447+ตรัง!J447+นครศรีธรรมราช!J447+นราธิวาส!J447+ปัตตานี!J447+พังงา!J447+พัทลุง!J447+ภูเก็ต!J447+ยะลา!J447+ระนอง!J447+สงขลา!J447+สตูล!J447+สุราษฎร์ธานี!J447</f>
        <v>14</v>
      </c>
      <c r="K447" s="169"/>
      <c r="L447" s="189"/>
      <c r="M447" s="189"/>
      <c r="N447" s="189"/>
      <c r="O447" s="189"/>
      <c r="P447" s="189"/>
    </row>
    <row r="448" spans="1:16" ht="21.75" customHeight="1" x14ac:dyDescent="0.35">
      <c r="A448" s="183"/>
      <c r="B448" s="184"/>
      <c r="C448" s="184"/>
      <c r="D448" s="201"/>
      <c r="E448" s="202" t="s">
        <v>48</v>
      </c>
      <c r="F448" s="203"/>
      <c r="G448" s="204"/>
      <c r="H448" s="194"/>
      <c r="I448" s="195"/>
      <c r="J448" s="196">
        <f ca="1">กระบี่!J448+ชุมพร!J448+ตรัง!J448+นครศรีธรรมราช!J448+นราธิวาส!J448+ปัตตานี!J448+พังงา!J448+พัทลุง!J448+ภูเก็ต!J448+ยะลา!J448+ระนอง!J448+สงขลา!J448+สตูล!J448+สุราษฎร์ธานี!J448</f>
        <v>14</v>
      </c>
      <c r="K448" s="169"/>
      <c r="L448" s="189"/>
      <c r="M448" s="189"/>
      <c r="N448" s="189"/>
      <c r="O448" s="189"/>
      <c r="P448" s="189"/>
    </row>
    <row r="449" spans="1:16" ht="21.75" customHeight="1" x14ac:dyDescent="0.35">
      <c r="A449" s="183"/>
      <c r="B449" s="184"/>
      <c r="C449" s="184"/>
      <c r="D449" s="201"/>
      <c r="E449" s="206"/>
      <c r="F449" s="420" t="s">
        <v>101</v>
      </c>
      <c r="G449" s="204"/>
      <c r="H449" s="194" t="s">
        <v>37</v>
      </c>
      <c r="I449" s="397">
        <f ca="1">กระบี่!I449+ชุมพร!I449+ตรัง!I449+นครศรีธรรมราช!I449+นราธิวาส!I449+ปัตตานี!I449+พังงา!I449+พัทลุง!I449+ภูเก็ต!I449+ยะลา!I449+ระนอง!I449+สงขลา!I449+สตูล!I449+สุราษฎร์ธานี!I449</f>
        <v>235</v>
      </c>
      <c r="J449" s="208">
        <f ca="1">กระบี่!J449+ชุมพร!J449+ตรัง!J449+นครศรีธรรมราช!J449+นราธิวาส!J449+ปัตตานี!J449+พังงา!J449+พัทลุง!J449+ภูเก็ต!J449+ยะลา!J449+ระนอง!J449+สงขลา!J449+สตูล!J449+สุราษฎร์ธานี!J449</f>
        <v>220</v>
      </c>
      <c r="K449" s="169">
        <f t="shared" ref="K449:K452" ca="1" si="83">IF(I449&gt;0,J449*100/I449,0)</f>
        <v>93.61702127659575</v>
      </c>
      <c r="L449" s="189"/>
      <c r="M449" s="189"/>
      <c r="N449" s="189"/>
      <c r="O449" s="189"/>
      <c r="P449" s="189"/>
    </row>
    <row r="450" spans="1:16" ht="21.75" customHeight="1" x14ac:dyDescent="0.35">
      <c r="A450" s="183"/>
      <c r="B450" s="184"/>
      <c r="C450" s="184"/>
      <c r="D450" s="201"/>
      <c r="E450" s="206"/>
      <c r="F450" s="203"/>
      <c r="G450" s="233" t="s">
        <v>162</v>
      </c>
      <c r="H450" s="194" t="s">
        <v>37</v>
      </c>
      <c r="I450" s="347">
        <f ca="1">กระบี่!I450+ชุมพร!I450+ตรัง!I450+นครศรีธรรมราช!I450+นราธิวาส!I450+ปัตตานี!I450+พังงา!I450+พัทลุง!I450+ภูเก็ต!I450+ยะลา!I450+ระนอง!I450+สงขลา!I450+สตูล!I450+สุราษฎร์ธานี!I450</f>
        <v>195</v>
      </c>
      <c r="J450" s="196">
        <f ca="1">กระบี่!J450+ชุมพร!J450+ตรัง!J450+นครศรีธรรมราช!J450+นราธิวาส!J450+ปัตตานี!J450+พังงา!J450+พัทลุง!J450+ภูเก็ต!J450+ยะลา!J450+ระนอง!J450+สงขลา!J450+สตูล!J450+สุราษฎร์ธานี!J450</f>
        <v>180</v>
      </c>
      <c r="K450" s="169">
        <f t="shared" ca="1" si="83"/>
        <v>92.307692307692307</v>
      </c>
      <c r="L450" s="189"/>
      <c r="M450" s="189"/>
      <c r="N450" s="189"/>
      <c r="O450" s="189"/>
      <c r="P450" s="189"/>
    </row>
    <row r="451" spans="1:16" ht="21.75" customHeight="1" x14ac:dyDescent="0.35">
      <c r="A451" s="183"/>
      <c r="B451" s="184"/>
      <c r="C451" s="184"/>
      <c r="D451" s="201"/>
      <c r="E451" s="206"/>
      <c r="F451" s="203"/>
      <c r="G451" s="287" t="s">
        <v>163</v>
      </c>
      <c r="H451" s="194" t="s">
        <v>37</v>
      </c>
      <c r="I451" s="347">
        <f ca="1">กระบี่!I451+ชุมพร!I451+ตรัง!I451+นครศรีธรรมราช!I451+นราธิวาส!I451+ปัตตานี!I451+พังงา!I451+พัทลุง!I451+ภูเก็ต!I451+ยะลา!I451+ระนอง!I451+สงขลา!I451+สตูล!I451+สุราษฎร์ธานี!I451</f>
        <v>40</v>
      </c>
      <c r="J451" s="195">
        <f ca="1">กระบี่!J451+ชุมพร!J451+ตรัง!J451+นครศรีธรรมราช!J451+นราธิวาส!J451+ปัตตานี!J451+พังงา!J451+พัทลุง!J451+ภูเก็ต!J451+ยะลา!J451+ระนอง!J451+สงขลา!J451+สตูล!J451+สุราษฎร์ธานี!J451</f>
        <v>40</v>
      </c>
      <c r="K451" s="169">
        <f t="shared" ca="1" si="83"/>
        <v>100</v>
      </c>
      <c r="L451" s="189"/>
      <c r="M451" s="189"/>
      <c r="N451" s="189"/>
      <c r="O451" s="189"/>
      <c r="P451" s="189"/>
    </row>
    <row r="452" spans="1:16" ht="21.75" customHeight="1" x14ac:dyDescent="0.35">
      <c r="A452" s="183"/>
      <c r="B452" s="184"/>
      <c r="C452" s="184"/>
      <c r="D452" s="201"/>
      <c r="E452" s="206"/>
      <c r="F452" s="203"/>
      <c r="G452" s="204" t="s">
        <v>164</v>
      </c>
      <c r="H452" s="194" t="s">
        <v>37</v>
      </c>
      <c r="I452" s="195">
        <f ca="1">กระบี่!I452+ชุมพร!I452+ตรัง!I452+นครศรีธรรมราช!I452+นราธิวาส!I452+ปัตตานี!I452+พังงา!I452+พัทลุง!I452+ภูเก็ต!I452+ยะลา!I452+ระนอง!I452+สงขลา!I452+สตูล!I452+สุราษฎร์ธานี!I452</f>
        <v>0</v>
      </c>
      <c r="J452" s="195">
        <f ca="1">กระบี่!J452+ชุมพร!J452+ตรัง!J452+นครศรีธรรมราช!J452+นราธิวาส!J452+ปัตตานี!J452+พังงา!J452+พัทลุง!J452+ภูเก็ต!J452+ยะลา!J452+ระนอง!J452+สงขลา!J452+สตูล!J452+สุราษฎร์ธานี!J452</f>
        <v>0</v>
      </c>
      <c r="K452" s="169">
        <f t="shared" ca="1" si="83"/>
        <v>0</v>
      </c>
      <c r="L452" s="189"/>
      <c r="M452" s="189"/>
      <c r="N452" s="189"/>
      <c r="O452" s="189"/>
      <c r="P452" s="189"/>
    </row>
    <row r="453" spans="1:16" ht="21.75" customHeight="1" x14ac:dyDescent="0.35">
      <c r="A453" s="183"/>
      <c r="B453" s="184"/>
      <c r="C453" s="184"/>
      <c r="D453" s="201"/>
      <c r="E453" s="202" t="s">
        <v>54</v>
      </c>
      <c r="F453" s="203"/>
      <c r="G453" s="204"/>
      <c r="H453" s="194"/>
      <c r="I453" s="195"/>
      <c r="J453" s="205">
        <f ca="1">กระบี่!J453+ชุมพร!J453+ตรัง!J453+นครศรีธรรมราช!J453+นราธิวาส!J453+ปัตตานี!J453+พังงา!J453+พัทลุง!J453+ภูเก็ต!J453+ยะลา!J453+ระนอง!J453+สงขลา!J453+สตูล!J453+สุราษฎร์ธานี!J453</f>
        <v>0</v>
      </c>
      <c r="K453" s="169"/>
      <c r="L453" s="189"/>
      <c r="M453" s="189"/>
      <c r="N453" s="189"/>
      <c r="O453" s="189"/>
      <c r="P453" s="189"/>
    </row>
    <row r="454" spans="1:16" ht="21.75" customHeight="1" x14ac:dyDescent="0.35">
      <c r="A454" s="183"/>
      <c r="B454" s="184"/>
      <c r="C454" s="184"/>
      <c r="D454" s="213">
        <v>3</v>
      </c>
      <c r="E454" s="214" t="s">
        <v>55</v>
      </c>
      <c r="F454" s="215"/>
      <c r="G454" s="216"/>
      <c r="H454" s="194"/>
      <c r="I454" s="195"/>
      <c r="J454" s="217">
        <f ca="1">กระบี่!J454+ชุมพร!J454+ตรัง!J454+นครศรีธรรมราช!J454+นราธิวาส!J454+ปัตตานี!J454+พังงา!J454+พัทลุง!J454+ภูเก็ต!J454+ยะลา!J454+ระนอง!J454+สงขลา!J454+สตูล!J454+สุราษฎร์ธานี!J454</f>
        <v>0</v>
      </c>
      <c r="K454" s="169"/>
      <c r="L454" s="189"/>
      <c r="M454" s="189"/>
      <c r="N454" s="189"/>
      <c r="O454" s="189"/>
      <c r="P454" s="189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กระบี่!I455+ชุมพร!I455+ตรัง!I455+นครศรีธรรมราช!I455+นราธิวาส!I455+ปัตตานี!I455+พังงา!I455+พัทลุง!I455+ภูเก็ต!I455+ยะลา!I455+ระนอง!I455+สงขลา!I455+สตูล!I455+สุราษฎร์ธานี!I455</f>
        <v>514474</v>
      </c>
      <c r="J455" s="377">
        <f ca="1">กระบี่!J455+ชุมพร!J455+ตรัง!J455+นครศรีธรรมราช!J455+นราธิวาส!J455+ปัตตานี!J455+พังงา!J455+พัทลุง!J455+ภูเก็ต!J455+ยะลา!J455+ระนอง!J455+สงขลา!J455+สตูล!J455+สุราษฎร์ธานี!J455</f>
        <v>71764.08</v>
      </c>
      <c r="K455" s="378">
        <f ca="1">IF(I455&gt;0,J455*100/I455,0)</f>
        <v>13.949019775537733</v>
      </c>
      <c r="L455" s="379">
        <f ca="1">กระบี่!L455+ชุมพร!L455+ตรัง!L455+นครศรีธรรมราช!L455+นราธิวาส!L455+ปัตตานี!L455+พังงา!L455+พัทลุง!L455+ภูเก็ต!L455+ยะลา!L455+ระนอง!L455+สงขลา!L455+สตูล!L455+สุราษฎร์ธานี!L455</f>
        <v>4025062</v>
      </c>
      <c r="M455" s="379"/>
      <c r="N455" s="379">
        <f ca="1">กระบี่!N455+ชุมพร!N455+ตรัง!N455+นครศรีธรรมราช!N455+นราธิวาส!N455+ปัตตานี!N455+พังงา!N455+พัทลุง!N455+ภูเก็ต!N455+ยะลา!N455+ระนอง!N455+สงขลา!N455+สตูล!N455+สุราษฎร์ธานี!N455</f>
        <v>612636.38</v>
      </c>
      <c r="O455" s="379">
        <f t="shared" ref="O455:O459" ca="1" si="84">+IF(L455&gt;0,N455*100/L455,0)</f>
        <v>15.220545174210981</v>
      </c>
      <c r="P455" s="379"/>
    </row>
    <row r="456" spans="1:16" ht="21.75" customHeight="1" x14ac:dyDescent="0.35">
      <c r="A456" s="162"/>
      <c r="B456" s="163"/>
      <c r="C456" s="163" t="s">
        <v>16</v>
      </c>
      <c r="D456" s="164" t="s">
        <v>38</v>
      </c>
      <c r="E456" s="165"/>
      <c r="F456" s="165"/>
      <c r="G456" s="166" t="s">
        <v>39</v>
      </c>
      <c r="H456" s="167" t="s">
        <v>12</v>
      </c>
      <c r="I456" s="168" t="s">
        <v>40</v>
      </c>
      <c r="J456" s="168"/>
      <c r="K456" s="169"/>
      <c r="L456" s="170">
        <f ca="1">กระบี่!L456+ชุมพร!L456+ตรัง!L456+นครศรีธรรมราช!L456+นราธิวาส!L456+ปัตตานี!L456+พังงา!L456+พัทลุง!L456+ภูเก็ต!L456+ยะลา!L456+ระนอง!L456+สงขลา!L456+สตูล!L456+สุราษฎร์ธานี!L456</f>
        <v>0</v>
      </c>
      <c r="M456" s="170"/>
      <c r="N456" s="176">
        <f ca="1">กระบี่!N456+ชุมพร!N456+ตรัง!N456+นครศรีธรรมราช!N456+นราธิวาส!N456+ปัตตานี!N456+พังงา!N456+พัทลุง!N456+ภูเก็ต!N456+ยะลา!N456+ระนอง!N456+สงขลา!N456+สตูล!N456+สุราษฎร์ธานี!N456</f>
        <v>0</v>
      </c>
      <c r="O456" s="176">
        <f t="shared" ca="1" si="84"/>
        <v>0</v>
      </c>
      <c r="P456" s="176"/>
    </row>
    <row r="457" spans="1:16" ht="21.75" customHeight="1" x14ac:dyDescent="0.35">
      <c r="A457" s="162"/>
      <c r="B457" s="163"/>
      <c r="C457" s="163"/>
      <c r="D457" s="172"/>
      <c r="E457" s="165"/>
      <c r="F457" s="165" t="s">
        <v>40</v>
      </c>
      <c r="G457" s="166" t="s">
        <v>41</v>
      </c>
      <c r="H457" s="167" t="s">
        <v>12</v>
      </c>
      <c r="I457" s="168"/>
      <c r="J457" s="168"/>
      <c r="K457" s="169"/>
      <c r="L457" s="171">
        <f ca="1">กระบี่!L457+ชุมพร!L457+ตรัง!L457+นครศรีธรรมราช!L457+นราธิวาส!L457+ปัตตานี!L457+พังงา!L457+พัทลุง!L457+ภูเก็ต!L457+ยะลา!L457+ระนอง!L457+สงขลา!L457+สตูล!L457+สุราษฎร์ธานี!L457</f>
        <v>4025062</v>
      </c>
      <c r="M457" s="171"/>
      <c r="N457" s="176">
        <f ca="1">กระบี่!N457+ชุมพร!N457+ตรัง!N457+นครศรีธรรมราช!N457+นราธิวาส!N457+ปัตตานี!N457+พังงา!N457+พัทลุง!N457+ภูเก็ต!N457+ยะลา!N457+ระนอง!N457+สงขลา!N457+สตูล!N457+สุราษฎร์ธานี!N457</f>
        <v>612636.38</v>
      </c>
      <c r="O457" s="176">
        <f t="shared" ca="1" si="84"/>
        <v>15.220545174210981</v>
      </c>
      <c r="P457" s="176"/>
    </row>
    <row r="458" spans="1:16" ht="21.75" customHeight="1" x14ac:dyDescent="0.35">
      <c r="A458" s="162"/>
      <c r="B458" s="163"/>
      <c r="C458" s="163"/>
      <c r="D458" s="172"/>
      <c r="E458" s="165"/>
      <c r="F458" s="165"/>
      <c r="G458" s="380" t="s">
        <v>129</v>
      </c>
      <c r="H458" s="167" t="s">
        <v>12</v>
      </c>
      <c r="I458" s="168"/>
      <c r="J458" s="168"/>
      <c r="K458" s="169"/>
      <c r="L458" s="176">
        <f ca="1">กระบี่!L458+ชุมพร!L458+ตรัง!L458+นครศรีธรรมราช!L458+นราธิวาส!L458+ปัตตานี!L458+พังงา!L458+พัทลุง!L458+ภูเก็ต!L458+ยะลา!L458+ระนอง!L458+สงขลา!L458+สตูล!L458+สุราษฎร์ธานี!L458</f>
        <v>0</v>
      </c>
      <c r="M458" s="176"/>
      <c r="N458" s="176">
        <f ca="1">กระบี่!N458+ชุมพร!N458+ตรัง!N458+นครศรีธรรมราช!N458+นราธิวาส!N458+ปัตตานี!N458+พังงา!N458+พัทลุง!N458+ภูเก็ต!N458+ยะลา!N458+ระนอง!N458+สงขลา!N458+สตูล!N458+สุราษฎร์ธานี!N458</f>
        <v>0</v>
      </c>
      <c r="O458" s="176">
        <f t="shared" ca="1" si="84"/>
        <v>0</v>
      </c>
      <c r="P458" s="176"/>
    </row>
    <row r="459" spans="1:16" ht="21.75" customHeight="1" x14ac:dyDescent="0.35">
      <c r="A459" s="162"/>
      <c r="B459" s="163"/>
      <c r="C459" s="163"/>
      <c r="D459" s="172"/>
      <c r="E459" s="165"/>
      <c r="F459" s="165"/>
      <c r="G459" s="380" t="s">
        <v>130</v>
      </c>
      <c r="H459" s="167" t="s">
        <v>12</v>
      </c>
      <c r="I459" s="168"/>
      <c r="J459" s="168"/>
      <c r="K459" s="169"/>
      <c r="L459" s="176">
        <f ca="1">กระบี่!L459+ชุมพร!L459+ตรัง!L459+นครศรีธรรมราช!L459+นราธิวาส!L459+ปัตตานี!L459+พังงา!L459+พัทลุง!L459+ภูเก็ต!L459+ยะลา!L459+ระนอง!L459+สงขลา!L459+สตูล!L459+สุราษฎร์ธานี!L459</f>
        <v>4025062</v>
      </c>
      <c r="M459" s="176"/>
      <c r="N459" s="176">
        <f ca="1">กระบี่!N459+ชุมพร!N459+ตรัง!N459+นครศรีธรรมราช!N459+นราธิวาส!N459+ปัตตานี!N459+พังงา!N459+พัทลุง!N459+ภูเก็ต!N459+ยะลา!N459+ระนอง!N459+สงขลา!N459+สตูล!N459+สุราษฎร์ธานี!N459</f>
        <v>612636.38</v>
      </c>
      <c r="O459" s="176">
        <f t="shared" ca="1" si="84"/>
        <v>15.220545174210981</v>
      </c>
      <c r="P459" s="176"/>
    </row>
    <row r="460" spans="1:16" ht="21.75" customHeight="1" x14ac:dyDescent="0.35">
      <c r="A460" s="381"/>
      <c r="B460" s="382"/>
      <c r="C460" s="163"/>
      <c r="D460" s="383"/>
      <c r="E460" s="165"/>
      <c r="F460" s="165"/>
      <c r="G460" s="384" t="s">
        <v>131</v>
      </c>
      <c r="H460" s="167" t="s">
        <v>12</v>
      </c>
      <c r="I460" s="195"/>
      <c r="J460" s="195"/>
      <c r="K460" s="231"/>
      <c r="L460" s="176"/>
      <c r="M460" s="176"/>
      <c r="N460" s="173">
        <f ca="1">กระบี่!N460+ชุมพร!N460+ตรัง!N460+นครศรีธรรมราช!N460+นราธิวาส!N460+ปัตตานี!N460+พังงา!N460+พัทลุง!N460+ภูเก็ต!N460+ยะลา!N460+ระนอง!N460+สงขลา!N460+สตูล!N460+สุราษฎร์ธานี!N460</f>
        <v>0</v>
      </c>
      <c r="O460" s="176"/>
      <c r="P460" s="176"/>
    </row>
    <row r="461" spans="1:16" ht="21.75" customHeight="1" x14ac:dyDescent="0.35">
      <c r="A461" s="381"/>
      <c r="B461" s="382"/>
      <c r="C461" s="163"/>
      <c r="D461" s="383"/>
      <c r="E461" s="165"/>
      <c r="F461" s="165"/>
      <c r="G461" s="384" t="s">
        <v>132</v>
      </c>
      <c r="H461" s="167" t="s">
        <v>12</v>
      </c>
      <c r="I461" s="195"/>
      <c r="J461" s="195"/>
      <c r="K461" s="231"/>
      <c r="L461" s="176"/>
      <c r="M461" s="176"/>
      <c r="N461" s="173">
        <f ca="1">กระบี่!N461+ชุมพร!N461+ตรัง!N461+นครศรีธรรมราช!N461+นราธิวาส!N461+ปัตตานี!N461+พังงา!N461+พัทลุง!N461+ภูเก็ต!N461+ยะลา!N461+ระนอง!N461+สงขลา!N461+สตูล!N461+สุราษฎร์ธานี!N461</f>
        <v>0</v>
      </c>
      <c r="O461" s="176"/>
      <c r="P461" s="176"/>
    </row>
    <row r="462" spans="1:16" ht="21.75" customHeight="1" x14ac:dyDescent="0.35">
      <c r="A462" s="381"/>
      <c r="B462" s="382"/>
      <c r="C462" s="163"/>
      <c r="D462" s="383"/>
      <c r="E462" s="165"/>
      <c r="F462" s="165"/>
      <c r="G462" s="384" t="s">
        <v>133</v>
      </c>
      <c r="H462" s="167" t="s">
        <v>12</v>
      </c>
      <c r="I462" s="195"/>
      <c r="J462" s="195"/>
      <c r="K462" s="231"/>
      <c r="L462" s="176"/>
      <c r="M462" s="176"/>
      <c r="N462" s="385">
        <f ca="1">กระบี่!N462+ชุมพร!N462+ตรัง!N462+นครศรีธรรมราช!N462+นราธิวาส!N462+ปัตตานี!N462+พังงา!N462+พัทลุง!N462+ภูเก็ต!N462+ยะลา!N462+ระนอง!N462+สงขลา!N462+สตูล!N462+สุราษฎร์ธานี!N462</f>
        <v>220873.05</v>
      </c>
      <c r="O462" s="176"/>
      <c r="P462" s="176"/>
    </row>
    <row r="463" spans="1:16" ht="21.75" customHeight="1" x14ac:dyDescent="0.35">
      <c r="A463" s="381"/>
      <c r="B463" s="382"/>
      <c r="C463" s="163"/>
      <c r="D463" s="383"/>
      <c r="E463" s="165"/>
      <c r="F463" s="165"/>
      <c r="G463" s="384" t="s">
        <v>134</v>
      </c>
      <c r="H463" s="167" t="s">
        <v>12</v>
      </c>
      <c r="I463" s="195"/>
      <c r="J463" s="195"/>
      <c r="K463" s="231"/>
      <c r="L463" s="176"/>
      <c r="M463" s="176"/>
      <c r="N463" s="385">
        <f ca="1">กระบี่!N463+ชุมพร!N463+ตรัง!N463+นครศรีธรรมราช!N463+นราธิวาส!N463+ปัตตานี!N463+พังงา!N463+พัทลุง!N463+ภูเก็ต!N463+ยะลา!N463+ระนอง!N463+สงขลา!N463+สตูล!N463+สุราษฎร์ธานี!N463</f>
        <v>391763.32999999996</v>
      </c>
      <c r="O463" s="176"/>
      <c r="P463" s="176"/>
    </row>
    <row r="464" spans="1:16" ht="21.75" customHeight="1" x14ac:dyDescent="0.35">
      <c r="A464" s="183"/>
      <c r="B464" s="184"/>
      <c r="C464" s="421" t="s">
        <v>166</v>
      </c>
      <c r="D464" s="421"/>
      <c r="E464" s="422"/>
      <c r="F464" s="422"/>
      <c r="G464" s="423"/>
      <c r="H464" s="273" t="s">
        <v>122</v>
      </c>
      <c r="I464" s="274">
        <f ca="1">กระบี่!I464+ชุมพร!I464+ตรัง!I464+นครศรีธรรมราช!I464+นราธิวาส!I464+ปัตตานี!I464+พังงา!I464+พัทลุง!I464+ภูเก็ต!I464+ยะลา!I464+ระนอง!I464+สงขลา!I464+สตูล!I464+สุราษฎร์ธานี!I464</f>
        <v>514474</v>
      </c>
      <c r="J464" s="274">
        <f ca="1">กระบี่!J464+ชุมพร!J464+ตรัง!J464+นครศรีธรรมราช!J464+นราธิวาส!J464+ปัตตานี!J464+พังงา!J464+พัทลุง!J464+ภูเก็ต!J464+ยะลา!J464+ระนอง!J464+สงขลา!J464+สตูล!J464+สุราษฎร์ธานี!J464</f>
        <v>71764.08</v>
      </c>
      <c r="K464" s="275">
        <f t="shared" ref="K464:K515" ca="1" si="85">IF(I464&gt;0,J464*100/I464,0)</f>
        <v>13.949019775537733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1" t="s">
        <v>167</v>
      </c>
      <c r="F465" s="203"/>
      <c r="G465" s="204"/>
      <c r="H465" s="424" t="s">
        <v>122</v>
      </c>
      <c r="I465" s="425">
        <f ca="1">กระบี่!I465+ชุมพร!I465+ตรัง!I465+นครศรีธรรมราช!I465+นราธิวาส!I465+ปัตตานี!I465+พังงา!I465+พัทลุง!I465+ภูเก็ต!I465+ยะลา!I465+ระนอง!I465+สงขลา!I465+สตูล!I465+สุราษฎร์ธานี!I465</f>
        <v>514474</v>
      </c>
      <c r="J465" s="426">
        <f ca="1">กระบี่!J465+ชุมพร!J465+ตรัง!J465+นครศรีธรรมราช!J465+นราธิวาส!J465+ปัตตานี!J465+พังงา!J465+พัทลุง!J465+ภูเก็ต!J465+ยะลา!J465+ระนอง!J465+สงขลา!J465+สตูล!J465+สุราษฎร์ธานี!J465</f>
        <v>468720.41</v>
      </c>
      <c r="K465" s="209">
        <f t="shared" ca="1" si="85"/>
        <v>91.106724538071902</v>
      </c>
      <c r="L465" s="189"/>
      <c r="M465" s="189"/>
      <c r="N465" s="189"/>
      <c r="O465" s="189"/>
      <c r="P465" s="189"/>
    </row>
    <row r="466" spans="1:16" ht="21.75" customHeight="1" x14ac:dyDescent="0.35">
      <c r="A466" s="408"/>
      <c r="B466" s="409"/>
      <c r="C466" s="409"/>
      <c r="D466" s="410"/>
      <c r="E466" s="203"/>
      <c r="F466" s="203"/>
      <c r="G466" s="204"/>
      <c r="H466" s="424" t="s">
        <v>36</v>
      </c>
      <c r="I466" s="425">
        <f ca="1">กระบี่!I466+ชุมพร!I466+ตรัง!I466+นครศรีธรรมราช!I466+นราธิวาส!I466+ปัตตานี!I466+พังงา!I466+พัทลุง!I466+ภูเก็ต!I466+ยะลา!I466+ระนอง!I466+สงขลา!I466+สตูล!I466+สุราษฎร์ธานี!I466</f>
        <v>51591</v>
      </c>
      <c r="J466" s="426">
        <f ca="1">กระบี่!J466+ชุมพร!J466+ตรัง!J466+นครศรีธรรมราช!J466+นราธิวาส!J466+ปัตตานี!J466+พังงา!J466+พัทลุง!J466+ภูเก็ต!J466+ยะลา!J466+ระนอง!J466+สงขลา!J466+สตูล!J466+สุราษฎร์ธานี!J466</f>
        <v>45689</v>
      </c>
      <c r="K466" s="209">
        <f t="shared" ca="1" si="85"/>
        <v>88.560020158554792</v>
      </c>
      <c r="L466" s="189"/>
      <c r="M466" s="189"/>
      <c r="N466" s="189"/>
      <c r="O466" s="189"/>
      <c r="P466" s="189"/>
    </row>
    <row r="467" spans="1:16" ht="21.75" customHeight="1" x14ac:dyDescent="0.35">
      <c r="A467" s="408"/>
      <c r="B467" s="409"/>
      <c r="C467" s="409"/>
      <c r="D467" s="410"/>
      <c r="E467" s="203"/>
      <c r="F467" s="396" t="s">
        <v>168</v>
      </c>
      <c r="G467" s="427"/>
      <c r="H467" s="428" t="s">
        <v>122</v>
      </c>
      <c r="I467" s="210">
        <f ca="1">กระบี่!I467+ชุมพร!I467+ตรัง!I467+นครศรีธรรมราช!I467+นราธิวาส!I467+ปัตตานี!I467+พังงา!I467+พัทลุง!I467+ภูเก็ต!I467+ยะลา!I467+ระนอง!I467+สงขลา!I467+สตูล!I467+สุราษฎร์ธานี!I467</f>
        <v>0</v>
      </c>
      <c r="J467" s="196">
        <f ca="1">กระบี่!J467+ชุมพร!J467+ตรัง!J467+นครศรีธรรมราช!J467+นราธิวาส!J467+ปัตตานี!J467+พังงา!J467+พัทลุง!J467+ภูเก็ต!J467+ยะลา!J467+ระนอง!J467+สงขลา!J467+สตูล!J467+สุราษฎร์ธานี!J467</f>
        <v>406840.12</v>
      </c>
      <c r="K467" s="169">
        <f t="shared" ca="1" si="85"/>
        <v>0</v>
      </c>
      <c r="L467" s="189"/>
      <c r="M467" s="189"/>
      <c r="N467" s="189"/>
      <c r="O467" s="189"/>
      <c r="P467" s="189"/>
    </row>
    <row r="468" spans="1:16" ht="21.75" customHeight="1" x14ac:dyDescent="0.35">
      <c r="A468" s="408"/>
      <c r="B468" s="409"/>
      <c r="C468" s="409"/>
      <c r="D468" s="410"/>
      <c r="E468" s="203"/>
      <c r="F468" s="203"/>
      <c r="G468" s="427"/>
      <c r="H468" s="428" t="s">
        <v>36</v>
      </c>
      <c r="I468" s="210">
        <f ca="1">กระบี่!I468+ชุมพร!I468+ตรัง!I468+นครศรีธรรมราช!I468+นราธิวาส!I468+ปัตตานี!I468+พังงา!I468+พัทลุง!I468+ภูเก็ต!I468+ยะลา!I468+ระนอง!I468+สงขลา!I468+สตูล!I468+สุราษฎร์ธานี!I468</f>
        <v>0</v>
      </c>
      <c r="J468" s="196">
        <f ca="1">กระบี่!J468+ชุมพร!J468+ตรัง!J468+นครศรีธรรมราช!J468+นราธิวาส!J468+ปัตตานี!J468+พังงา!J468+พัทลุง!J468+ภูเก็ต!J468+ยะลา!J468+ระนอง!J468+สงขลา!J468+สตูล!J468+สุราษฎร์ธานี!J468</f>
        <v>40469</v>
      </c>
      <c r="K468" s="169">
        <f t="shared" ca="1" si="85"/>
        <v>0</v>
      </c>
      <c r="L468" s="189"/>
      <c r="M468" s="189"/>
      <c r="N468" s="189"/>
      <c r="O468" s="189"/>
      <c r="P468" s="189"/>
    </row>
    <row r="469" spans="1:16" ht="21.75" customHeight="1" x14ac:dyDescent="0.35">
      <c r="A469" s="408"/>
      <c r="B469" s="409"/>
      <c r="C469" s="409"/>
      <c r="D469" s="410"/>
      <c r="E469" s="203"/>
      <c r="F469" s="396" t="s">
        <v>169</v>
      </c>
      <c r="G469" s="427"/>
      <c r="H469" s="428" t="s">
        <v>122</v>
      </c>
      <c r="I469" s="210">
        <f ca="1">กระบี่!I469+ชุมพร!I469+ตรัง!I469+นครศรีธรรมราช!I469+นราธิวาส!I469+ปัตตานี!I469+พังงา!I469+พัทลุง!I469+ภูเก็ต!I469+ยะลา!I469+ระนอง!I469+สงขลา!I469+สตูล!I469+สุราษฎร์ธานี!I469</f>
        <v>0</v>
      </c>
      <c r="J469" s="196">
        <f ca="1">กระบี่!J469+ชุมพร!J469+ตรัง!J469+นครศรีธรรมราช!J469+นราธิวาส!J469+ปัตตานี!J469+พังงา!J469+พัทลุง!J469+ภูเก็ต!J469+ยะลา!J469+ระนอง!J469+สงขลา!J469+สตูล!J469+สุราษฎร์ธานี!J469</f>
        <v>54673.1</v>
      </c>
      <c r="K469" s="169">
        <f t="shared" ca="1" si="85"/>
        <v>0</v>
      </c>
      <c r="L469" s="189"/>
      <c r="M469" s="189"/>
      <c r="N469" s="189"/>
      <c r="O469" s="189"/>
      <c r="P469" s="189"/>
    </row>
    <row r="470" spans="1:16" ht="21.75" customHeight="1" x14ac:dyDescent="0.35">
      <c r="A470" s="408"/>
      <c r="B470" s="409"/>
      <c r="C470" s="409"/>
      <c r="D470" s="410"/>
      <c r="E470" s="203"/>
      <c r="F470" s="203"/>
      <c r="G470" s="427"/>
      <c r="H470" s="428" t="s">
        <v>36</v>
      </c>
      <c r="I470" s="210">
        <f ca="1">กระบี่!I470+ชุมพร!I470+ตรัง!I470+นครศรีธรรมราช!I470+นราธิวาส!I470+ปัตตานี!I470+พังงา!I470+พัทลุง!I470+ภูเก็ต!I470+ยะลา!I470+ระนอง!I470+สงขลา!I470+สตูล!I470+สุราษฎร์ธานี!I470</f>
        <v>0</v>
      </c>
      <c r="J470" s="196">
        <f ca="1">กระบี่!J470+ชุมพร!J470+ตรัง!J470+นครศรีธรรมราช!J470+นราธิวาส!J470+ปัตตานี!J470+พังงา!J470+พัทลุง!J470+ภูเก็ต!J470+ยะลา!J470+ระนอง!J470+สงขลา!J470+สตูล!J470+สุราษฎร์ธานี!J470</f>
        <v>4525</v>
      </c>
      <c r="K470" s="169">
        <f t="shared" ca="1" si="85"/>
        <v>0</v>
      </c>
      <c r="L470" s="189"/>
      <c r="M470" s="189"/>
      <c r="N470" s="189"/>
      <c r="O470" s="189"/>
      <c r="P470" s="189"/>
    </row>
    <row r="471" spans="1:16" ht="21.75" customHeight="1" x14ac:dyDescent="0.35">
      <c r="A471" s="408"/>
      <c r="B471" s="409"/>
      <c r="C471" s="409"/>
      <c r="D471" s="410"/>
      <c r="E471" s="203"/>
      <c r="F471" s="396" t="s">
        <v>170</v>
      </c>
      <c r="G471" s="427"/>
      <c r="H471" s="428" t="s">
        <v>122</v>
      </c>
      <c r="I471" s="210">
        <f ca="1">กระบี่!I471+ชุมพร!I471+ตรัง!I471+นครศรีธรรมราช!I471+นราธิวาส!I471+ปัตตานี!I471+พังงา!I471+พัทลุง!I471+ภูเก็ต!I471+ยะลา!I471+ระนอง!I471+สงขลา!I471+สตูล!I471+สุราษฎร์ธานี!I471</f>
        <v>0</v>
      </c>
      <c r="J471" s="196">
        <f ca="1">กระบี่!J471+ชุมพร!J471+ตรัง!J471+นครศรีธรรมราช!J471+นราธิวาส!J471+ปัตตานี!J471+พังงา!J471+พัทลุง!J471+ภูเก็ต!J471+ยะลา!J471+ระนอง!J471+สงขลา!J471+สตูล!J471+สุราษฎร์ธานี!J471</f>
        <v>7207.1900000000005</v>
      </c>
      <c r="K471" s="169">
        <f t="shared" ca="1" si="85"/>
        <v>0</v>
      </c>
      <c r="L471" s="189"/>
      <c r="M471" s="189"/>
      <c r="N471" s="189"/>
      <c r="O471" s="189"/>
      <c r="P471" s="189"/>
    </row>
    <row r="472" spans="1:16" ht="21.75" customHeight="1" x14ac:dyDescent="0.35">
      <c r="A472" s="408"/>
      <c r="B472" s="409"/>
      <c r="C472" s="409"/>
      <c r="D472" s="410"/>
      <c r="E472" s="203"/>
      <c r="F472" s="203"/>
      <c r="G472" s="203"/>
      <c r="H472" s="428" t="s">
        <v>36</v>
      </c>
      <c r="I472" s="210">
        <f ca="1">กระบี่!I472+ชุมพร!I472+ตรัง!I472+นครศรีธรรมราช!I472+นราธิวาส!I472+ปัตตานี!I472+พังงา!I472+พัทลุง!I472+ภูเก็ต!I472+ยะลา!I472+ระนอง!I472+สงขลา!I472+สตูล!I472+สุราษฎร์ธานี!I472</f>
        <v>0</v>
      </c>
      <c r="J472" s="196">
        <f ca="1">กระบี่!J472+ชุมพร!J472+ตรัง!J472+นครศรีธรรมราช!J472+นราธิวาส!J472+ปัตตานี!J472+พังงา!J472+พัทลุง!J472+ภูเก็ต!J472+ยะลา!J472+ระนอง!J472+สงขลา!J472+สตูล!J472+สุราษฎร์ธานี!J472</f>
        <v>695</v>
      </c>
      <c r="K472" s="169">
        <f t="shared" ca="1" si="85"/>
        <v>0</v>
      </c>
      <c r="L472" s="189"/>
      <c r="M472" s="189"/>
      <c r="N472" s="189"/>
      <c r="O472" s="189"/>
      <c r="P472" s="189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3"/>
      <c r="G473" s="204"/>
      <c r="H473" s="424" t="s">
        <v>122</v>
      </c>
      <c r="I473" s="426">
        <f ca="1">กระบี่!I473+ชุมพร!I473+ตรัง!I473+นครศรีธรรมราช!I473+นราธิวาส!I473+ปัตตานี!I473+พังงา!I473+พัทลุง!I473+ภูเก็ต!I473+ยะลา!I473+ระนอง!I473+สงขลา!I473+สตูล!I473+สุราษฎร์ธานี!I473</f>
        <v>514474</v>
      </c>
      <c r="J473" s="426">
        <f ca="1">กระบี่!J473+ชุมพร!J473+ตรัง!J473+นครศรีธรรมราช!J473+นราธิวาส!J473+ปัตตานี!J473+พังงา!J473+พัทลุง!J473+ภูเก็ต!J473+ยะลา!J473+ระนอง!J473+สงขลา!J473+สตูล!J473+สุราษฎร์ธานี!J473</f>
        <v>74891.08</v>
      </c>
      <c r="K473" s="209">
        <f t="shared" ca="1" si="85"/>
        <v>14.556825029058805</v>
      </c>
      <c r="L473" s="189"/>
      <c r="M473" s="189"/>
      <c r="N473" s="189"/>
      <c r="O473" s="189"/>
      <c r="P473" s="189"/>
    </row>
    <row r="474" spans="1:16" ht="21.75" customHeight="1" x14ac:dyDescent="0.35">
      <c r="A474" s="408"/>
      <c r="B474" s="409"/>
      <c r="C474" s="409"/>
      <c r="D474" s="410"/>
      <c r="E474" s="203"/>
      <c r="F474" s="203"/>
      <c r="G474" s="204"/>
      <c r="H474" s="424" t="s">
        <v>36</v>
      </c>
      <c r="I474" s="425">
        <f ca="1">กระบี่!I474+ชุมพร!I474+ตรัง!I474+นครศรีธรรมราช!I474+นราธิวาส!I474+ปัตตานี!I474+พังงา!I474+พัทลุง!I474+ภูเก็ต!I474+ยะลา!I474+ระนอง!I474+สงขลา!I474+สตูล!I474+สุราษฎร์ธานี!I474</f>
        <v>51591</v>
      </c>
      <c r="J474" s="426">
        <f ca="1">กระบี่!J474+ชุมพร!J474+ตรัง!J474+นครศรีธรรมราช!J474+นราธิวาส!J474+ปัตตานี!J474+พังงา!J474+พัทลุง!J474+ภูเก็ต!J474+ยะลา!J474+ระนอง!J474+สงขลา!J474+สตูล!J474+สุราษฎร์ธานี!J474</f>
        <v>10350</v>
      </c>
      <c r="K474" s="169">
        <f t="shared" ca="1" si="85"/>
        <v>20.061638657905448</v>
      </c>
      <c r="L474" s="189"/>
      <c r="M474" s="189"/>
      <c r="N474" s="189"/>
      <c r="O474" s="189"/>
      <c r="P474" s="189"/>
    </row>
    <row r="475" spans="1:16" ht="21.75" customHeight="1" x14ac:dyDescent="0.35">
      <c r="A475" s="408"/>
      <c r="B475" s="409"/>
      <c r="C475" s="409"/>
      <c r="D475" s="410"/>
      <c r="E475" s="203"/>
      <c r="F475" s="202" t="s">
        <v>172</v>
      </c>
      <c r="G475" s="427"/>
      <c r="H475" s="428" t="s">
        <v>122</v>
      </c>
      <c r="I475" s="210">
        <f ca="1">กระบี่!I475+ชุมพร!I475+ตรัง!I475+นครศรีธรรมราช!I475+นราธิวาส!I475+ปัตตานี!I475+พังงา!I475+พัทลุง!I475+ภูเก็ต!I475+ยะลา!I475+ระนอง!I475+สงขลา!I475+สตูล!I475+สุราษฎร์ธานี!I475</f>
        <v>0</v>
      </c>
      <c r="J475" s="196">
        <f ca="1">กระบี่!J475+ชุมพร!J475+ตรัง!J475+นครศรีธรรมราช!J475+นราธิวาส!J475+ปัตตานี!J475+พังงา!J475+พัทลุง!J475+ภูเก็ต!J475+ยะลา!J475+ระนอง!J475+สงขลา!J475+สตูล!J475+สุราษฎร์ธานี!J475</f>
        <v>70605.66</v>
      </c>
      <c r="K475" s="169">
        <f t="shared" ca="1" si="85"/>
        <v>0</v>
      </c>
      <c r="L475" s="189"/>
      <c r="M475" s="189"/>
      <c r="N475" s="189"/>
      <c r="O475" s="189"/>
      <c r="P475" s="189"/>
    </row>
    <row r="476" spans="1:16" ht="21.75" customHeight="1" x14ac:dyDescent="0.35">
      <c r="A476" s="408"/>
      <c r="B476" s="409"/>
      <c r="C476" s="409"/>
      <c r="D476" s="410"/>
      <c r="E476" s="203"/>
      <c r="F476" s="203"/>
      <c r="G476" s="427"/>
      <c r="H476" s="428" t="s">
        <v>36</v>
      </c>
      <c r="I476" s="210">
        <f ca="1">กระบี่!I476+ชุมพร!I476+ตรัง!I476+นครศรีธรรมราช!I476+นราธิวาส!I476+ปัตตานี!I476+พังงา!I476+พัทลุง!I476+ภูเก็ต!I476+ยะลา!I476+ระนอง!I476+สงขลา!I476+สตูล!I476+สุราษฎร์ธานี!I476</f>
        <v>0</v>
      </c>
      <c r="J476" s="196">
        <f ca="1">กระบี่!J476+ชุมพร!J476+ตรัง!J476+นครศรีธรรมราช!J476+นราธิวาส!J476+ปัตตานี!J476+พังงา!J476+พัทลุง!J476+ภูเก็ต!J476+ยะลา!J476+ระนอง!J476+สงขลา!J476+สตูล!J476+สุราษฎร์ธานี!J476</f>
        <v>9898</v>
      </c>
      <c r="K476" s="169">
        <f t="shared" ca="1" si="85"/>
        <v>0</v>
      </c>
      <c r="L476" s="189"/>
      <c r="M476" s="189"/>
      <c r="N476" s="189"/>
      <c r="O476" s="189"/>
      <c r="P476" s="189"/>
    </row>
    <row r="477" spans="1:16" ht="21.75" customHeight="1" x14ac:dyDescent="0.35">
      <c r="A477" s="408"/>
      <c r="B477" s="409"/>
      <c r="C477" s="409"/>
      <c r="D477" s="410"/>
      <c r="E477" s="203"/>
      <c r="F477" s="202" t="s">
        <v>173</v>
      </c>
      <c r="G477" s="427"/>
      <c r="H477" s="428" t="s">
        <v>122</v>
      </c>
      <c r="I477" s="210">
        <f ca="1">กระบี่!I477+ชุมพร!I477+ตรัง!I477+นครศรีธรรมราช!I477+นราธิวาส!I477+ปัตตานี!I477+พังงา!I477+พัทลุง!I477+ภูเก็ต!I477+ยะลา!I477+ระนอง!I477+สงขลา!I477+สตูล!I477+สุราษฎร์ธานี!I477</f>
        <v>0</v>
      </c>
      <c r="J477" s="196">
        <f ca="1">กระบี่!J477+ชุมพร!J477+ตรัง!J477+นครศรีธรรมราช!J477+นราธิวาส!J477+ปัตตานี!J477+พังงา!J477+พัทลุง!J477+ภูเก็ต!J477+ยะลา!J477+ระนอง!J477+สงขลา!J477+สตูล!J477+สุราษฎร์ธานี!J477</f>
        <v>2248</v>
      </c>
      <c r="K477" s="169">
        <f t="shared" ca="1" si="85"/>
        <v>0</v>
      </c>
      <c r="L477" s="189"/>
      <c r="M477" s="189"/>
      <c r="N477" s="189"/>
      <c r="O477" s="189"/>
      <c r="P477" s="189"/>
    </row>
    <row r="478" spans="1:16" ht="21.75" customHeight="1" x14ac:dyDescent="0.35">
      <c r="A478" s="408"/>
      <c r="B478" s="409"/>
      <c r="C478" s="409"/>
      <c r="D478" s="410"/>
      <c r="E478" s="203"/>
      <c r="F478" s="203"/>
      <c r="G478" s="427"/>
      <c r="H478" s="428" t="s">
        <v>36</v>
      </c>
      <c r="I478" s="210">
        <f ca="1">กระบี่!I478+ชุมพร!I478+ตรัง!I478+นครศรีธรรมราช!I478+นราธิวาส!I478+ปัตตานี!I478+พังงา!I478+พัทลุง!I478+ภูเก็ต!I478+ยะลา!I478+ระนอง!I478+สงขลา!I478+สตูล!I478+สุราษฎร์ธานี!I478</f>
        <v>0</v>
      </c>
      <c r="J478" s="196">
        <f ca="1">กระบี่!J478+ชุมพร!J478+ตรัง!J478+นครศรีธรรมราช!J478+นราธิวาส!J478+ปัตตานี!J478+พังงา!J478+พัทลุง!J478+ภูเก็ต!J478+ยะลา!J478+ระนอง!J478+สงขลา!J478+สตูล!J478+สุราษฎร์ธานี!J478</f>
        <v>256</v>
      </c>
      <c r="K478" s="169">
        <f t="shared" ca="1" si="85"/>
        <v>0</v>
      </c>
      <c r="L478" s="189"/>
      <c r="M478" s="189"/>
      <c r="N478" s="189"/>
      <c r="O478" s="189"/>
      <c r="P478" s="189"/>
    </row>
    <row r="479" spans="1:16" ht="21.75" customHeight="1" x14ac:dyDescent="0.35">
      <c r="A479" s="408"/>
      <c r="B479" s="409"/>
      <c r="C479" s="409"/>
      <c r="D479" s="410"/>
      <c r="E479" s="203"/>
      <c r="F479" s="202" t="s">
        <v>174</v>
      </c>
      <c r="G479" s="427"/>
      <c r="H479" s="428" t="s">
        <v>122</v>
      </c>
      <c r="I479" s="210">
        <f ca="1">กระบี่!I479+ชุมพร!I479+ตรัง!I479+นครศรีธรรมราช!I479+นราธิวาส!I479+ปัตตานี!I479+พังงา!I479+พัทลุง!I479+ภูเก็ต!I479+ยะลา!I479+ระนอง!I479+สงขลา!I479+สตูล!I479+สุราษฎร์ธานี!I479</f>
        <v>0</v>
      </c>
      <c r="J479" s="196">
        <f ca="1">กระบี่!J479+ชุมพร!J479+ตรัง!J479+นครศรีธรรมราช!J479+นราธิวาส!J479+ปัตตานี!J479+พังงา!J479+พัทลุง!J479+ภูเก็ต!J479+ยะลา!J479+ระนอง!J479+สงขลา!J479+สตูล!J479+สุราษฎร์ธานี!J479</f>
        <v>2037.42</v>
      </c>
      <c r="K479" s="169">
        <f t="shared" ca="1" si="85"/>
        <v>0</v>
      </c>
      <c r="L479" s="189"/>
      <c r="M479" s="189"/>
      <c r="N479" s="189"/>
      <c r="O479" s="189"/>
      <c r="P479" s="189"/>
    </row>
    <row r="480" spans="1:16" ht="21.75" customHeight="1" x14ac:dyDescent="0.35">
      <c r="A480" s="408"/>
      <c r="B480" s="409"/>
      <c r="C480" s="409"/>
      <c r="D480" s="410"/>
      <c r="E480" s="203"/>
      <c r="F480" s="203"/>
      <c r="G480" s="204"/>
      <c r="H480" s="428" t="s">
        <v>36</v>
      </c>
      <c r="I480" s="210">
        <f ca="1">กระบี่!I480+ชุมพร!I480+ตรัง!I480+นครศรีธรรมราช!I480+นราธิวาส!I480+ปัตตานี!I480+พังงา!I480+พัทลุง!I480+ภูเก็ต!I480+ยะลา!I480+ระนอง!I480+สงขลา!I480+สตูล!I480+สุราษฎร์ธานี!I480</f>
        <v>0</v>
      </c>
      <c r="J480" s="196">
        <f ca="1">กระบี่!J480+ชุมพร!J480+ตรัง!J480+นครศรีธรรมราช!J480+นราธิวาส!J480+ปัตตานี!J480+พังงา!J480+พัทลุง!J480+ภูเก็ต!J480+ยะลา!J480+ระนอง!J480+สงขลา!J480+สตูล!J480+สุราษฎร์ธานี!J480</f>
        <v>196</v>
      </c>
      <c r="K480" s="169">
        <f t="shared" ca="1" si="85"/>
        <v>0</v>
      </c>
      <c r="L480" s="189"/>
      <c r="M480" s="189"/>
      <c r="N480" s="189"/>
      <c r="O480" s="189"/>
      <c r="P480" s="189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กระบี่!I481+ชุมพร!I481+ตรัง!I481+นครศรีธรรมราช!I481+นราธิวาส!I481+ปัตตานี!I481+พังงา!I481+พัทลุง!I481+ภูเก็ต!I481+ยะลา!I481+ระนอง!I481+สงขลา!I481+สตูล!I481+สุราษฎร์ธานี!I481</f>
        <v>514474</v>
      </c>
      <c r="J481" s="426">
        <f ca="1">กระบี่!J481+ชุมพร!J481+ตรัง!J481+นครศรีธรรมราช!J481+นราธิวาส!J481+ปัตตานี!J481+พังงา!J481+พัทลุง!J481+ภูเก็ต!J481+ยะลา!J481+ระนอง!J481+สงขลา!J481+สตูล!J481+สุราษฎร์ธานี!J481</f>
        <v>71764.08</v>
      </c>
      <c r="K481" s="209">
        <f t="shared" ca="1" si="85"/>
        <v>13.949019775537733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3"/>
      <c r="F482" s="203"/>
      <c r="G482" s="204"/>
      <c r="H482" s="424" t="s">
        <v>36</v>
      </c>
      <c r="I482" s="425">
        <f ca="1">กระบี่!I482+ชุมพร!I482+ตรัง!I482+นครศรีธรรมราช!I482+นราธิวาส!I482+ปัตตานี!I482+พังงา!I482+พัทลุง!I482+ภูเก็ต!I482+ยะลา!I482+ระนอง!I482+สงขลา!I482+สตูล!I482+สุราษฎร์ธานี!I482</f>
        <v>51591</v>
      </c>
      <c r="J482" s="426">
        <f ca="1">กระบี่!J482+ชุมพร!J482+ตรัง!J482+นครศรีธรรมราช!J482+นราธิวาส!J482+ปัตตานี!J482+พังงา!J482+พัทลุง!J482+ภูเก็ต!J482+ยะลา!J482+ระนอง!J482+สงขลา!J482+สตูล!J482+สุราษฎร์ธานี!J482</f>
        <v>10112</v>
      </c>
      <c r="K482" s="169">
        <f t="shared" ca="1" si="85"/>
        <v>19.600317884902406</v>
      </c>
      <c r="L482" s="189"/>
      <c r="M482" s="189"/>
      <c r="N482" s="189"/>
      <c r="O482" s="189"/>
      <c r="P482" s="189"/>
    </row>
    <row r="483" spans="1:16" ht="21.75" customHeight="1" x14ac:dyDescent="0.35">
      <c r="A483" s="408"/>
      <c r="B483" s="409"/>
      <c r="C483" s="409"/>
      <c r="D483" s="410"/>
      <c r="E483" s="203"/>
      <c r="F483" s="202" t="s">
        <v>176</v>
      </c>
      <c r="G483" s="427"/>
      <c r="H483" s="428" t="s">
        <v>122</v>
      </c>
      <c r="I483" s="210">
        <f ca="1">กระบี่!I483+ชุมพร!I483+ตรัง!I483+นครศรีธรรมราช!I483+นราธิวาส!I483+ปัตตานี!I483+พังงา!I483+พัทลุง!I483+ภูเก็ต!I483+ยะลา!I483+ระนอง!I483+สงขลา!I483+สตูล!I483+สุราษฎร์ธานี!I483</f>
        <v>0</v>
      </c>
      <c r="J483" s="196">
        <f ca="1">กระบี่!J483+ชุมพร!J483+ตรัง!J483+นครศรีธรรมราช!J483+นราธิวาส!J483+ปัตตานี!J483+พังงา!J483+พัทลุง!J483+ภูเก็ต!J483+ยะลา!J483+ระนอง!J483+สงขลา!J483+สตูล!J483+สุราษฎร์ธานี!J483</f>
        <v>68252.66</v>
      </c>
      <c r="K483" s="169">
        <f t="shared" ca="1" si="85"/>
        <v>0</v>
      </c>
      <c r="L483" s="189"/>
      <c r="M483" s="189"/>
      <c r="N483" s="189"/>
      <c r="O483" s="189"/>
      <c r="P483" s="189"/>
    </row>
    <row r="484" spans="1:16" ht="21.75" customHeight="1" x14ac:dyDescent="0.35">
      <c r="A484" s="408"/>
      <c r="B484" s="409"/>
      <c r="C484" s="409"/>
      <c r="D484" s="410"/>
      <c r="E484" s="203"/>
      <c r="F484" s="203"/>
      <c r="G484" s="427"/>
      <c r="H484" s="428" t="s">
        <v>36</v>
      </c>
      <c r="I484" s="210">
        <f ca="1">กระบี่!I484+ชุมพร!I484+ตรัง!I484+นครศรีธรรมราช!I484+นราธิวาส!I484+ปัตตานี!I484+พังงา!I484+พัทลุง!I484+ภูเก็ต!I484+ยะลา!I484+ระนอง!I484+สงขลา!I484+สตูล!I484+สุราษฎร์ธานี!I484</f>
        <v>0</v>
      </c>
      <c r="J484" s="196">
        <f ca="1">กระบี่!J484+ชุมพร!J484+ตรัง!J484+นครศรีธรรมราช!J484+นราธิวาส!J484+ปัตตานี!J484+พังงา!J484+พัทลุง!J484+ภูเก็ต!J484+ยะลา!J484+ระนอง!J484+สงขลา!J484+สตูล!J484+สุราษฎร์ธานี!J484</f>
        <v>9617</v>
      </c>
      <c r="K484" s="169">
        <f t="shared" ca="1" si="85"/>
        <v>0</v>
      </c>
      <c r="L484" s="189"/>
      <c r="M484" s="189"/>
      <c r="N484" s="189"/>
      <c r="O484" s="189"/>
      <c r="P484" s="189"/>
    </row>
    <row r="485" spans="1:16" ht="21.75" customHeight="1" x14ac:dyDescent="0.35">
      <c r="A485" s="408"/>
      <c r="B485" s="409"/>
      <c r="C485" s="409"/>
      <c r="D485" s="410"/>
      <c r="E485" s="203"/>
      <c r="F485" s="202" t="s">
        <v>177</v>
      </c>
      <c r="G485" s="427"/>
      <c r="H485" s="428" t="s">
        <v>122</v>
      </c>
      <c r="I485" s="210">
        <f ca="1">กระบี่!I485+ชุมพร!I485+ตรัง!I485+นครศรีธรรมราช!I485+นราธิวาส!I485+ปัตตานี!I485+พังงา!I485+พัทลุง!I485+ภูเก็ต!I485+ยะลา!I485+ระนอง!I485+สงขลา!I485+สตูล!I485+สุราษฎร์ธานี!I485</f>
        <v>0</v>
      </c>
      <c r="J485" s="196">
        <f ca="1">กระบี่!J485+ชุมพร!J485+ตรัง!J485+นครศรีธรรมราช!J485+นราธิวาส!J485+ปัตตานี!J485+พังงา!J485+พัทลุง!J485+ภูเก็ต!J485+ยะลา!J485+ระนอง!J485+สงขลา!J485+สตูล!J485+สุราษฎร์ธานี!J485</f>
        <v>2942</v>
      </c>
      <c r="K485" s="169">
        <f t="shared" ca="1" si="85"/>
        <v>0</v>
      </c>
      <c r="L485" s="189"/>
      <c r="M485" s="189"/>
      <c r="N485" s="189"/>
      <c r="O485" s="189"/>
      <c r="P485" s="189"/>
    </row>
    <row r="486" spans="1:16" ht="21.75" customHeight="1" x14ac:dyDescent="0.35">
      <c r="A486" s="408"/>
      <c r="B486" s="409"/>
      <c r="C486" s="409"/>
      <c r="D486" s="410"/>
      <c r="E486" s="203"/>
      <c r="F486" s="203"/>
      <c r="G486" s="427"/>
      <c r="H486" s="428" t="s">
        <v>36</v>
      </c>
      <c r="I486" s="210">
        <f ca="1">กระบี่!I486+ชุมพร!I486+ตรัง!I486+นครศรีธรรมราช!I486+นราธิวาส!I486+ปัตตานี!I486+พังงา!I486+พัทลุง!I486+ภูเก็ต!I486+ยะลา!I486+ระนอง!I486+สงขลา!I486+สตูล!I486+สุราษฎร์ธานี!I486</f>
        <v>0</v>
      </c>
      <c r="J486" s="196">
        <f ca="1">กระบี่!J486+ชุมพร!J486+ตรัง!J486+นครศรีธรรมราช!J486+นราธิวาส!J486+ปัตตานี!J486+พังงา!J486+พัทลุง!J486+ภูเก็ต!J486+ยะลา!J486+ระนอง!J486+สงขลา!J486+สตูล!J486+สุราษฎร์ธานี!J486</f>
        <v>404</v>
      </c>
      <c r="K486" s="169">
        <f t="shared" ca="1" si="85"/>
        <v>0</v>
      </c>
      <c r="L486" s="189"/>
      <c r="M486" s="189"/>
      <c r="N486" s="189"/>
      <c r="O486" s="189"/>
      <c r="P486" s="189"/>
    </row>
    <row r="487" spans="1:16" ht="21.75" customHeight="1" x14ac:dyDescent="0.35">
      <c r="A487" s="408"/>
      <c r="B487" s="409"/>
      <c r="C487" s="409"/>
      <c r="D487" s="410"/>
      <c r="E487" s="203"/>
      <c r="F487" s="202" t="s">
        <v>178</v>
      </c>
      <c r="G487" s="427"/>
      <c r="H487" s="428" t="s">
        <v>122</v>
      </c>
      <c r="I487" s="210">
        <f ca="1">กระบี่!I487+ชุมพร!I487+ตรัง!I487+นครศรีธรรมราช!I487+นราธิวาส!I487+ปัตตานี!I487+พังงา!I487+พัทลุง!I487+ภูเก็ต!I487+ยะลา!I487+ระนอง!I487+สงขลา!I487+สตูล!I487+สุราษฎร์ธานี!I487</f>
        <v>0</v>
      </c>
      <c r="J487" s="426">
        <f ca="1">กระบี่!J487+ชุมพร!J487+ตรัง!J487+นครศรีธรรมราช!J487+นราธิวาส!J487+ปัตตานี!J487+พังงา!J487+พัทลุง!J487+ภูเก็ต!J487+ยะลา!J487+ระนอง!J487+สงขลา!J487+สตูล!J487+สุราษฎร์ธานี!J487</f>
        <v>569.42000000000007</v>
      </c>
      <c r="K487" s="169">
        <f t="shared" ca="1" si="85"/>
        <v>0</v>
      </c>
      <c r="L487" s="189"/>
      <c r="M487" s="189"/>
      <c r="N487" s="189"/>
      <c r="O487" s="189"/>
      <c r="P487" s="189"/>
    </row>
    <row r="488" spans="1:16" ht="21.75" customHeight="1" x14ac:dyDescent="0.35">
      <c r="A488" s="408"/>
      <c r="B488" s="409"/>
      <c r="C488" s="409"/>
      <c r="D488" s="410"/>
      <c r="E488" s="203"/>
      <c r="F488" s="203"/>
      <c r="G488" s="203"/>
      <c r="H488" s="428" t="s">
        <v>36</v>
      </c>
      <c r="I488" s="210">
        <f ca="1">กระบี่!I488+ชุมพร!I488+ตรัง!I488+นครศรีธรรมราช!I488+นราธิวาส!I488+ปัตตานี!I488+พังงา!I488+พัทลุง!I488+ภูเก็ต!I488+ยะลา!I488+ระนอง!I488+สงขลา!I488+สตูล!I488+สุราษฎร์ธานี!I488</f>
        <v>0</v>
      </c>
      <c r="J488" s="426">
        <f ca="1">กระบี่!J488+ชุมพร!J488+ตรัง!J488+นครศรีธรรมราช!J488+นราธิวาส!J488+ปัตตานี!J488+พังงา!J488+พัทลุง!J488+ภูเก็ต!J488+ยะลา!J488+ระนอง!J488+สงขลา!J488+สตูล!J488+สุราษฎร์ธานี!J488</f>
        <v>91</v>
      </c>
      <c r="K488" s="169">
        <f t="shared" ca="1" si="85"/>
        <v>0</v>
      </c>
      <c r="L488" s="189"/>
      <c r="M488" s="189"/>
      <c r="N488" s="189"/>
      <c r="O488" s="189"/>
      <c r="P488" s="189"/>
    </row>
    <row r="489" spans="1:16" ht="21.75" customHeight="1" x14ac:dyDescent="0.35">
      <c r="A489" s="408"/>
      <c r="B489" s="409"/>
      <c r="C489" s="409"/>
      <c r="D489" s="410"/>
      <c r="E489" s="203"/>
      <c r="F489" s="203"/>
      <c r="G489" s="202" t="s">
        <v>179</v>
      </c>
      <c r="H489" s="428" t="s">
        <v>122</v>
      </c>
      <c r="I489" s="210">
        <f ca="1">กระบี่!I489+ชุมพร!I489+ตรัง!I489+นครศรีธรรมราช!I489+นราธิวาส!I489+ปัตตานี!I489+พังงา!I489+พัทลุง!I489+ภูเก็ต!I489+ยะลา!I489+ระนอง!I489+สงขลา!I489+สตูล!I489+สุราษฎร์ธานี!I489</f>
        <v>0</v>
      </c>
      <c r="J489" s="196">
        <f ca="1">กระบี่!J489+ชุมพร!J489+ตรัง!J489+นครศรีธรรมราช!J489+นราธิวาส!J489+ปัตตานี!J489+พังงา!J489+พัทลุง!J489+ภูเก็ต!J489+ยะลา!J489+ระนอง!J489+สงขลา!J489+สตูล!J489+สุราษฎร์ธานี!J489</f>
        <v>569.42000000000007</v>
      </c>
      <c r="K489" s="169">
        <f t="shared" ca="1" si="85"/>
        <v>0</v>
      </c>
      <c r="L489" s="189"/>
      <c r="M489" s="189"/>
      <c r="N489" s="189"/>
      <c r="O489" s="189"/>
      <c r="P489" s="189"/>
    </row>
    <row r="490" spans="1:16" ht="21.75" customHeight="1" x14ac:dyDescent="0.35">
      <c r="A490" s="408"/>
      <c r="B490" s="409"/>
      <c r="C490" s="409"/>
      <c r="D490" s="410"/>
      <c r="E490" s="203"/>
      <c r="F490" s="203"/>
      <c r="G490" s="203"/>
      <c r="H490" s="428" t="s">
        <v>36</v>
      </c>
      <c r="I490" s="210">
        <f ca="1">กระบี่!I490+ชุมพร!I490+ตรัง!I490+นครศรีธรรมราช!I490+นราธิวาส!I490+ปัตตานี!I490+พังงา!I490+พัทลุง!I490+ภูเก็ต!I490+ยะลา!I490+ระนอง!I490+สงขลา!I490+สตูล!I490+สุราษฎร์ธานี!I490</f>
        <v>0</v>
      </c>
      <c r="J490" s="196">
        <f ca="1">กระบี่!J490+ชุมพร!J490+ตรัง!J490+นครศรีธรรมราช!J490+นราธิวาส!J490+ปัตตานี!J490+พังงา!J490+พัทลุง!J490+ภูเก็ต!J490+ยะลา!J490+ระนอง!J490+สงขลา!J490+สตูล!J490+สุราษฎร์ธานี!J490</f>
        <v>91</v>
      </c>
      <c r="K490" s="169">
        <f t="shared" ca="1" si="85"/>
        <v>0</v>
      </c>
      <c r="L490" s="189"/>
      <c r="M490" s="189"/>
      <c r="N490" s="189"/>
      <c r="O490" s="189"/>
      <c r="P490" s="189"/>
    </row>
    <row r="491" spans="1:16" ht="21.75" customHeight="1" x14ac:dyDescent="0.35">
      <c r="A491" s="408"/>
      <c r="B491" s="409"/>
      <c r="C491" s="409"/>
      <c r="D491" s="410"/>
      <c r="E491" s="203"/>
      <c r="F491" s="203"/>
      <c r="G491" s="202" t="s">
        <v>180</v>
      </c>
      <c r="H491" s="428" t="s">
        <v>122</v>
      </c>
      <c r="I491" s="210">
        <f ca="1">กระบี่!I491+ชุมพร!I491+ตรัง!I491+นครศรีธรรมราช!I491+นราธิวาส!I491+ปัตตานี!I491+พังงา!I491+พัทลุง!I491+ภูเก็ต!I491+ยะลา!I491+ระนอง!I491+สงขลา!I491+สตูล!I491+สุราษฎร์ธานี!I491</f>
        <v>0</v>
      </c>
      <c r="J491" s="196">
        <f ca="1">กระบี่!J491+ชุมพร!J491+ตรัง!J491+นครศรีธรรมราช!J491+นราธิวาส!J491+ปัตตานี!J491+พังงา!J491+พัทลุง!J491+ภูเก็ต!J491+ยะลา!J491+ระนอง!J491+สงขลา!J491+สตูล!J491+สุราษฎร์ธานี!J491</f>
        <v>0</v>
      </c>
      <c r="K491" s="169">
        <f t="shared" ca="1" si="85"/>
        <v>0</v>
      </c>
      <c r="L491" s="189"/>
      <c r="M491" s="189"/>
      <c r="N491" s="189"/>
      <c r="O491" s="189"/>
      <c r="P491" s="189"/>
    </row>
    <row r="492" spans="1:16" ht="21.75" customHeight="1" x14ac:dyDescent="0.35">
      <c r="A492" s="408"/>
      <c r="B492" s="409"/>
      <c r="C492" s="409"/>
      <c r="D492" s="410"/>
      <c r="E492" s="203"/>
      <c r="F492" s="203"/>
      <c r="G492" s="204"/>
      <c r="H492" s="428" t="s">
        <v>36</v>
      </c>
      <c r="I492" s="210">
        <f ca="1">กระบี่!I492+ชุมพร!I492+ตรัง!I492+นครศรีธรรมราช!I492+นราธิวาส!I492+ปัตตานี!I492+พังงา!I492+พัทลุง!I492+ภูเก็ต!I492+ยะลา!I492+ระนอง!I492+สงขลา!I492+สตูล!I492+สุราษฎร์ธานี!I492</f>
        <v>0</v>
      </c>
      <c r="J492" s="196">
        <f ca="1">กระบี่!J492+ชุมพร!J492+ตรัง!J492+นครศรีธรรมราช!J492+นราธิวาส!J492+ปัตตานี!J492+พังงา!J492+พัทลุง!J492+ภูเก็ต!J492+ยะลา!J492+ระนอง!J492+สงขลา!J492+สตูล!J492+สุราษฎร์ธานี!J492</f>
        <v>0</v>
      </c>
      <c r="K492" s="169">
        <f t="shared" ca="1" si="85"/>
        <v>0</v>
      </c>
      <c r="L492" s="189"/>
      <c r="M492" s="189"/>
      <c r="N492" s="189"/>
      <c r="O492" s="189"/>
      <c r="P492" s="189"/>
    </row>
    <row r="493" spans="1:16" ht="21.75" customHeight="1" x14ac:dyDescent="0.35">
      <c r="A493" s="408"/>
      <c r="B493" s="409"/>
      <c r="C493" s="409"/>
      <c r="D493" s="410"/>
      <c r="E493" s="203"/>
      <c r="F493" s="202" t="s">
        <v>181</v>
      </c>
      <c r="G493" s="427"/>
      <c r="H493" s="428" t="s">
        <v>122</v>
      </c>
      <c r="I493" s="210">
        <f ca="1">กระบี่!I493+ชุมพร!I493+ตรัง!I493+นครศรีธรรมราช!I493+นราธิวาส!I493+ปัตตานี!I493+พังงา!I493+พัทลุง!I493+ภูเก็ต!I493+ยะลา!I493+ระนอง!I493+สงขลา!I493+สตูล!I493+สุราษฎร์ธานี!I493</f>
        <v>0</v>
      </c>
      <c r="J493" s="196">
        <f ca="1">กระบี่!J493+ชุมพร!J493+ตรัง!J493+นครศรีธรรมราช!J493+นราธิวาส!J493+ปัตตานี!J493+พังงา!J493+พัทลุง!J493+ภูเก็ต!J493+ยะลา!J493+ระนอง!J493+สงขลา!J493+สตูล!J493+สุราษฎร์ธานี!J493</f>
        <v>0</v>
      </c>
      <c r="K493" s="169">
        <f t="shared" ca="1" si="85"/>
        <v>0</v>
      </c>
      <c r="L493" s="189"/>
      <c r="M493" s="189"/>
      <c r="N493" s="189"/>
      <c r="O493" s="189"/>
      <c r="P493" s="189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กระบี่!I494+ชุมพร!I494+ตรัง!I494+นครศรีธรรมราช!I494+นราธิวาส!I494+ปัตตานี!I494+พังงา!I494+พัทลุง!I494+ภูเก็ต!I494+ยะลา!I494+ระนอง!I494+สงขลา!I494+สตูล!I494+สุราษฎร์ธานี!I494</f>
        <v>0</v>
      </c>
      <c r="J494" s="442">
        <f ca="1">กระบี่!J494+ชุมพร!J494+ตรัง!J494+นครศรีธรรมราช!J494+นราธิวาส!J494+ปัตตานี!J494+พังงา!J494+พัทลุง!J494+ภูเก็ต!J494+ยะลา!J494+ระนอง!J494+สงขลา!J494+สตูล!J494+สุราษฎร์ธานี!J494</f>
        <v>0</v>
      </c>
      <c r="K494" s="294">
        <f t="shared" ca="1" si="85"/>
        <v>0</v>
      </c>
      <c r="L494" s="252"/>
      <c r="M494" s="252"/>
      <c r="N494" s="252"/>
      <c r="O494" s="252"/>
      <c r="P494" s="252"/>
    </row>
    <row r="495" spans="1:16" ht="21.75" customHeight="1" x14ac:dyDescent="0.35">
      <c r="A495" s="408"/>
      <c r="B495" s="409"/>
      <c r="C495" s="409"/>
      <c r="D495" s="410"/>
      <c r="E495" s="203"/>
      <c r="F495" s="203">
        <v>3.5</v>
      </c>
      <c r="G495" s="427" t="s">
        <v>182</v>
      </c>
      <c r="H495" s="428" t="s">
        <v>122</v>
      </c>
      <c r="I495" s="441">
        <f ca="1">กระบี่!I495+ชุมพร!I495+ตรัง!I495+นครศรีธรรมราช!I495+นราธิวาส!I495+ปัตตานี!I495+พังงา!I495+พัทลุง!I495+ภูเก็ต!I495+ยะลา!I495+ระนอง!I495+สงขลา!I495+สตูล!I495+สุราษฎร์ธานี!I495</f>
        <v>0</v>
      </c>
      <c r="J495" s="442">
        <f ca="1">กระบี่!J495+ชุมพร!J495+ตรัง!J495+นครศรีธรรมราช!J495+นราธิวาส!J495+ปัตตานี!J495+พังงา!J495+พัทลุง!J495+ภูเก็ต!J495+ยะลา!J495+ระนอง!J495+สงขลา!J495+สตูล!J495+สุราษฎร์ธานี!J495</f>
        <v>0</v>
      </c>
      <c r="K495" s="169">
        <f t="shared" ca="1" si="85"/>
        <v>0</v>
      </c>
      <c r="L495" s="189"/>
      <c r="M495" s="189"/>
      <c r="N495" s="189"/>
      <c r="O495" s="189"/>
      <c r="P495" s="189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กระบี่!I496+ชุมพร!I496+ตรัง!I496+นครศรีธรรมราช!I496+นราธิวาส!I496+ปัตตานี!I496+พังงา!I496+พัทลุง!I496+ภูเก็ต!I496+ยะลา!I496+ระนอง!I496+สงขลา!I496+สตูล!I496+สุราษฎร์ธานี!I496</f>
        <v>0</v>
      </c>
      <c r="J496" s="442">
        <f ca="1">กระบี่!J496+ชุมพร!J496+ตรัง!J496+นครศรีธรรมราช!J496+นราธิวาส!J496+ปัตตานี!J496+พังงา!J496+พัทลุง!J496+ภูเก็ต!J496+ยะลา!J496+ระนอง!J496+สงขลา!J496+สตูล!J496+สุราษฎร์ธานี!J496</f>
        <v>0</v>
      </c>
      <c r="K496" s="294">
        <f t="shared" ca="1" si="85"/>
        <v>0</v>
      </c>
      <c r="L496" s="252"/>
      <c r="M496" s="252"/>
      <c r="N496" s="252"/>
      <c r="O496" s="252"/>
      <c r="P496" s="252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กระบี่!I497+ชุมพร!I497+ตรัง!I497+นครศรีธรรมราช!I497+นราธิวาส!I497+ปัตตานี!I497+พังงา!I497+พัทลุง!I497+ภูเก็ต!I497+ยะลา!I497+ระนอง!I497+สงขลา!I497+สตูล!I497+สุราษฎร์ธานี!I497</f>
        <v>9523</v>
      </c>
      <c r="J497" s="449">
        <f ca="1">กระบี่!J497+ชุมพร!J497+ตรัง!J497+นครศรีธรรมราช!J497+นราธิวาส!J497+ปัตตานี!J497+พังงา!J497+พัทลุง!J497+ภูเก็ต!J497+ยะลา!J497+ระนอง!J497+สงขลา!J497+สตูล!J497+สุราษฎร์ธานี!J497</f>
        <v>1469.1100000000001</v>
      </c>
      <c r="K497" s="450">
        <f t="shared" ca="1" si="85"/>
        <v>15.426966292134832</v>
      </c>
      <c r="L497" s="451"/>
      <c r="M497" s="451"/>
      <c r="N497" s="451"/>
      <c r="O497" s="451"/>
      <c r="P497" s="451"/>
    </row>
    <row r="498" spans="1:16" ht="21.75" customHeight="1" x14ac:dyDescent="0.35">
      <c r="A498" s="183"/>
      <c r="B498" s="184"/>
      <c r="C498" s="184"/>
      <c r="D498" s="410"/>
      <c r="E498" s="452" t="s">
        <v>184</v>
      </c>
      <c r="F498" s="453"/>
      <c r="G498" s="454"/>
      <c r="H498" s="455" t="s">
        <v>122</v>
      </c>
      <c r="I498" s="426">
        <f ca="1">กระบี่!I498+ชุมพร!I498+ตรัง!I498+นครศรีธรรมราช!I498+นราธิวาส!I498+ปัตตานี!I498+พังงา!I498+พัทลุง!I498+ภูเก็ต!I498+ยะลา!I498+ระนอง!I498+สงขลา!I498+สตูล!I498+สุราษฎร์ธานี!I498</f>
        <v>9523</v>
      </c>
      <c r="J498" s="426">
        <f ca="1">กระบี่!J498+ชุมพร!J498+ตรัง!J498+นครศรีธรรมราช!J498+นราธิวาส!J498+ปัตตานี!J498+พังงา!J498+พัทลุง!J498+ภูเก็ต!J498+ยะลา!J498+ระนอง!J498+สงขลา!J498+สตูล!J498+สุราษฎร์ธานี!J498</f>
        <v>1469.1100000000001</v>
      </c>
      <c r="K498" s="169">
        <f t="shared" ca="1" si="85"/>
        <v>15.426966292134832</v>
      </c>
      <c r="L498" s="189"/>
      <c r="M498" s="189"/>
      <c r="N498" s="189"/>
      <c r="O498" s="189"/>
      <c r="P498" s="189"/>
    </row>
    <row r="499" spans="1:16" ht="21.75" customHeight="1" x14ac:dyDescent="0.35">
      <c r="A499" s="183"/>
      <c r="B499" s="184"/>
      <c r="C499" s="184"/>
      <c r="D499" s="201"/>
      <c r="E499" s="453"/>
      <c r="F499" s="453"/>
      <c r="G499" s="454"/>
      <c r="H499" s="455" t="s">
        <v>36</v>
      </c>
      <c r="I499" s="426">
        <f ca="1">กระบี่!I499+ชุมพร!I499+ตรัง!I499+นครศรีธรรมราช!I499+นราธิวาส!I499+ปัตตานี!I499+พังงา!I499+พัทลุง!I499+ภูเก็ต!I499+ยะลา!I499+ระนอง!I499+สงขลา!I499+สตูล!I499+สุราษฎร์ธานี!I499</f>
        <v>935</v>
      </c>
      <c r="J499" s="426">
        <f ca="1">กระบี่!J499+ชุมพร!J499+ตรัง!J499+นครศรีธรรมราช!J499+นราธิวาส!J499+ปัตตานี!J499+พังงา!J499+พัทลุง!J499+ภูเก็ต!J499+ยะลา!J499+ระนอง!J499+สงขลา!J499+สตูล!J499+สุราษฎร์ธานี!J499</f>
        <v>172</v>
      </c>
      <c r="K499" s="209">
        <f t="shared" ca="1" si="85"/>
        <v>18.395721925133689</v>
      </c>
      <c r="L499" s="189"/>
      <c r="M499" s="189"/>
      <c r="N499" s="189"/>
      <c r="O499" s="189"/>
      <c r="P499" s="189"/>
    </row>
    <row r="500" spans="1:16" ht="21.75" customHeight="1" x14ac:dyDescent="0.35">
      <c r="A500" s="183"/>
      <c r="B500" s="184"/>
      <c r="C500" s="184"/>
      <c r="D500" s="410"/>
      <c r="E500" s="410" t="s">
        <v>185</v>
      </c>
      <c r="F500" s="203"/>
      <c r="G500" s="204"/>
      <c r="H500" s="428" t="s">
        <v>122</v>
      </c>
      <c r="I500" s="210">
        <f ca="1">กระบี่!I500+ชุมพร!I500+ตรัง!I500+นครศรีธรรมราช!I500+นราธิวาส!I500+ปัตตานี!I500+พังงา!I500+พัทลุง!I500+ภูเก็ต!I500+ยะลา!I500+ระนอง!I500+สงขลา!I500+สตูล!I500+สุราษฎร์ธานี!I500</f>
        <v>0</v>
      </c>
      <c r="J500" s="168">
        <f ca="1">กระบี่!J500+ชุมพร!J500+ตรัง!J500+นครศรีธรรมราช!J500+นราธิวาส!J500+ปัตตานี!J500+พังงา!J500+พัทลุง!J500+ภูเก็ต!J500+ยะลา!J500+ระนอง!J500+สงขลา!J500+สตูล!J500+สุราษฎร์ธานี!J500</f>
        <v>1424.22</v>
      </c>
      <c r="K500" s="169">
        <f t="shared" ca="1" si="85"/>
        <v>0</v>
      </c>
      <c r="L500" s="189"/>
      <c r="M500" s="189"/>
      <c r="N500" s="189"/>
      <c r="O500" s="189"/>
      <c r="P500" s="189"/>
    </row>
    <row r="501" spans="1:16" ht="21.75" customHeight="1" x14ac:dyDescent="0.35">
      <c r="A501" s="183"/>
      <c r="B501" s="184"/>
      <c r="C501" s="184"/>
      <c r="D501" s="201"/>
      <c r="E501" s="203"/>
      <c r="F501" s="203"/>
      <c r="G501" s="204"/>
      <c r="H501" s="428" t="s">
        <v>36</v>
      </c>
      <c r="I501" s="210">
        <f ca="1">กระบี่!I501+ชุมพร!I501+ตรัง!I501+นครศรีธรรมราช!I501+นราธิวาส!I501+ปัตตานี!I501+พังงา!I501+พัทลุง!I501+ภูเก็ต!I501+ยะลา!I501+ระนอง!I501+สงขลา!I501+สตูล!I501+สุราษฎร์ธานี!I501</f>
        <v>0</v>
      </c>
      <c r="J501" s="168">
        <f ca="1">กระบี่!J501+ชุมพร!J501+ตรัง!J501+นครศรีธรรมราช!J501+นราธิวาส!J501+ปัตตานี!J501+พังงา!J501+พัทลุง!J501+ภูเก็ต!J501+ยะลา!J501+ระนอง!J501+สงขลา!J501+สตูล!J501+สุราษฎร์ธานี!J501</f>
        <v>163</v>
      </c>
      <c r="K501" s="169">
        <f t="shared" ca="1" si="85"/>
        <v>0</v>
      </c>
      <c r="L501" s="189"/>
      <c r="M501" s="189"/>
      <c r="N501" s="189"/>
      <c r="O501" s="189"/>
      <c r="P501" s="189"/>
    </row>
    <row r="502" spans="1:16" ht="21.75" customHeight="1" x14ac:dyDescent="0.35">
      <c r="A502" s="183"/>
      <c r="B502" s="184"/>
      <c r="C502" s="184"/>
      <c r="D502" s="201"/>
      <c r="E502" s="203"/>
      <c r="F502" s="405" t="s">
        <v>186</v>
      </c>
      <c r="G502" s="427"/>
      <c r="H502" s="428" t="s">
        <v>122</v>
      </c>
      <c r="I502" s="210">
        <f ca="1">กระบี่!I502+ชุมพร!I502+ตรัง!I502+นครศรีธรรมราช!I502+นราธิวาส!I502+ปัตตานี!I502+พังงา!I502+พัทลุง!I502+ภูเก็ต!I502+ยะลา!I502+ระนอง!I502+สงขลา!I502+สตูล!I502+สุราษฎร์ธานี!I502</f>
        <v>0</v>
      </c>
      <c r="J502" s="196">
        <f ca="1">กระบี่!J502+ชุมพร!J502+ตรัง!J502+นครศรีธรรมราช!J502+นราธิวาส!J502+ปัตตานี!J502+พังงา!J502+พัทลุง!J502+ภูเก็ต!J502+ยะลา!J502+ระนอง!J502+สงขลา!J502+สตูล!J502+สุราษฎร์ธานี!J502</f>
        <v>1235.55</v>
      </c>
      <c r="K502" s="169">
        <f t="shared" ca="1" si="85"/>
        <v>0</v>
      </c>
      <c r="L502" s="189"/>
      <c r="M502" s="189"/>
      <c r="N502" s="189"/>
      <c r="O502" s="189"/>
      <c r="P502" s="189"/>
    </row>
    <row r="503" spans="1:16" ht="21.75" customHeight="1" x14ac:dyDescent="0.35">
      <c r="A503" s="183"/>
      <c r="B503" s="184"/>
      <c r="C503" s="184"/>
      <c r="D503" s="201"/>
      <c r="E503" s="203"/>
      <c r="F503" s="203"/>
      <c r="G503" s="427"/>
      <c r="H503" s="428" t="s">
        <v>36</v>
      </c>
      <c r="I503" s="195">
        <f ca="1">กระบี่!I503+ชุมพร!I503+ตรัง!I503+นครศรีธรรมราช!I503+นราธิวาส!I503+ปัตตานี!I503+พังงา!I503+พัทลุง!I503+ภูเก็ต!I503+ยะลา!I503+ระนอง!I503+สงขลา!I503+สตูล!I503+สุราษฎร์ธานี!I503</f>
        <v>0</v>
      </c>
      <c r="J503" s="205">
        <f ca="1">กระบี่!J503+ชุมพร!J503+ตรัง!J503+นครศรีธรรมราช!J503+นราธิวาส!J503+ปัตตานี!J503+พังงา!J503+พัทลุง!J503+ภูเก็ต!J503+ยะลา!J503+ระนอง!J503+สงขลา!J503+สตูล!J503+สุราษฎร์ธานี!J503</f>
        <v>136</v>
      </c>
      <c r="K503" s="169">
        <f t="shared" ca="1" si="85"/>
        <v>0</v>
      </c>
      <c r="L503" s="189"/>
      <c r="M503" s="189"/>
      <c r="N503" s="189"/>
      <c r="O503" s="189"/>
      <c r="P503" s="189"/>
    </row>
    <row r="504" spans="1:16" ht="21.75" customHeight="1" x14ac:dyDescent="0.35">
      <c r="A504" s="183"/>
      <c r="B504" s="184"/>
      <c r="C504" s="184"/>
      <c r="D504" s="201"/>
      <c r="E504" s="203"/>
      <c r="F504" s="396" t="s">
        <v>187</v>
      </c>
      <c r="G504" s="427"/>
      <c r="H504" s="428" t="s">
        <v>122</v>
      </c>
      <c r="I504" s="211">
        <f ca="1">กระบี่!I504+ชุมพร!I504+ตรัง!I504+นครศรีธรรมราช!I504+นราธิวาส!I504+ปัตตานี!I504+พังงา!I504+พัทลุง!I504+ภูเก็ต!I504+ยะลา!I504+ระนอง!I504+สงขลา!I504+สตูล!I504+สุราษฎร์ธานี!I504</f>
        <v>0</v>
      </c>
      <c r="J504" s="196">
        <f ca="1">กระบี่!J504+ชุมพร!J504+ตรัง!J504+นครศรีธรรมราช!J504+นราธิวาส!J504+ปัตตานี!J504+พังงา!J504+พัทลุง!J504+ภูเก็ต!J504+ยะลา!J504+ระนอง!J504+สงขลา!J504+สตูล!J504+สุราษฎร์ธานี!J504</f>
        <v>188.67</v>
      </c>
      <c r="K504" s="169">
        <f t="shared" ca="1" si="85"/>
        <v>0</v>
      </c>
      <c r="L504" s="189"/>
      <c r="M504" s="189"/>
      <c r="N504" s="189"/>
      <c r="O504" s="189"/>
      <c r="P504" s="189"/>
    </row>
    <row r="505" spans="1:16" ht="21.75" customHeight="1" x14ac:dyDescent="0.35">
      <c r="A505" s="183"/>
      <c r="B505" s="184"/>
      <c r="C505" s="184"/>
      <c r="D505" s="201"/>
      <c r="E505" s="203"/>
      <c r="F505" s="203"/>
      <c r="G505" s="427"/>
      <c r="H505" s="428" t="s">
        <v>36</v>
      </c>
      <c r="I505" s="195">
        <f ca="1">กระบี่!I505+ชุมพร!I505+ตรัง!I505+นครศรีธรรมราช!I505+นราธิวาส!I505+ปัตตานี!I505+พังงา!I505+พัทลุง!I505+ภูเก็ต!I505+ยะลา!I505+ระนอง!I505+สงขลา!I505+สตูล!I505+สุราษฎร์ธานี!I505</f>
        <v>0</v>
      </c>
      <c r="J505" s="205">
        <f ca="1">กระบี่!J505+ชุมพร!J505+ตรัง!J505+นครศรีธรรมราช!J505+นราธิวาส!J505+ปัตตานี!J505+พังงา!J505+พัทลุง!J505+ภูเก็ต!J505+ยะลา!J505+ระนอง!J505+สงขลา!J505+สตูล!J505+สุราษฎร์ธานี!J505</f>
        <v>27</v>
      </c>
      <c r="K505" s="169">
        <f t="shared" ca="1" si="85"/>
        <v>0</v>
      </c>
      <c r="L505" s="189"/>
      <c r="M505" s="189"/>
      <c r="N505" s="189"/>
      <c r="O505" s="189"/>
      <c r="P505" s="189"/>
    </row>
    <row r="506" spans="1:16" ht="21.75" customHeight="1" x14ac:dyDescent="0.35">
      <c r="A506" s="183"/>
      <c r="B506" s="184"/>
      <c r="C506" s="184"/>
      <c r="D506" s="201"/>
      <c r="E506" s="203"/>
      <c r="F506" s="405" t="s">
        <v>188</v>
      </c>
      <c r="G506" s="427"/>
      <c r="H506" s="428" t="s">
        <v>122</v>
      </c>
      <c r="I506" s="211">
        <f ca="1">กระบี่!I506+ชุมพร!I506+ตรัง!I506+นครศรีธรรมราช!I506+นราธิวาส!I506+ปัตตานี!I506+พังงา!I506+พัทลุง!I506+ภูเก็ต!I506+ยะลา!I506+ระนอง!I506+สงขลา!I506+สตูล!I506+สุราษฎร์ธานี!I506</f>
        <v>0</v>
      </c>
      <c r="J506" s="196">
        <f ca="1">กระบี่!J506+ชุมพร!J506+ตรัง!J506+นครศรีธรรมราช!J506+นราธิวาส!J506+ปัตตานี!J506+พังงา!J506+พัทลุง!J506+ภูเก็ต!J506+ยะลา!J506+ระนอง!J506+สงขลา!J506+สตูล!J506+สุราษฎร์ธานี!J506</f>
        <v>0</v>
      </c>
      <c r="K506" s="169">
        <f t="shared" ca="1" si="85"/>
        <v>0</v>
      </c>
      <c r="L506" s="189"/>
      <c r="M506" s="189"/>
      <c r="N506" s="189"/>
      <c r="O506" s="189"/>
      <c r="P506" s="189"/>
    </row>
    <row r="507" spans="1:16" ht="21.75" customHeight="1" x14ac:dyDescent="0.35">
      <c r="A507" s="183"/>
      <c r="B507" s="184"/>
      <c r="C507" s="184"/>
      <c r="D507" s="201"/>
      <c r="E507" s="203"/>
      <c r="F507" s="203"/>
      <c r="G507" s="203"/>
      <c r="H507" s="428" t="s">
        <v>36</v>
      </c>
      <c r="I507" s="195">
        <f ca="1">กระบี่!I507+ชุมพร!I507+ตรัง!I507+นครศรีธรรมราช!I507+นราธิวาส!I507+ปัตตานี!I507+พังงา!I507+พัทลุง!I507+ภูเก็ต!I507+ยะลา!I507+ระนอง!I507+สงขลา!I507+สตูล!I507+สุราษฎร์ธานี!I507</f>
        <v>0</v>
      </c>
      <c r="J507" s="205">
        <f ca="1">กระบี่!J507+ชุมพร!J507+ตรัง!J507+นครศรีธรรมราช!J507+นราธิวาส!J507+ปัตตานี!J507+พังงา!J507+พัทลุง!J507+ภูเก็ต!J507+ยะลา!J507+ระนอง!J507+สงขลา!J507+สตูล!J507+สุราษฎร์ธานี!J507</f>
        <v>0</v>
      </c>
      <c r="K507" s="169">
        <f t="shared" ca="1" si="85"/>
        <v>0</v>
      </c>
      <c r="L507" s="189"/>
      <c r="M507" s="189"/>
      <c r="N507" s="189"/>
      <c r="O507" s="189"/>
      <c r="P507" s="189"/>
    </row>
    <row r="508" spans="1:16" ht="21.75" customHeight="1" x14ac:dyDescent="0.35">
      <c r="A508" s="183"/>
      <c r="B508" s="184"/>
      <c r="C508" s="184"/>
      <c r="D508" s="201"/>
      <c r="E508" s="202" t="s">
        <v>189</v>
      </c>
      <c r="F508" s="203"/>
      <c r="G508" s="427"/>
      <c r="H508" s="428" t="s">
        <v>122</v>
      </c>
      <c r="I508" s="195">
        <f ca="1">กระบี่!I508+ชุมพร!I508+ตรัง!I508+นครศรีธรรมราช!I508+นราธิวาส!I508+ปัตตานี!I508+พังงา!I508+พัทลุง!I508+ภูเก็ต!I508+ยะลา!I508+ระนอง!I508+สงขลา!I508+สตูล!I508+สุราษฎร์ธานี!I508</f>
        <v>0</v>
      </c>
      <c r="J508" s="168">
        <f ca="1">กระบี่!J508+ชุมพร!J508+ตรัง!J508+นครศรีธรรมราช!J508+นราธิวาส!J508+ปัตตานี!J508+พังงา!J508+พัทลุง!J508+ภูเก็ต!J508+ยะลา!J508+ระนอง!J508+สงขลา!J508+สตูล!J508+สุราษฎร์ธานี!J508</f>
        <v>44.89</v>
      </c>
      <c r="K508" s="169">
        <f t="shared" ca="1" si="85"/>
        <v>0</v>
      </c>
      <c r="L508" s="189"/>
      <c r="M508" s="189"/>
      <c r="N508" s="189"/>
      <c r="O508" s="189"/>
      <c r="P508" s="189"/>
    </row>
    <row r="509" spans="1:16" ht="21.75" customHeight="1" x14ac:dyDescent="0.35">
      <c r="A509" s="183"/>
      <c r="B509" s="184"/>
      <c r="C509" s="184"/>
      <c r="D509" s="201"/>
      <c r="E509" s="203"/>
      <c r="F509" s="203"/>
      <c r="G509" s="203"/>
      <c r="H509" s="428" t="s">
        <v>36</v>
      </c>
      <c r="I509" s="195">
        <f ca="1">กระบี่!I509+ชุมพร!I509+ตรัง!I509+นครศรีธรรมราช!I509+นราธิวาส!I509+ปัตตานี!I509+พังงา!I509+พัทลุง!I509+ภูเก็ต!I509+ยะลา!I509+ระนอง!I509+สงขลา!I509+สตูล!I509+สุราษฎร์ธานี!I509</f>
        <v>0</v>
      </c>
      <c r="J509" s="168">
        <f ca="1">กระบี่!J509+ชุมพร!J509+ตรัง!J509+นครศรีธรรมราช!J509+นราธิวาส!J509+ปัตตานี!J509+พังงา!J509+พัทลุง!J509+ภูเก็ต!J509+ยะลา!J509+ระนอง!J509+สงขลา!J509+สตูล!J509+สุราษฎร์ธานี!J509</f>
        <v>9</v>
      </c>
      <c r="K509" s="169">
        <f t="shared" ca="1" si="85"/>
        <v>0</v>
      </c>
      <c r="L509" s="189"/>
      <c r="M509" s="189"/>
      <c r="N509" s="189"/>
      <c r="O509" s="189"/>
      <c r="P509" s="189"/>
    </row>
    <row r="510" spans="1:16" ht="21.75" customHeight="1" x14ac:dyDescent="0.35">
      <c r="A510" s="183"/>
      <c r="B510" s="184"/>
      <c r="C510" s="184"/>
      <c r="D510" s="201"/>
      <c r="E510" s="203"/>
      <c r="F510" s="202" t="s">
        <v>190</v>
      </c>
      <c r="G510" s="203"/>
      <c r="H510" s="428" t="s">
        <v>122</v>
      </c>
      <c r="I510" s="195">
        <f ca="1">กระบี่!I510+ชุมพร!I510+ตรัง!I510+นครศรีธรรมราช!I510+นราธิวาส!I510+ปัตตานี!I510+พังงา!I510+พัทลุง!I510+ภูเก็ต!I510+ยะลา!I510+ระนอง!I510+สงขลา!I510+สตูล!I510+สุราษฎร์ธานี!I510</f>
        <v>0</v>
      </c>
      <c r="J510" s="205">
        <f ca="1">กระบี่!J510+ชุมพร!J510+ตรัง!J510+นครศรีธรรมราช!J510+นราธิวาส!J510+ปัตตานี!J510+พังงา!J510+พัทลุง!J510+ภูเก็ต!J510+ยะลา!J510+ระนอง!J510+สงขลา!J510+สตูล!J510+สุราษฎร์ธานี!J510</f>
        <v>30</v>
      </c>
      <c r="K510" s="169">
        <f t="shared" ca="1" si="85"/>
        <v>0</v>
      </c>
      <c r="L510" s="189"/>
      <c r="M510" s="189"/>
      <c r="N510" s="189"/>
      <c r="O510" s="189"/>
      <c r="P510" s="189"/>
    </row>
    <row r="511" spans="1:16" ht="21.75" customHeight="1" x14ac:dyDescent="0.35">
      <c r="A511" s="183"/>
      <c r="B511" s="184"/>
      <c r="C511" s="184"/>
      <c r="D511" s="201"/>
      <c r="E511" s="203"/>
      <c r="F511" s="203"/>
      <c r="G511" s="203"/>
      <c r="H511" s="428" t="s">
        <v>36</v>
      </c>
      <c r="I511" s="195">
        <f ca="1">กระบี่!I511+ชุมพร!I511+ตรัง!I511+นครศรีธรรมราช!I511+นราธิวาส!I511+ปัตตานี!I511+พังงา!I511+พัทลุง!I511+ภูเก็ต!I511+ยะลา!I511+ระนอง!I511+สงขลา!I511+สตูล!I511+สุราษฎร์ธานี!I511</f>
        <v>0</v>
      </c>
      <c r="J511" s="205">
        <f ca="1">กระบี่!J511+ชุมพร!J511+ตรัง!J511+นครศรีธรรมราช!J511+นราธิวาส!J511+ปัตตานี!J511+พังงา!J511+พัทลุง!J511+ภูเก็ต!J511+ยะลา!J511+ระนอง!J511+สงขลา!J511+สตูล!J511+สุราษฎร์ธานี!J511</f>
        <v>8</v>
      </c>
      <c r="K511" s="169">
        <f t="shared" ca="1" si="85"/>
        <v>0</v>
      </c>
      <c r="L511" s="189"/>
      <c r="M511" s="189"/>
      <c r="N511" s="189"/>
      <c r="O511" s="189"/>
      <c r="P511" s="189"/>
    </row>
    <row r="512" spans="1:16" ht="21.75" customHeight="1" x14ac:dyDescent="0.35">
      <c r="A512" s="183"/>
      <c r="B512" s="184"/>
      <c r="C512" s="184"/>
      <c r="D512" s="201"/>
      <c r="E512" s="203"/>
      <c r="F512" s="202" t="s">
        <v>191</v>
      </c>
      <c r="G512" s="203"/>
      <c r="H512" s="428" t="s">
        <v>122</v>
      </c>
      <c r="I512" s="195">
        <f ca="1">กระบี่!I512+ชุมพร!I512+ตรัง!I512+นครศรีธรรมราช!I512+นราธิวาส!I512+ปัตตานี!I512+พังงา!I512+พัทลุง!I512+ภูเก็ต!I512+ยะลา!I512+ระนอง!I512+สงขลา!I512+สตูล!I512+สุราษฎร์ธานี!I512</f>
        <v>0</v>
      </c>
      <c r="J512" s="205">
        <f ca="1">กระบี่!J512+ชุมพร!J512+ตรัง!J512+นครศรีธรรมราช!J512+นราธิวาส!J512+ปัตตานี!J512+พังงา!J512+พัทลุง!J512+ภูเก็ต!J512+ยะลา!J512+ระนอง!J512+สงขลา!J512+สตูล!J512+สุราษฎร์ธานี!J512</f>
        <v>14.89</v>
      </c>
      <c r="K512" s="169">
        <f t="shared" ca="1" si="85"/>
        <v>0</v>
      </c>
      <c r="L512" s="189"/>
      <c r="M512" s="189"/>
      <c r="N512" s="189"/>
      <c r="O512" s="189"/>
      <c r="P512" s="189"/>
    </row>
    <row r="513" spans="1:16" ht="21.75" customHeight="1" x14ac:dyDescent="0.35">
      <c r="A513" s="183"/>
      <c r="B513" s="184"/>
      <c r="C513" s="184"/>
      <c r="D513" s="201"/>
      <c r="E513" s="203"/>
      <c r="F513" s="203"/>
      <c r="G513" s="204"/>
      <c r="H513" s="428" t="s">
        <v>36</v>
      </c>
      <c r="I513" s="195">
        <f ca="1">กระบี่!I513+ชุมพร!I513+ตรัง!I513+นครศรีธรรมราช!I513+นราธิวาส!I513+ปัตตานี!I513+พังงา!I513+พัทลุง!I513+ภูเก็ต!I513+ยะลา!I513+ระนอง!I513+สงขลา!I513+สตูล!I513+สุราษฎร์ธานี!I513</f>
        <v>0</v>
      </c>
      <c r="J513" s="205">
        <f ca="1">กระบี่!J513+ชุมพร!J513+ตรัง!J513+นครศรีธรรมราช!J513+นราธิวาส!J513+ปัตตานี!J513+พังงา!J513+พัทลุง!J513+ภูเก็ต!J513+ยะลา!J513+ระนอง!J513+สงขลา!J513+สตูล!J513+สุราษฎร์ธานี!J513</f>
        <v>1</v>
      </c>
      <c r="K513" s="169">
        <f t="shared" ca="1" si="85"/>
        <v>0</v>
      </c>
      <c r="L513" s="189"/>
      <c r="M513" s="189"/>
      <c r="N513" s="189"/>
      <c r="O513" s="189"/>
      <c r="P513" s="189"/>
    </row>
    <row r="514" spans="1:16" ht="21.75" customHeight="1" x14ac:dyDescent="0.35">
      <c r="A514" s="183"/>
      <c r="B514" s="184"/>
      <c r="C514" s="184"/>
      <c r="D514" s="410"/>
      <c r="E514" s="456" t="s">
        <v>192</v>
      </c>
      <c r="F514" s="203"/>
      <c r="G514" s="204"/>
      <c r="H514" s="428" t="s">
        <v>122</v>
      </c>
      <c r="I514" s="195">
        <f ca="1">กระบี่!I514+ชุมพร!I514+ตรัง!I514+นครศรีธรรมราช!I514+นราธิวาส!I514+ปัตตานี!I514+พังงา!I514+พัทลุง!I514+ภูเก็ต!I514+ยะลา!I514+ระนอง!I514+สงขลา!I514+สตูล!I514+สุราษฎร์ธานี!I514</f>
        <v>0</v>
      </c>
      <c r="J514" s="205">
        <f ca="1">กระบี่!J514+ชุมพร!J514+ตรัง!J514+นครศรีธรรมราช!J514+นราธิวาส!J514+ปัตตานี!J514+พังงา!J514+พัทลุง!J514+ภูเก็ต!J514+ยะลา!J514+ระนอง!J514+สงขลา!J514+สตูล!J514+สุราษฎร์ธานี!J514</f>
        <v>0</v>
      </c>
      <c r="K514" s="169">
        <f t="shared" ca="1" si="85"/>
        <v>0</v>
      </c>
      <c r="L514" s="189"/>
      <c r="M514" s="189"/>
      <c r="N514" s="189"/>
      <c r="O514" s="189"/>
      <c r="P514" s="189"/>
    </row>
    <row r="515" spans="1:16" ht="21.75" customHeight="1" x14ac:dyDescent="0.35">
      <c r="A515" s="183"/>
      <c r="B515" s="184"/>
      <c r="C515" s="184"/>
      <c r="D515" s="201"/>
      <c r="E515" s="203"/>
      <c r="F515" s="203"/>
      <c r="G515" s="204"/>
      <c r="H515" s="428" t="s">
        <v>36</v>
      </c>
      <c r="I515" s="195">
        <f ca="1">กระบี่!I515+ชุมพร!I515+ตรัง!I515+นครศรีธรรมราช!I515+นราธิวาส!I515+ปัตตานี!I515+พังงา!I515+พัทลุง!I515+ภูเก็ต!I515+ยะลา!I515+ระนอง!I515+สงขลา!I515+สตูล!I515+สุราษฎร์ธานี!I515</f>
        <v>0</v>
      </c>
      <c r="J515" s="205">
        <f ca="1">กระบี่!J515+ชุมพร!J515+ตรัง!J515+นครศรีธรรมราช!J515+นราธิวาส!J515+ปัตตานี!J515+พังงา!J515+พัทลุง!J515+ภูเก็ต!J515+ยะลา!J515+ระนอง!J515+สงขลา!J515+สตูล!J515+สุราษฎร์ธานี!J515</f>
        <v>0</v>
      </c>
      <c r="K515" s="169">
        <f t="shared" ca="1" si="85"/>
        <v>0</v>
      </c>
      <c r="L515" s="189"/>
      <c r="M515" s="189"/>
      <c r="N515" s="189"/>
      <c r="O515" s="189"/>
      <c r="P515" s="189"/>
    </row>
    <row r="516" spans="1:16" ht="21.75" customHeight="1" x14ac:dyDescent="0.35">
      <c r="A516" s="183"/>
      <c r="B516" s="184"/>
      <c r="C516" s="421" t="s">
        <v>193</v>
      </c>
      <c r="D516" s="421"/>
      <c r="E516" s="457"/>
      <c r="F516" s="457"/>
      <c r="G516" s="458"/>
      <c r="H516" s="459" t="s">
        <v>122</v>
      </c>
      <c r="I516" s="274">
        <f ca="1">กระบี่!I516+ชุมพร!I516+ตรัง!I516+นครศรีธรรมราช!I516+นราธิวาส!I516+ปัตตานี!I516+พังงา!I516+พัทลุง!I516+ภูเก็ต!I516+ยะลา!I516+ระนอง!I516+สงขลา!I516+สตูล!I516+สุราษฎร์ธานี!I516</f>
        <v>0</v>
      </c>
      <c r="J516" s="274">
        <f ca="1">กระบี่!J516+ชุมพร!J516+ตรัง!J516+นครศรีธรรมราช!J516+นราธิวาส!J516+ปัตตานี!J516+พังงา!J516+พัทลุง!J516+ภูเก็ต!J516+ยะลา!J516+ระนอง!J516+สงขลา!J516+สตูล!J516+สุราษฎร์ธานี!J516</f>
        <v>0</v>
      </c>
      <c r="K516" s="275">
        <v>0</v>
      </c>
      <c r="L516" s="189"/>
      <c r="M516" s="189"/>
      <c r="N516" s="189"/>
      <c r="O516" s="189"/>
      <c r="P516" s="189"/>
    </row>
    <row r="517" spans="1:16" ht="21.75" customHeight="1" x14ac:dyDescent="0.35">
      <c r="A517" s="183"/>
      <c r="B517" s="184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กระบี่!I517+ชุมพร!I517+ตรัง!I517+นครศรีธรรมราช!I517+นราธิวาส!I517+ปัตตานี!I517+พังงา!I517+พัทลุง!I517+ภูเก็ต!I517+ยะลา!I517+ระนอง!I517+สงขลา!I517+สตูล!I517+สุราษฎร์ธานี!I517</f>
        <v>0</v>
      </c>
      <c r="J517" s="290">
        <f ca="1">กระบี่!J517+ชุมพร!J517+ตรัง!J517+นครศรีธรรมราช!J517+นราธิวาส!J517+ปัตตานี!J517+พังงา!J517+พัทลุง!J517+ภูเก็ต!J517+ยะลา!J517+ระนอง!J517+สงขลา!J517+สตูล!J517+สุราษฎร์ธานี!J517</f>
        <v>0</v>
      </c>
      <c r="K517" s="291">
        <v>0</v>
      </c>
      <c r="L517" s="189"/>
      <c r="M517" s="189"/>
      <c r="N517" s="189"/>
      <c r="O517" s="189"/>
      <c r="P517" s="189"/>
    </row>
    <row r="518" spans="1:16" ht="21.75" customHeight="1" x14ac:dyDescent="0.35">
      <c r="A518" s="183"/>
      <c r="B518" s="184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กระบี่!I518+ชุมพร!I518+ตรัง!I518+นครศรีธรรมราช!I518+นราธิวาส!I518+ปัตตานี!I518+พังงา!I518+พัทลุง!I518+ภูเก็ต!I518+ยะลา!I518+ระนอง!I518+สงขลา!I518+สตูล!I518+สุราษฎร์ธานี!I518</f>
        <v>0</v>
      </c>
      <c r="J518" s="290">
        <f ca="1">กระบี่!J518+ชุมพร!J518+ตรัง!J518+นครศรีธรรมราช!J518+นราธิวาส!J518+ปัตตานี!J518+พังงา!J518+พัทลุง!J518+ภูเก็ต!J518+ยะลา!J518+ระนอง!J518+สงขลา!J518+สตูล!J518+สุราษฎร์ธานี!J518</f>
        <v>0</v>
      </c>
      <c r="K518" s="291">
        <v>0</v>
      </c>
      <c r="L518" s="189"/>
      <c r="M518" s="189"/>
      <c r="N518" s="189"/>
      <c r="O518" s="189"/>
      <c r="P518" s="189"/>
    </row>
    <row r="519" spans="1:16" ht="21.75" customHeight="1" x14ac:dyDescent="0.35">
      <c r="A519" s="183"/>
      <c r="B519" s="184"/>
      <c r="C519" s="184"/>
      <c r="D519" s="201"/>
      <c r="E519" s="203"/>
      <c r="F519" s="203"/>
      <c r="G519" s="233" t="s">
        <v>196</v>
      </c>
      <c r="H519" s="428" t="s">
        <v>122</v>
      </c>
      <c r="I519" s="195">
        <f ca="1">กระบี่!I519+ชุมพร!I519+ตรัง!I519+นครศรีธรรมราช!I519+นราธิวาส!I519+ปัตตานี!I519+พังงา!I519+พัทลุง!I519+ภูเก็ต!I519+ยะลา!I519+ระนอง!I519+สงขลา!I519+สตูล!I519+สุราษฎร์ธานี!I519</f>
        <v>0</v>
      </c>
      <c r="J519" s="195">
        <f ca="1">กระบี่!J519+ชุมพร!J519+ตรัง!J519+นครศรีธรรมราช!J519+นราธิวาส!J519+ปัตตานี!J519+พังงา!J519+พัทลุง!J519+ภูเก็ต!J519+ยะลา!J519+ระนอง!J519+สงขลา!J519+สตูล!J519+สุราษฎร์ธานี!J519</f>
        <v>0</v>
      </c>
      <c r="K519" s="169">
        <v>0</v>
      </c>
      <c r="L519" s="189"/>
      <c r="M519" s="189"/>
      <c r="N519" s="189"/>
      <c r="O519" s="189"/>
      <c r="P519" s="189"/>
    </row>
    <row r="520" spans="1:16" ht="21.75" customHeight="1" x14ac:dyDescent="0.35">
      <c r="A520" s="183"/>
      <c r="B520" s="184"/>
      <c r="C520" s="184"/>
      <c r="D520" s="201"/>
      <c r="E520" s="203"/>
      <c r="F520" s="203"/>
      <c r="G520" s="204"/>
      <c r="H520" s="428" t="s">
        <v>36</v>
      </c>
      <c r="I520" s="195">
        <f ca="1">กระบี่!I520+ชุมพร!I520+ตรัง!I520+นครศรีธรรมราช!I520+นราธิวาส!I520+ปัตตานี!I520+พังงา!I520+พัทลุง!I520+ภูเก็ต!I520+ยะลา!I520+ระนอง!I520+สงขลา!I520+สตูล!I520+สุราษฎร์ธานี!I520</f>
        <v>0</v>
      </c>
      <c r="J520" s="195">
        <f ca="1">กระบี่!J520+ชุมพร!J520+ตรัง!J520+นครศรีธรรมราช!J520+นราธิวาส!J520+ปัตตานี!J520+พังงา!J520+พัทลุง!J520+ภูเก็ต!J520+ยะลา!J520+ระนอง!J520+สงขลา!J520+สตูล!J520+สุราษฎร์ธานี!J520</f>
        <v>0</v>
      </c>
      <c r="K520" s="169">
        <v>0</v>
      </c>
      <c r="L520" s="189"/>
      <c r="M520" s="189"/>
      <c r="N520" s="189"/>
      <c r="O520" s="189"/>
      <c r="P520" s="189"/>
    </row>
    <row r="521" spans="1:16" ht="21.75" customHeight="1" x14ac:dyDescent="0.35">
      <c r="A521" s="183"/>
      <c r="B521" s="184"/>
      <c r="C521" s="184"/>
      <c r="D521" s="201"/>
      <c r="E521" s="203"/>
      <c r="F521" s="203"/>
      <c r="G521" s="233" t="s">
        <v>197</v>
      </c>
      <c r="H521" s="428" t="s">
        <v>122</v>
      </c>
      <c r="I521" s="195">
        <f ca="1">กระบี่!I521+ชุมพร!I521+ตรัง!I521+นครศรีธรรมราช!I521+นราธิวาส!I521+ปัตตานี!I521+พังงา!I521+พัทลุง!I521+ภูเก็ต!I521+ยะลา!I521+ระนอง!I521+สงขลา!I521+สตูล!I521+สุราษฎร์ธานี!I521</f>
        <v>0</v>
      </c>
      <c r="J521" s="195">
        <f ca="1">กระบี่!J521+ชุมพร!J521+ตรัง!J521+นครศรีธรรมราช!J521+นราธิวาส!J521+ปัตตานี!J521+พังงา!J521+พัทลุง!J521+ภูเก็ต!J521+ยะลา!J521+ระนอง!J521+สงขลา!J521+สตูล!J521+สุราษฎร์ธานี!J521</f>
        <v>0</v>
      </c>
      <c r="K521" s="169">
        <v>0</v>
      </c>
      <c r="L521" s="189"/>
      <c r="M521" s="189"/>
      <c r="N521" s="189"/>
      <c r="O521" s="189"/>
      <c r="P521" s="189"/>
    </row>
    <row r="522" spans="1:16" ht="21.75" customHeight="1" x14ac:dyDescent="0.35">
      <c r="A522" s="183"/>
      <c r="B522" s="184"/>
      <c r="C522" s="184"/>
      <c r="D522" s="201"/>
      <c r="E522" s="203"/>
      <c r="F522" s="203"/>
      <c r="G522" s="204"/>
      <c r="H522" s="428" t="s">
        <v>36</v>
      </c>
      <c r="I522" s="195">
        <f ca="1">กระบี่!I522+ชุมพร!I522+ตรัง!I522+นครศรีธรรมราช!I522+นราธิวาส!I522+ปัตตานี!I522+พังงา!I522+พัทลุง!I522+ภูเก็ต!I522+ยะลา!I522+ระนอง!I522+สงขลา!I522+สตูล!I522+สุราษฎร์ธานี!I522</f>
        <v>0</v>
      </c>
      <c r="J522" s="195">
        <f ca="1">กระบี่!J522+ชุมพร!J522+ตรัง!J522+นครศรีธรรมราช!J522+นราธิวาส!J522+ปัตตานี!J522+พังงา!J522+พัทลุง!J522+ภูเก็ต!J522+ยะลา!J522+ระนอง!J522+สงขลา!J522+สตูล!J522+สุราษฎร์ธานี!J522</f>
        <v>0</v>
      </c>
      <c r="K522" s="169">
        <v>0</v>
      </c>
      <c r="L522" s="189"/>
      <c r="M522" s="189"/>
      <c r="N522" s="189"/>
      <c r="O522" s="189"/>
      <c r="P522" s="189"/>
    </row>
    <row r="523" spans="1:16" ht="21.75" customHeight="1" x14ac:dyDescent="0.35">
      <c r="A523" s="183"/>
      <c r="B523" s="184"/>
      <c r="C523" s="184"/>
      <c r="D523" s="201"/>
      <c r="E523" s="203"/>
      <c r="F523" s="203"/>
      <c r="G523" s="464" t="s">
        <v>198</v>
      </c>
      <c r="H523" s="428" t="s">
        <v>122</v>
      </c>
      <c r="I523" s="195">
        <f ca="1">กระบี่!I523+ชุมพร!I523+ตรัง!I523+นครศรีธรรมราช!I523+นราธิวาส!I523+ปัตตานี!I523+พังงา!I523+พัทลุง!I523+ภูเก็ต!I523+ยะลา!I523+ระนอง!I523+สงขลา!I523+สตูล!I523+สุราษฎร์ธานี!I523</f>
        <v>0</v>
      </c>
      <c r="J523" s="195">
        <f ca="1">กระบี่!J523+ชุมพร!J523+ตรัง!J523+นครศรีธรรมราช!J523+นราธิวาส!J523+ปัตตานี!J523+พังงา!J523+พัทลุง!J523+ภูเก็ต!J523+ยะลา!J523+ระนอง!J523+สงขลา!J523+สตูล!J523+สุราษฎร์ธานี!J523</f>
        <v>358</v>
      </c>
      <c r="K523" s="169">
        <v>0</v>
      </c>
      <c r="L523" s="189"/>
      <c r="M523" s="189"/>
      <c r="N523" s="189"/>
      <c r="O523" s="189"/>
      <c r="P523" s="189"/>
    </row>
    <row r="524" spans="1:16" ht="21.75" customHeight="1" x14ac:dyDescent="0.35">
      <c r="A524" s="183"/>
      <c r="B524" s="184"/>
      <c r="C524" s="184"/>
      <c r="D524" s="201"/>
      <c r="E524" s="203"/>
      <c r="F524" s="203"/>
      <c r="G524" s="204"/>
      <c r="H524" s="428" t="s">
        <v>36</v>
      </c>
      <c r="I524" s="195">
        <f ca="1">กระบี่!I524+ชุมพร!I524+ตรัง!I524+นครศรีธรรมราช!I524+นราธิวาส!I524+ปัตตานี!I524+พังงา!I524+พัทลุง!I524+ภูเก็ต!I524+ยะลา!I524+ระนอง!I524+สงขลา!I524+สตูล!I524+สุราษฎร์ธานี!I524</f>
        <v>0</v>
      </c>
      <c r="J524" s="195">
        <f ca="1">กระบี่!J524+ชุมพร!J524+ตรัง!J524+นครศรีธรรมราช!J524+นราธิวาส!J524+ปัตตานี!J524+พังงา!J524+พัทลุง!J524+ภูเก็ต!J524+ยะลา!J524+ระนอง!J524+สงขลา!J524+สตูล!J524+สุราษฎร์ธานี!J524</f>
        <v>39</v>
      </c>
      <c r="K524" s="169">
        <v>0</v>
      </c>
      <c r="L524" s="189"/>
      <c r="M524" s="189"/>
      <c r="N524" s="189"/>
      <c r="O524" s="189"/>
      <c r="P524" s="189"/>
    </row>
    <row r="525" spans="1:16" ht="21.75" customHeight="1" x14ac:dyDescent="0.35">
      <c r="A525" s="183"/>
      <c r="B525" s="184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กระบี่!I525+ชุมพร!I525+ตรัง!I525+นครศรีธรรมราช!I525+นราธิวาส!I525+ปัตตานี!I525+พังงา!I525+พัทลุง!I525+ภูเก็ต!I525+ยะลา!I525+ระนอง!I525+สงขลา!I525+สตูล!I525+สุราษฎร์ธานี!I525</f>
        <v>358</v>
      </c>
      <c r="J525" s="290">
        <f ca="1">กระบี่!J525+ชุมพร!J525+ตรัง!J525+นครศรีธรรมราช!J525+นราธิวาส!J525+ปัตตานี!J525+พังงา!J525+พัทลุง!J525+ภูเก็ต!J525+ยะลา!J525+ระนอง!J525+สงขลา!J525+สตูล!J525+สุราษฎร์ธานี!J525</f>
        <v>0</v>
      </c>
      <c r="K525" s="291">
        <v>0</v>
      </c>
      <c r="L525" s="189"/>
      <c r="M525" s="189"/>
      <c r="N525" s="189"/>
      <c r="O525" s="189"/>
      <c r="P525" s="189"/>
    </row>
    <row r="526" spans="1:16" ht="21.75" customHeight="1" x14ac:dyDescent="0.35">
      <c r="A526" s="183"/>
      <c r="B526" s="184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กระบี่!I526+ชุมพร!I526+ตรัง!I526+นครศรีธรรมราช!I526+นราธิวาส!I526+ปัตตานี!I526+พังงา!I526+พัทลุง!I526+ภูเก็ต!I526+ยะลา!I526+ระนอง!I526+สงขลา!I526+สตูล!I526+สุราษฎร์ธานี!I526</f>
        <v>39</v>
      </c>
      <c r="J526" s="290">
        <f ca="1">กระบี่!J526+ชุมพร!J526+ตรัง!J526+นครศรีธรรมราช!J526+นราธิวาส!J526+ปัตตานี!J526+พังงา!J526+พัทลุง!J526+ภูเก็ต!J526+ยะลา!J526+ระนอง!J526+สงขลา!J526+สตูล!J526+สุราษฎร์ธานี!J526</f>
        <v>0</v>
      </c>
      <c r="K526" s="291">
        <v>0</v>
      </c>
      <c r="L526" s="189"/>
      <c r="M526" s="189"/>
      <c r="N526" s="189"/>
      <c r="O526" s="189"/>
      <c r="P526" s="189"/>
    </row>
    <row r="527" spans="1:16" ht="21.75" customHeight="1" x14ac:dyDescent="0.35">
      <c r="A527" s="183"/>
      <c r="B527" s="184"/>
      <c r="C527" s="184"/>
      <c r="D527" s="201"/>
      <c r="E527" s="203"/>
      <c r="F527" s="203"/>
      <c r="G527" s="233" t="s">
        <v>196</v>
      </c>
      <c r="H527" s="428" t="s">
        <v>122</v>
      </c>
      <c r="I527" s="195">
        <f ca="1">กระบี่!I527+ชุมพร!I527+ตรัง!I527+นครศรีธรรมราช!I527+นราธิวาส!I527+ปัตตานี!I527+พังงา!I527+พัทลุง!I527+ภูเก็ต!I527+ยะลา!I527+ระนอง!I527+สงขลา!I527+สตูล!I527+สุราษฎร์ธานี!I527</f>
        <v>0</v>
      </c>
      <c r="J527" s="205">
        <f ca="1">กระบี่!J527+ชุมพร!J527+ตรัง!J527+นครศรีธรรมราช!J527+นราธิวาส!J527+ปัตตานี!J527+พังงา!J527+พัทลุง!J527+ภูเก็ต!J527+ยะลา!J527+ระนอง!J527+สงขลา!J527+สตูล!J527+สุราษฎร์ธานี!J527</f>
        <v>0</v>
      </c>
      <c r="K527" s="169">
        <v>0</v>
      </c>
      <c r="L527" s="189"/>
      <c r="M527" s="189"/>
      <c r="N527" s="189"/>
      <c r="O527" s="189"/>
      <c r="P527" s="189"/>
    </row>
    <row r="528" spans="1:16" ht="21.75" customHeight="1" x14ac:dyDescent="0.35">
      <c r="A528" s="183"/>
      <c r="B528" s="184"/>
      <c r="C528" s="184"/>
      <c r="D528" s="201"/>
      <c r="E528" s="203"/>
      <c r="F528" s="203"/>
      <c r="G528" s="204"/>
      <c r="H528" s="428" t="s">
        <v>36</v>
      </c>
      <c r="I528" s="195">
        <f ca="1">กระบี่!I528+ชุมพร!I528+ตรัง!I528+นครศรีธรรมราช!I528+นราธิวาส!I528+ปัตตานี!I528+พังงา!I528+พัทลุง!I528+ภูเก็ต!I528+ยะลา!I528+ระนอง!I528+สงขลา!I528+สตูล!I528+สุราษฎร์ธานี!I528</f>
        <v>0</v>
      </c>
      <c r="J528" s="205">
        <f ca="1">กระบี่!J528+ชุมพร!J528+ตรัง!J528+นครศรีธรรมราช!J528+นราธิวาส!J528+ปัตตานี!J528+พังงา!J528+พัทลุง!J528+ภูเก็ต!J528+ยะลา!J528+ระนอง!J528+สงขลา!J528+สตูล!J528+สุราษฎร์ธานี!J528</f>
        <v>0</v>
      </c>
      <c r="K528" s="169">
        <v>0</v>
      </c>
      <c r="L528" s="189"/>
      <c r="M528" s="189"/>
      <c r="N528" s="189"/>
      <c r="O528" s="189"/>
      <c r="P528" s="189"/>
    </row>
    <row r="529" spans="1:16" ht="21.75" customHeight="1" x14ac:dyDescent="0.35">
      <c r="A529" s="183"/>
      <c r="B529" s="184"/>
      <c r="C529" s="184"/>
      <c r="D529" s="201"/>
      <c r="E529" s="203"/>
      <c r="F529" s="203"/>
      <c r="G529" s="233" t="s">
        <v>197</v>
      </c>
      <c r="H529" s="428" t="s">
        <v>122</v>
      </c>
      <c r="I529" s="195">
        <f ca="1">กระบี่!I529+ชุมพร!I529+ตรัง!I529+นครศรีธรรมราช!I529+นราธิวาส!I529+ปัตตานี!I529+พังงา!I529+พัทลุง!I529+ภูเก็ต!I529+ยะลา!I529+ระนอง!I529+สงขลา!I529+สตูล!I529+สุราษฎร์ธานี!I529</f>
        <v>0</v>
      </c>
      <c r="J529" s="205">
        <f ca="1">กระบี่!J529+ชุมพร!J529+ตรัง!J529+นครศรีธรรมราช!J529+นราธิวาส!J529+ปัตตานี!J529+พังงา!J529+พัทลุง!J529+ภูเก็ต!J529+ยะลา!J529+ระนอง!J529+สงขลา!J529+สตูล!J529+สุราษฎร์ธานี!J529</f>
        <v>0</v>
      </c>
      <c r="K529" s="169">
        <v>0</v>
      </c>
      <c r="L529" s="189"/>
      <c r="M529" s="189"/>
      <c r="N529" s="189"/>
      <c r="O529" s="189"/>
      <c r="P529" s="189"/>
    </row>
    <row r="530" spans="1:16" ht="21.75" customHeight="1" x14ac:dyDescent="0.35">
      <c r="A530" s="183"/>
      <c r="B530" s="184"/>
      <c r="C530" s="184"/>
      <c r="D530" s="201"/>
      <c r="E530" s="203"/>
      <c r="F530" s="203"/>
      <c r="G530" s="204"/>
      <c r="H530" s="428" t="s">
        <v>36</v>
      </c>
      <c r="I530" s="195">
        <f ca="1">กระบี่!I530+ชุมพร!I530+ตรัง!I530+นครศรีธรรมราช!I530+นราธิวาส!I530+ปัตตานี!I530+พังงา!I530+พัทลุง!I530+ภูเก็ต!I530+ยะลา!I530+ระนอง!I530+สงขลา!I530+สตูล!I530+สุราษฎร์ธานี!I530</f>
        <v>0</v>
      </c>
      <c r="J530" s="205">
        <f ca="1">กระบี่!J530+ชุมพร!J530+ตรัง!J530+นครศรีธรรมราช!J530+นราธิวาส!J530+ปัตตานี!J530+พังงา!J530+พัทลุง!J530+ภูเก็ต!J530+ยะลา!J530+ระนอง!J530+สงขลา!J530+สตูล!J530+สุราษฎร์ธานี!J530</f>
        <v>0</v>
      </c>
      <c r="K530" s="169">
        <v>0</v>
      </c>
      <c r="L530" s="189"/>
      <c r="M530" s="189"/>
      <c r="N530" s="189"/>
      <c r="O530" s="189"/>
      <c r="P530" s="189"/>
    </row>
    <row r="531" spans="1:16" ht="21.75" customHeight="1" x14ac:dyDescent="0.35">
      <c r="A531" s="183"/>
      <c r="B531" s="184"/>
      <c r="C531" s="184"/>
      <c r="D531" s="201"/>
      <c r="E531" s="203"/>
      <c r="F531" s="203"/>
      <c r="G531" s="233" t="s">
        <v>201</v>
      </c>
      <c r="H531" s="428" t="s">
        <v>122</v>
      </c>
      <c r="I531" s="195">
        <f ca="1">กระบี่!I531+ชุมพร!I531+ตรัง!I531+นครศรีธรรมราช!I531+นราธิวาส!I531+ปัตตานี!I531+พังงา!I531+พัทลุง!I531+ภูเก็ต!I531+ยะลา!I531+ระนอง!I531+สงขลา!I531+สตูล!I531+สุราษฎร์ธานี!I531</f>
        <v>0</v>
      </c>
      <c r="J531" s="205">
        <f ca="1">กระบี่!J531+ชุมพร!J531+ตรัง!J531+นครศรีธรรมราช!J531+นราธิวาส!J531+ปัตตานี!J531+พังงา!J531+พัทลุง!J531+ภูเก็ต!J531+ยะลา!J531+ระนอง!J531+สงขลา!J531+สตูล!J531+สุราษฎร์ธานี!J531</f>
        <v>0</v>
      </c>
      <c r="K531" s="169">
        <v>0</v>
      </c>
      <c r="L531" s="189"/>
      <c r="M531" s="189"/>
      <c r="N531" s="189"/>
      <c r="O531" s="189"/>
      <c r="P531" s="189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กระบี่!I532+ชุมพร!I532+ตรัง!I532+นครศรีธรรมราช!I532+นราธิวาส!I532+ปัตตานี!I532+พังงา!I532+พัทลุง!I532+ภูเก็ต!I532+ยะลา!I532+ระนอง!I532+สงขลา!I532+สตูล!I532+สุราษฎร์ธานี!I532</f>
        <v>0</v>
      </c>
      <c r="J532" s="472">
        <f ca="1">กระบี่!J532+ชุมพร!J532+ตรัง!J532+นครศรีธรรมราช!J532+นราธิวาส!J532+ปัตตานี!J532+พังงา!J532+พัทลุง!J532+ภูเก็ต!J532+ยะลา!J532+ระนอง!J532+สงขลา!J532+สตูล!J532+สุราษฎร์ธานี!J532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กระบี่!I533+ชุมพร!I533+ตรัง!I533+นครศรีธรรมราช!I533+นราธิวาส!I533+ปัตตานี!I533+พังงา!I533+พัทลุง!I533+ภูเก็ต!I533+ยะลา!I533+ระนอง!I533+สงขลา!I533+สตูล!I533+สุราษฎร์ธานี!I533</f>
        <v>293</v>
      </c>
      <c r="J533" s="416">
        <f ca="1">กระบี่!J533+ชุมพร!J533+ตรัง!J533+นครศรีธรรมราช!J533+นราธิวาส!J533+ปัตตานี!J533+พังงา!J533+พัทลุง!J533+ภูเก็ต!J533+ยะลา!J533+ระนอง!J533+สงขลา!J533+สตูล!J533+สุราษฎร์ธานี!J533</f>
        <v>298</v>
      </c>
      <c r="K533" s="417">
        <f ca="1">IF(I533&gt;0,J533*100/I533,0)</f>
        <v>101.70648464163823</v>
      </c>
      <c r="L533" s="418">
        <f ca="1">กระบี่!L533+ชุมพร!L533+ตรัง!L533+นครศรีธรรมราช!L533+นราธิวาส!L533+ปัตตานี!L533+พังงา!L533+พัทลุง!L533+ภูเก็ต!L533+ยะลา!L533+ระนอง!L533+สงขลา!L533+สตูล!L533+สุราษฎร์ธานี!L533</f>
        <v>468020</v>
      </c>
      <c r="M533" s="418"/>
      <c r="N533" s="418">
        <f ca="1">กระบี่!N533+ชุมพร!N533+ตรัง!N533+นครศรีธรรมราช!N533+นราธิวาส!N533+ปัตตานี!N533+พังงา!N533+พัทลุง!N533+ภูเก็ต!N533+ยะลา!N533+ระนอง!N533+สงขลา!N533+สตูล!N533+สุราษฎร์ธานี!N533</f>
        <v>334943.68</v>
      </c>
      <c r="O533" s="418">
        <f t="shared" ref="O533:O537" ca="1" si="86">+IF(L533&gt;0,N533*100/L533,0)</f>
        <v>71.566104012649035</v>
      </c>
      <c r="P533" s="418"/>
    </row>
    <row r="534" spans="1:16" ht="21.75" customHeight="1" x14ac:dyDescent="0.35">
      <c r="A534" s="162"/>
      <c r="B534" s="163"/>
      <c r="C534" s="163" t="s">
        <v>16</v>
      </c>
      <c r="D534" s="164" t="s">
        <v>38</v>
      </c>
      <c r="E534" s="165"/>
      <c r="F534" s="165"/>
      <c r="G534" s="166" t="s">
        <v>39</v>
      </c>
      <c r="H534" s="167" t="s">
        <v>12</v>
      </c>
      <c r="I534" s="168" t="s">
        <v>40</v>
      </c>
      <c r="J534" s="168"/>
      <c r="K534" s="169"/>
      <c r="L534" s="170">
        <f ca="1">กระบี่!L534+ชุมพร!L534+ตรัง!L534+นครศรีธรรมราช!L534+นราธิวาส!L534+ปัตตานี!L534+พังงา!L534+พัทลุง!L534+ภูเก็ต!L534+ยะลา!L534+ระนอง!L534+สงขลา!L534+สตูล!L534+สุราษฎร์ธานี!L534</f>
        <v>0</v>
      </c>
      <c r="M534" s="170"/>
      <c r="N534" s="176">
        <f ca="1">กระบี่!N534+ชุมพร!N534+ตรัง!N534+นครศรีธรรมราช!N534+นราธิวาส!N534+ปัตตานี!N534+พังงา!N534+พัทลุง!N534+ภูเก็ต!N534+ยะลา!N534+ระนอง!N534+สงขลา!N534+สตูล!N534+สุราษฎร์ธานี!N534</f>
        <v>0</v>
      </c>
      <c r="O534" s="176">
        <f t="shared" ca="1" si="86"/>
        <v>0</v>
      </c>
      <c r="P534" s="176"/>
    </row>
    <row r="535" spans="1:16" ht="21.75" customHeight="1" x14ac:dyDescent="0.35">
      <c r="A535" s="162"/>
      <c r="B535" s="163"/>
      <c r="C535" s="163"/>
      <c r="D535" s="172"/>
      <c r="E535" s="165"/>
      <c r="F535" s="165" t="s">
        <v>40</v>
      </c>
      <c r="G535" s="166" t="s">
        <v>41</v>
      </c>
      <c r="H535" s="167" t="s">
        <v>12</v>
      </c>
      <c r="I535" s="168"/>
      <c r="J535" s="168"/>
      <c r="K535" s="169"/>
      <c r="L535" s="171">
        <f ca="1">กระบี่!L535+ชุมพร!L535+ตรัง!L535+นครศรีธรรมราช!L535+นราธิวาส!L535+ปัตตานี!L535+พังงา!L535+พัทลุง!L535+ภูเก็ต!L535+ยะลา!L535+ระนอง!L535+สงขลา!L535+สตูล!L535+สุราษฎร์ธานี!L535</f>
        <v>468020</v>
      </c>
      <c r="M535" s="171"/>
      <c r="N535" s="176">
        <f ca="1">กระบี่!N535+ชุมพร!N535+ตรัง!N535+นครศรีธรรมราช!N535+นราธิวาส!N535+ปัตตานี!N535+พังงา!N535+พัทลุง!N535+ภูเก็ต!N535+ยะลา!N535+ระนอง!N535+สงขลา!N535+สตูล!N535+สุราษฎร์ธานี!N535</f>
        <v>334943.68</v>
      </c>
      <c r="O535" s="176">
        <f t="shared" ca="1" si="86"/>
        <v>71.566104012649035</v>
      </c>
      <c r="P535" s="176"/>
    </row>
    <row r="536" spans="1:16" ht="21.75" customHeight="1" x14ac:dyDescent="0.35">
      <c r="A536" s="162"/>
      <c r="B536" s="163"/>
      <c r="C536" s="163"/>
      <c r="D536" s="172"/>
      <c r="E536" s="165"/>
      <c r="F536" s="165"/>
      <c r="G536" s="380" t="s">
        <v>129</v>
      </c>
      <c r="H536" s="167" t="s">
        <v>12</v>
      </c>
      <c r="I536" s="168"/>
      <c r="J536" s="168"/>
      <c r="K536" s="169"/>
      <c r="L536" s="176">
        <f ca="1">กระบี่!L536+ชุมพร!L536+ตรัง!L536+นครศรีธรรมราช!L536+นราธิวาส!L536+ปัตตานี!L536+พังงา!L536+พัทลุง!L536+ภูเก็ต!L536+ยะลา!L536+ระนอง!L536+สงขลา!L536+สตูล!L536+สุราษฎร์ธานี!L536</f>
        <v>0</v>
      </c>
      <c r="M536" s="176"/>
      <c r="N536" s="176">
        <f ca="1">กระบี่!N536+ชุมพร!N536+ตรัง!N536+นครศรีธรรมราช!N536+นราธิวาส!N536+ปัตตานี!N536+พังงา!N536+พัทลุง!N536+ภูเก็ต!N536+ยะลา!N536+ระนอง!N536+สงขลา!N536+สตูล!N536+สุราษฎร์ธานี!N536</f>
        <v>0</v>
      </c>
      <c r="O536" s="176">
        <f t="shared" ca="1" si="86"/>
        <v>0</v>
      </c>
      <c r="P536" s="176"/>
    </row>
    <row r="537" spans="1:16" ht="21.75" customHeight="1" x14ac:dyDescent="0.35">
      <c r="A537" s="162"/>
      <c r="B537" s="163"/>
      <c r="C537" s="163"/>
      <c r="D537" s="172"/>
      <c r="E537" s="165"/>
      <c r="F537" s="165"/>
      <c r="G537" s="380" t="s">
        <v>130</v>
      </c>
      <c r="H537" s="167" t="s">
        <v>12</v>
      </c>
      <c r="I537" s="168"/>
      <c r="J537" s="168"/>
      <c r="K537" s="169"/>
      <c r="L537" s="176">
        <f ca="1">กระบี่!L537+ชุมพร!L537+ตรัง!L537+นครศรีธรรมราช!L537+นราธิวาส!L537+ปัตตานี!L537+พังงา!L537+พัทลุง!L537+ภูเก็ต!L537+ยะลา!L537+ระนอง!L537+สงขลา!L537+สตูล!L537+สุราษฎร์ธานี!L537</f>
        <v>468020</v>
      </c>
      <c r="M537" s="176"/>
      <c r="N537" s="176">
        <f ca="1">กระบี่!N537+ชุมพร!N537+ตรัง!N537+นครศรีธรรมราช!N537+นราธิวาส!N537+ปัตตานี!N537+พังงา!N537+พัทลุง!N537+ภูเก็ต!N537+ยะลา!N537+ระนอง!N537+สงขลา!N537+สตูล!N537+สุราษฎร์ธานี!N537</f>
        <v>334943.68</v>
      </c>
      <c r="O537" s="176">
        <f t="shared" ca="1" si="86"/>
        <v>71.566104012649035</v>
      </c>
      <c r="P537" s="176"/>
    </row>
    <row r="538" spans="1:16" ht="21.75" customHeight="1" x14ac:dyDescent="0.35">
      <c r="A538" s="381"/>
      <c r="B538" s="382"/>
      <c r="C538" s="163"/>
      <c r="D538" s="383"/>
      <c r="E538" s="165"/>
      <c r="F538" s="165"/>
      <c r="G538" s="384" t="s">
        <v>131</v>
      </c>
      <c r="H538" s="167" t="s">
        <v>12</v>
      </c>
      <c r="I538" s="195"/>
      <c r="J538" s="195"/>
      <c r="K538" s="231"/>
      <c r="L538" s="176"/>
      <c r="M538" s="176"/>
      <c r="N538" s="385">
        <f ca="1">กระบี่!N538+ชุมพร!N538+ตรัง!N538+นครศรีธรรมราช!N538+นราธิวาส!N538+ปัตตานี!N538+พังงา!N538+พัทลุง!N538+ภูเก็ต!N538+ยะลา!N538+ระนอง!N538+สงขลา!N538+สตูล!N538+สุราษฎร์ธานี!N538</f>
        <v>240773.47999999998</v>
      </c>
      <c r="O538" s="176"/>
      <c r="P538" s="176"/>
    </row>
    <row r="539" spans="1:16" ht="21.75" customHeight="1" x14ac:dyDescent="0.35">
      <c r="A539" s="381"/>
      <c r="B539" s="382"/>
      <c r="C539" s="163"/>
      <c r="D539" s="383"/>
      <c r="E539" s="165"/>
      <c r="F539" s="165"/>
      <c r="G539" s="384" t="s">
        <v>132</v>
      </c>
      <c r="H539" s="167" t="s">
        <v>12</v>
      </c>
      <c r="I539" s="195"/>
      <c r="J539" s="195"/>
      <c r="K539" s="231"/>
      <c r="L539" s="176"/>
      <c r="M539" s="176"/>
      <c r="N539" s="385">
        <f ca="1">กระบี่!N539+ชุมพร!N539+ตรัง!N539+นครศรีธรรมราช!N539+นราธิวาส!N539+ปัตตานี!N539+พังงา!N539+พัทลุง!N539+ภูเก็ต!N539+ยะลา!N539+ระนอง!N539+สงขลา!N539+สตูล!N539+สุราษฎร์ธานี!N539</f>
        <v>0</v>
      </c>
      <c r="O539" s="176"/>
      <c r="P539" s="176"/>
    </row>
    <row r="540" spans="1:16" ht="21.75" customHeight="1" x14ac:dyDescent="0.35">
      <c r="A540" s="381"/>
      <c r="B540" s="382"/>
      <c r="C540" s="163"/>
      <c r="D540" s="383"/>
      <c r="E540" s="165"/>
      <c r="F540" s="165"/>
      <c r="G540" s="384" t="s">
        <v>133</v>
      </c>
      <c r="H540" s="167" t="s">
        <v>12</v>
      </c>
      <c r="I540" s="195"/>
      <c r="J540" s="195"/>
      <c r="K540" s="231"/>
      <c r="L540" s="176"/>
      <c r="M540" s="176"/>
      <c r="N540" s="385">
        <f ca="1">กระบี่!N540+ชุมพร!N540+ตรัง!N540+นครศรีธรรมราช!N540+นราธิวาส!N540+ปัตตานี!N540+พังงา!N540+พัทลุง!N540+ภูเก็ต!N540+ยะลา!N540+ระนอง!N540+สงขลา!N540+สตูล!N540+สุราษฎร์ธานี!N540</f>
        <v>0</v>
      </c>
      <c r="O540" s="176"/>
      <c r="P540" s="176"/>
    </row>
    <row r="541" spans="1:16" ht="21.75" customHeight="1" x14ac:dyDescent="0.35">
      <c r="A541" s="381"/>
      <c r="B541" s="382"/>
      <c r="C541" s="163"/>
      <c r="D541" s="383"/>
      <c r="E541" s="165"/>
      <c r="F541" s="165"/>
      <c r="G541" s="384" t="s">
        <v>134</v>
      </c>
      <c r="H541" s="167" t="s">
        <v>12</v>
      </c>
      <c r="I541" s="195"/>
      <c r="J541" s="195"/>
      <c r="K541" s="231"/>
      <c r="L541" s="176"/>
      <c r="M541" s="176"/>
      <c r="N541" s="385">
        <f ca="1">กระบี่!N541+ชุมพร!N541+ตรัง!N541+นครศรีธรรมราช!N541+นราธิวาส!N541+ปัตตานี!N541+พังงา!N541+พัทลุง!N541+ภูเก็ต!N541+ยะลา!N541+ระนอง!N541+สงขลา!N541+สตูล!N541+สุราษฎร์ธานี!N541</f>
        <v>94170.2</v>
      </c>
      <c r="O541" s="176"/>
      <c r="P541" s="176"/>
    </row>
    <row r="542" spans="1:16" ht="21.75" customHeight="1" x14ac:dyDescent="0.35">
      <c r="A542" s="183"/>
      <c r="B542" s="184"/>
      <c r="C542" s="163" t="s">
        <v>16</v>
      </c>
      <c r="D542" s="185" t="s">
        <v>44</v>
      </c>
      <c r="E542" s="186"/>
      <c r="F542" s="186"/>
      <c r="G542" s="187"/>
      <c r="H542" s="188"/>
      <c r="I542" s="168"/>
      <c r="J542" s="168"/>
      <c r="K542" s="169"/>
      <c r="L542" s="189"/>
      <c r="M542" s="189"/>
      <c r="N542" s="189"/>
      <c r="O542" s="189"/>
      <c r="P542" s="189"/>
    </row>
    <row r="543" spans="1:16" ht="21.75" customHeight="1" x14ac:dyDescent="0.35">
      <c r="A543" s="183"/>
      <c r="B543" s="184"/>
      <c r="C543" s="184"/>
      <c r="D543" s="190">
        <v>1</v>
      </c>
      <c r="E543" s="191" t="s">
        <v>45</v>
      </c>
      <c r="F543" s="192"/>
      <c r="G543" s="193"/>
      <c r="H543" s="194"/>
      <c r="I543" s="195"/>
      <c r="J543" s="205">
        <f ca="1">กระบี่!J543+ชุมพร!J543+ตรัง!J543+นครศรีธรรมราช!J543+นราธิวาส!J543+ปัตตานี!J543+พังงา!J543+พัทลุง!J543+ภูเก็ต!J543+ยะลา!J543+ระนอง!J543+สงขลา!J543+สตูล!J543+สุราษฎร์ธานี!J543</f>
        <v>0</v>
      </c>
      <c r="K543" s="169"/>
      <c r="L543" s="189"/>
      <c r="M543" s="189"/>
      <c r="N543" s="189"/>
      <c r="O543" s="189"/>
      <c r="P543" s="189"/>
    </row>
    <row r="544" spans="1:16" ht="21.75" customHeight="1" x14ac:dyDescent="0.35">
      <c r="A544" s="183"/>
      <c r="B544" s="184"/>
      <c r="C544" s="184"/>
      <c r="D544" s="197">
        <v>2</v>
      </c>
      <c r="E544" s="198" t="s">
        <v>46</v>
      </c>
      <c r="F544" s="199"/>
      <c r="G544" s="200"/>
      <c r="H544" s="194"/>
      <c r="I544" s="195"/>
      <c r="J544" s="196">
        <f ca="1">กระบี่!J544+ชุมพร!J544+ตรัง!J544+นครศรีธรรมราช!J544+นราธิวาส!J544+ปัตตานี!J544+พังงา!J544+พัทลุง!J544+ภูเก็ต!J544+ยะลา!J544+ระนอง!J544+สงขลา!J544+สตูล!J544+สุราษฎร์ธานี!J544</f>
        <v>14</v>
      </c>
      <c r="K544" s="169"/>
      <c r="L544" s="189" t="s">
        <v>40</v>
      </c>
      <c r="M544" s="189"/>
      <c r="N544" s="189" t="s">
        <v>40</v>
      </c>
      <c r="O544" s="189"/>
      <c r="P544" s="189"/>
    </row>
    <row r="545" spans="1:16" ht="21.75" customHeight="1" x14ac:dyDescent="0.35">
      <c r="A545" s="183"/>
      <c r="B545" s="184"/>
      <c r="C545" s="184"/>
      <c r="D545" s="201"/>
      <c r="E545" s="202" t="s">
        <v>47</v>
      </c>
      <c r="F545" s="203"/>
      <c r="G545" s="204"/>
      <c r="H545" s="194"/>
      <c r="I545" s="195"/>
      <c r="J545" s="196">
        <f ca="1">กระบี่!J545+ชุมพร!J545+ตรัง!J545+นครศรีธรรมราช!J545+นราธิวาส!J545+ปัตตานี!J545+พังงา!J545+พัทลุง!J545+ภูเก็ต!J545+ยะลา!J545+ระนอง!J545+สงขลา!J545+สตูล!J545+สุราษฎร์ธานี!J545</f>
        <v>14</v>
      </c>
      <c r="K545" s="169"/>
      <c r="L545" s="189"/>
      <c r="M545" s="189"/>
      <c r="N545" s="189"/>
      <c r="O545" s="189"/>
      <c r="P545" s="189"/>
    </row>
    <row r="546" spans="1:16" ht="21.75" customHeight="1" x14ac:dyDescent="0.35">
      <c r="A546" s="183"/>
      <c r="B546" s="184"/>
      <c r="C546" s="184"/>
      <c r="D546" s="201"/>
      <c r="E546" s="202" t="s">
        <v>48</v>
      </c>
      <c r="F546" s="203"/>
      <c r="G546" s="204"/>
      <c r="H546" s="194"/>
      <c r="I546" s="195"/>
      <c r="J546" s="205">
        <f ca="1">กระบี่!J546+ชุมพร!J546+ตรัง!J546+นครศรีธรรมราช!J546+นราธิวาส!J546+ปัตตานี!J546+พังงา!J546+พัทลุง!J546+ภูเก็ต!J546+ยะลา!J546+ระนอง!J546+สงขลา!J546+สตูล!J546+สุราษฎร์ธานี!J546</f>
        <v>14</v>
      </c>
      <c r="K546" s="169"/>
      <c r="L546" s="189"/>
      <c r="M546" s="189"/>
      <c r="N546" s="189"/>
      <c r="O546" s="189"/>
      <c r="P546" s="189"/>
    </row>
    <row r="547" spans="1:16" ht="21.75" customHeight="1" x14ac:dyDescent="0.35">
      <c r="A547" s="183"/>
      <c r="B547" s="184"/>
      <c r="C547" s="184"/>
      <c r="D547" s="201"/>
      <c r="E547" s="206"/>
      <c r="F547" s="203"/>
      <c r="G547" s="233" t="s">
        <v>203</v>
      </c>
      <c r="H547" s="194" t="s">
        <v>37</v>
      </c>
      <c r="I547" s="211">
        <f ca="1">กระบี่!I547+ชุมพร!I547+ตรัง!I547+นครศรีธรรมราช!I547+นราธิวาส!I547+ปัตตานี!I547+พังงา!I547+พัทลุง!I547+ภูเก็ต!I547+ยะลา!I547+ระนอง!I547+สงขลา!I547+สตูล!I547+สุราษฎร์ธานี!I547</f>
        <v>293</v>
      </c>
      <c r="J547" s="196">
        <f ca="1">กระบี่!J547+ชุมพร!J547+ตรัง!J547+นครศรีธรรมราช!J547+นราธิวาส!J547+ปัตตานี!J547+พังงา!J547+พัทลุง!J547+ภูเก็ต!J547+ยะลา!J547+ระนอง!J547+สงขลา!J547+สตูล!J547+สุราษฎร์ธานี!J547</f>
        <v>298</v>
      </c>
      <c r="K547" s="169">
        <f t="shared" ref="K547:K548" ca="1" si="87">IF(I547&gt;0,J547*100/I547,0)</f>
        <v>101.70648464163823</v>
      </c>
      <c r="L547" s="189"/>
      <c r="M547" s="189"/>
      <c r="N547" s="189"/>
      <c r="O547" s="189"/>
      <c r="P547" s="189"/>
    </row>
    <row r="548" spans="1:16" ht="21.75" hidden="1" customHeight="1" x14ac:dyDescent="0.35">
      <c r="A548" s="183"/>
      <c r="B548" s="184"/>
      <c r="C548" s="184"/>
      <c r="D548" s="201"/>
      <c r="E548" s="206"/>
      <c r="F548" s="203"/>
      <c r="G548" s="233" t="s">
        <v>204</v>
      </c>
      <c r="H548" s="194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5">
        <f ca="1">กระบี่!J548+ชุมพร!J548+ตรัง!J548+นครศรีธรรมราช!J548+นราธิวาส!J548+ปัตตานี!J548+พังงา!J548+พัทลุง!J548+ภูเก็ต!J548+ยะลา!J548+ระนอง!J548+สงขลา!J548+สตูล!J548+สุราษฎร์ธานี!J548</f>
        <v>0</v>
      </c>
      <c r="K548" s="169">
        <f t="shared" ca="1" si="87"/>
        <v>0</v>
      </c>
      <c r="L548" s="189"/>
      <c r="M548" s="189"/>
      <c r="N548" s="189"/>
      <c r="O548" s="189"/>
      <c r="P548" s="189"/>
    </row>
    <row r="549" spans="1:16" ht="21.75" customHeight="1" x14ac:dyDescent="0.35">
      <c r="A549" s="183"/>
      <c r="B549" s="184"/>
      <c r="C549" s="184"/>
      <c r="D549" s="201"/>
      <c r="E549" s="202" t="s">
        <v>54</v>
      </c>
      <c r="F549" s="203"/>
      <c r="G549" s="204"/>
      <c r="H549" s="194"/>
      <c r="I549" s="195"/>
      <c r="J549" s="205">
        <f ca="1">กระบี่!J549+ชุมพร!J549+ตรัง!J549+นครศรีธรรมราช!J549+นราธิวาส!J549+ปัตตานี!J549+พังงา!J549+พัทลุง!J549+ภูเก็ต!J549+ยะลา!J549+ระนอง!J549+สงขลา!J549+สตูล!J549+สุราษฎร์ธานี!J549</f>
        <v>0</v>
      </c>
      <c r="K549" s="169"/>
      <c r="L549" s="189"/>
      <c r="M549" s="189"/>
      <c r="N549" s="189"/>
      <c r="O549" s="189"/>
      <c r="P549" s="189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กระบี่!J550+ชุมพร!J550+ตรัง!J550+นครศรีธรรมราช!J550+นราธิวาส!J550+ปัตตานี!J550+พังงา!J550+พัทลุง!J550+ภูเก็ต!J550+ยะลา!J550+ระนอง!J550+สงขลา!J550+สตูล!J550+สุราษฎร์ธานี!J550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กระบี่!I551+ชุมพร!I551+ตรัง!I551+นครศรีธรรมราช!I551+นราธิวาส!I551+ปัตตานี!I551+พังงา!I551+พัทลุง!I551+ภูเก็ต!I551+ยะลา!I551+ระนอง!I551+สงขลา!I551+สตูล!I551+สุราษฎร์ธานี!I551</f>
        <v>0</v>
      </c>
      <c r="J551" s="416">
        <f ca="1">กระบี่!J551+ชุมพร!J551+ตรัง!J551+นครศรีธรรมราช!J551+นราธิวาส!J551+ปัตตานี!J551+พังงา!J551+พัทลุง!J551+ภูเก็ต!J551+ยะลา!J551+ระนอง!J551+สงขลา!J551+สตูล!J551+สุราษฎร์ธานี!J551</f>
        <v>0</v>
      </c>
      <c r="K551" s="417">
        <f ca="1">IF(I551&gt;0,J551*100/I551,0)</f>
        <v>0</v>
      </c>
      <c r="L551" s="418">
        <f ca="1">กระบี่!L551+ชุมพร!L551+ตรัง!L551+นครศรีธรรมราช!L551+นราธิวาส!L551+ปัตตานี!L551+พังงา!L551+พัทลุง!L551+ภูเก็ต!L551+ยะลา!L551+ระนอง!L551+สงขลา!L551+สตูล!L551+สุราษฎร์ธานี!L551</f>
        <v>0</v>
      </c>
      <c r="M551" s="418"/>
      <c r="N551" s="418">
        <f ca="1">กระบี่!N551+ชุมพร!N551+ตรัง!N551+นครศรีธรรมราช!N551+นราธิวาส!N551+ปัตตานี!N551+พังงา!N551+พัทลุง!N551+ภูเก็ต!N551+ยะลา!N551+ระนอง!N551+สงขลา!N551+สตูล!N551+สุราษฎร์ธานี!N551</f>
        <v>0</v>
      </c>
      <c r="O551" s="418">
        <f t="shared" ref="O551:O555" ca="1" si="88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164" t="s">
        <v>38</v>
      </c>
      <c r="E552" s="165"/>
      <c r="F552" s="165"/>
      <c r="G552" s="166" t="s">
        <v>39</v>
      </c>
      <c r="H552" s="167" t="s">
        <v>12</v>
      </c>
      <c r="I552" s="168" t="s">
        <v>40</v>
      </c>
      <c r="J552" s="168"/>
      <c r="K552" s="169"/>
      <c r="L552" s="170">
        <f ca="1">กระบี่!L552+ชุมพร!L552+ตรัง!L552+นครศรีธรรมราช!L552+นราธิวาส!L552+ปัตตานี!L552+พังงา!L552+พัทลุง!L552+ภูเก็ต!L552+ยะลา!L552+ระนอง!L552+สงขลา!L552+สตูล!L552+สุราษฎร์ธานี!L552</f>
        <v>0</v>
      </c>
      <c r="M552" s="170"/>
      <c r="N552" s="176">
        <f ca="1">กระบี่!N552+ชุมพร!N552+ตรัง!N552+นครศรีธรรมราช!N552+นราธิวาส!N552+ปัตตานี!N552+พังงา!N552+พัทลุง!N552+ภูเก็ต!N552+ยะลา!N552+ระนอง!N552+สงขลา!N552+สตูล!N552+สุราษฎร์ธานี!N552</f>
        <v>0</v>
      </c>
      <c r="O552" s="176">
        <f t="shared" ca="1" si="88"/>
        <v>0</v>
      </c>
      <c r="P552" s="176"/>
    </row>
    <row r="553" spans="1:16" ht="21.75" customHeight="1" x14ac:dyDescent="0.35">
      <c r="A553" s="162"/>
      <c r="B553" s="163"/>
      <c r="C553" s="163"/>
      <c r="D553" s="172"/>
      <c r="E553" s="165"/>
      <c r="F553" s="165" t="s">
        <v>40</v>
      </c>
      <c r="G553" s="166" t="s">
        <v>41</v>
      </c>
      <c r="H553" s="167" t="s">
        <v>12</v>
      </c>
      <c r="I553" s="168"/>
      <c r="J553" s="168"/>
      <c r="K553" s="169"/>
      <c r="L553" s="171">
        <f ca="1">กระบี่!L553+ชุมพร!L553+ตรัง!L553+นครศรีธรรมราช!L553+นราธิวาส!L553+ปัตตานี!L553+พังงา!L553+พัทลุง!L553+ภูเก็ต!L553+ยะลา!L553+ระนอง!L553+สงขลา!L553+สตูล!L553+สุราษฎร์ธานี!L553</f>
        <v>0</v>
      </c>
      <c r="M553" s="171"/>
      <c r="N553" s="176">
        <f ca="1">กระบี่!N553+ชุมพร!N553+ตรัง!N553+นครศรีธรรมราช!N553+นราธิวาส!N553+ปัตตานี!N553+พังงา!N553+พัทลุง!N553+ภูเก็ต!N553+ยะลา!N553+ระนอง!N553+สงขลา!N553+สตูล!N553+สุราษฎร์ธานี!N553</f>
        <v>0</v>
      </c>
      <c r="O553" s="176">
        <f t="shared" ca="1" si="88"/>
        <v>0</v>
      </c>
      <c r="P553" s="176"/>
    </row>
    <row r="554" spans="1:16" ht="21.75" customHeight="1" x14ac:dyDescent="0.35">
      <c r="A554" s="162"/>
      <c r="B554" s="163"/>
      <c r="C554" s="163"/>
      <c r="D554" s="172"/>
      <c r="E554" s="165"/>
      <c r="F554" s="165"/>
      <c r="G554" s="380" t="s">
        <v>129</v>
      </c>
      <c r="H554" s="167" t="s">
        <v>12</v>
      </c>
      <c r="I554" s="168"/>
      <c r="J554" s="168"/>
      <c r="K554" s="169"/>
      <c r="L554" s="176">
        <f ca="1">กระบี่!L554+ชุมพร!L554+ตรัง!L554+นครศรีธรรมราช!L554+นราธิวาส!L554+ปัตตานี!L554+พังงา!L554+พัทลุง!L554+ภูเก็ต!L554+ยะลา!L554+ระนอง!L554+สงขลา!L554+สตูล!L554+สุราษฎร์ธานี!L554</f>
        <v>0</v>
      </c>
      <c r="M554" s="176"/>
      <c r="N554" s="176">
        <f ca="1">กระบี่!N554+ชุมพร!N554+ตรัง!N554+นครศรีธรรมราช!N554+นราธิวาส!N554+ปัตตานี!N554+พังงา!N554+พัทลุง!N554+ภูเก็ต!N554+ยะลา!N554+ระนอง!N554+สงขลา!N554+สตูล!N554+สุราษฎร์ธานี!N554</f>
        <v>0</v>
      </c>
      <c r="O554" s="176">
        <f t="shared" ca="1" si="88"/>
        <v>0</v>
      </c>
      <c r="P554" s="176"/>
    </row>
    <row r="555" spans="1:16" ht="21.75" customHeight="1" x14ac:dyDescent="0.35">
      <c r="A555" s="162"/>
      <c r="B555" s="163"/>
      <c r="C555" s="163"/>
      <c r="D555" s="172"/>
      <c r="E555" s="165"/>
      <c r="F555" s="165"/>
      <c r="G555" s="380" t="s">
        <v>130</v>
      </c>
      <c r="H555" s="167" t="s">
        <v>12</v>
      </c>
      <c r="I555" s="168"/>
      <c r="J555" s="168"/>
      <c r="K555" s="169"/>
      <c r="L555" s="176">
        <f ca="1">กระบี่!L555+ชุมพร!L555+ตรัง!L555+นครศรีธรรมราช!L555+นราธิวาส!L555+ปัตตานี!L555+พังงา!L555+พัทลุง!L555+ภูเก็ต!L555+ยะลา!L555+ระนอง!L555+สงขลา!L555+สตูล!L555+สุราษฎร์ธานี!L555</f>
        <v>0</v>
      </c>
      <c r="M555" s="176"/>
      <c r="N555" s="176">
        <f ca="1">กระบี่!N555+ชุมพร!N555+ตรัง!N555+นครศรีธรรมราช!N555+นราธิวาส!N555+ปัตตานี!N555+พังงา!N555+พัทลุง!N555+ภูเก็ต!N555+ยะลา!N555+ระนอง!N555+สงขลา!N555+สตูล!N555+สุราษฎร์ธานี!N555</f>
        <v>0</v>
      </c>
      <c r="O555" s="176">
        <f t="shared" ca="1" si="88"/>
        <v>0</v>
      </c>
      <c r="P555" s="176"/>
    </row>
    <row r="556" spans="1:16" ht="21.75" customHeight="1" x14ac:dyDescent="0.35">
      <c r="A556" s="381"/>
      <c r="B556" s="382"/>
      <c r="C556" s="163"/>
      <c r="D556" s="383"/>
      <c r="E556" s="165"/>
      <c r="F556" s="165"/>
      <c r="G556" s="384" t="s">
        <v>131</v>
      </c>
      <c r="H556" s="167" t="s">
        <v>12</v>
      </c>
      <c r="I556" s="195"/>
      <c r="J556" s="195"/>
      <c r="K556" s="231"/>
      <c r="L556" s="176"/>
      <c r="M556" s="176"/>
      <c r="N556" s="173">
        <f ca="1">กระบี่!N556+ชุมพร!N556+ตรัง!N556+นครศรีธรรมราช!N556+นราธิวาส!N556+ปัตตานี!N556+พังงา!N556+พัทลุง!N556+ภูเก็ต!N556+ยะลา!N556+ระนอง!N556+สงขลา!N556+สตูล!N556+สุราษฎร์ธานี!N556</f>
        <v>0</v>
      </c>
      <c r="O556" s="176"/>
      <c r="P556" s="176"/>
    </row>
    <row r="557" spans="1:16" ht="21.75" customHeight="1" x14ac:dyDescent="0.35">
      <c r="A557" s="381"/>
      <c r="B557" s="382"/>
      <c r="C557" s="163"/>
      <c r="D557" s="383"/>
      <c r="E557" s="165"/>
      <c r="F557" s="165"/>
      <c r="G557" s="384" t="s">
        <v>132</v>
      </c>
      <c r="H557" s="167" t="s">
        <v>12</v>
      </c>
      <c r="I557" s="195"/>
      <c r="J557" s="195"/>
      <c r="K557" s="231"/>
      <c r="L557" s="176"/>
      <c r="M557" s="176"/>
      <c r="N557" s="173">
        <f ca="1">กระบี่!N557+ชุมพร!N557+ตรัง!N557+นครศรีธรรมราช!N557+นราธิวาส!N557+ปัตตานี!N557+พังงา!N557+พัทลุง!N557+ภูเก็ต!N557+ยะลา!N557+ระนอง!N557+สงขลา!N557+สตูล!N557+สุราษฎร์ธานี!N557</f>
        <v>0</v>
      </c>
      <c r="O557" s="176"/>
      <c r="P557" s="176"/>
    </row>
    <row r="558" spans="1:16" ht="21.75" customHeight="1" x14ac:dyDescent="0.35">
      <c r="A558" s="381"/>
      <c r="B558" s="382"/>
      <c r="C558" s="163"/>
      <c r="D558" s="383"/>
      <c r="E558" s="165"/>
      <c r="F558" s="165"/>
      <c r="G558" s="384" t="s">
        <v>133</v>
      </c>
      <c r="H558" s="167" t="s">
        <v>12</v>
      </c>
      <c r="I558" s="195"/>
      <c r="J558" s="195"/>
      <c r="K558" s="231"/>
      <c r="L558" s="176"/>
      <c r="M558" s="176"/>
      <c r="N558" s="173">
        <f ca="1">กระบี่!N558+ชุมพร!N558+ตรัง!N558+นครศรีธรรมราช!N558+นราธิวาส!N558+ปัตตานี!N558+พังงา!N558+พัทลุง!N558+ภูเก็ต!N558+ยะลา!N558+ระนอง!N558+สงขลา!N558+สตูล!N558+สุราษฎร์ธานี!N558</f>
        <v>0</v>
      </c>
      <c r="O558" s="176"/>
      <c r="P558" s="176"/>
    </row>
    <row r="559" spans="1:16" ht="21.75" customHeight="1" x14ac:dyDescent="0.35">
      <c r="A559" s="381"/>
      <c r="B559" s="382"/>
      <c r="C559" s="163"/>
      <c r="D559" s="383"/>
      <c r="E559" s="165"/>
      <c r="F559" s="165"/>
      <c r="G559" s="384" t="s">
        <v>134</v>
      </c>
      <c r="H559" s="167" t="s">
        <v>12</v>
      </c>
      <c r="I559" s="195"/>
      <c r="J559" s="195"/>
      <c r="K559" s="231"/>
      <c r="L559" s="176"/>
      <c r="M559" s="176"/>
      <c r="N559" s="173">
        <f ca="1">กระบี่!N559+ชุมพร!N559+ตรัง!N559+นครศรีธรรมราช!N559+นราธิวาส!N559+ปัตตานี!N559+พังงา!N559+พัทลุง!N559+ภูเก็ต!N559+ยะลา!N559+ระนอง!N559+สงขลา!N559+สตูล!N559+สุราษฎร์ธานี!N559</f>
        <v>0</v>
      </c>
      <c r="O559" s="176"/>
      <c r="P559" s="176"/>
    </row>
    <row r="560" spans="1:16" ht="21.75" customHeight="1" x14ac:dyDescent="0.35">
      <c r="A560" s="183"/>
      <c r="B560" s="184"/>
      <c r="C560" s="184"/>
      <c r="D560" s="201"/>
      <c r="E560" s="203"/>
      <c r="F560" s="285" t="s">
        <v>206</v>
      </c>
      <c r="G560" s="204"/>
      <c r="H560" s="481" t="s">
        <v>122</v>
      </c>
      <c r="I560" s="168">
        <f ca="1">กระบี่!I560+ชุมพร!I560+ตรัง!I560+นครศรีธรรมราช!I560+นราธิวาส!I560+ปัตตานี!I560+พังงา!I560+พัทลุง!I560+ภูเก็ต!I560+ยะลา!I560+ระนอง!I560+สงขลา!I560+สตูล!I560+สุราษฎร์ธานี!I560</f>
        <v>0</v>
      </c>
      <c r="J560" s="168">
        <f ca="1">กระบี่!J560+ชุมพร!J560+ตรัง!J560+นครศรีธรรมราช!J560+นราธิวาส!J560+ปัตตานี!J560+พังงา!J560+พัทลุง!J560+ภูเก็ต!J560+ยะลา!J560+ระนอง!J560+สงขลา!J560+สตูล!J560+สุราษฎร์ธานี!J560</f>
        <v>0</v>
      </c>
      <c r="K560" s="231">
        <f t="shared" ref="K560:K561" ca="1" si="89">IF(I560&gt;0,J560*100/I560,0)</f>
        <v>0</v>
      </c>
      <c r="L560" s="176"/>
      <c r="M560" s="176"/>
      <c r="N560" s="176"/>
      <c r="O560" s="189"/>
      <c r="P560" s="189"/>
    </row>
    <row r="561" spans="1:16" ht="21.75" customHeight="1" x14ac:dyDescent="0.35">
      <c r="A561" s="183"/>
      <c r="B561" s="184"/>
      <c r="C561" s="184"/>
      <c r="D561" s="201"/>
      <c r="E561" s="203"/>
      <c r="F561" s="203"/>
      <c r="G561" s="204"/>
      <c r="H561" s="481" t="s">
        <v>36</v>
      </c>
      <c r="I561" s="168">
        <f ca="1">กระบี่!I561+ชุมพร!I561+ตรัง!I561+นครศรีธรรมราช!I561+นราธิวาส!I561+ปัตตานี!I561+พังงา!I561+พัทลุง!I561+ภูเก็ต!I561+ยะลา!I561+ระนอง!I561+สงขลา!I561+สตูล!I561+สุราษฎร์ธานี!I561</f>
        <v>0</v>
      </c>
      <c r="J561" s="211">
        <f ca="1">กระบี่!J561+ชุมพร!J561+ตรัง!J561+นครศรีธรรมราช!J561+นราธิวาส!J561+ปัตตานี!J561+พังงา!J561+พัทลุง!J561+ภูเก็ต!J561+ยะลา!J561+ระนอง!J561+สงขลา!J561+สตูล!J561+สุราษฎร์ธานี!J561</f>
        <v>0</v>
      </c>
      <c r="K561" s="231">
        <f t="shared" ca="1" si="89"/>
        <v>0</v>
      </c>
      <c r="L561" s="176"/>
      <c r="M561" s="176"/>
      <c r="N561" s="176"/>
      <c r="O561" s="189"/>
      <c r="P561" s="189"/>
    </row>
    <row r="562" spans="1:16" ht="21.75" customHeight="1" x14ac:dyDescent="0.35">
      <c r="A562" s="183"/>
      <c r="B562" s="184"/>
      <c r="C562" s="184"/>
      <c r="D562" s="201"/>
      <c r="E562" s="203"/>
      <c r="F562" s="203" t="s">
        <v>207</v>
      </c>
      <c r="G562" s="204"/>
      <c r="H562" s="481" t="s">
        <v>122</v>
      </c>
      <c r="I562" s="168" t="str">
        <f ca="1">IFERROR(__xludf.DUMMYFUNCTION("IMPORTRANGE(""https://docs.google.com/spreadsheets/d/1SX6NBoVAgQJ6U1MVXOaj8PK2l7WJ3RER9xtqwdhxkhw/edit?usp=sharing"",""กาญจนบุรี!I457"")"),"")</f>
        <v/>
      </c>
      <c r="J562" s="211" t="str">
        <f ca="1">IFERROR(__xludf.DUMMYFUNCTION("IMPORTRANGE(""https://docs.google.com/spreadsheets/d/1SX6NBoVAgQJ6U1MVXOaj8PK2l7WJ3RER9xtqwdhxkhw/edit?usp=sharing"",""กาญจนบุรี!J457"")"),"")</f>
        <v/>
      </c>
      <c r="K562" s="169"/>
      <c r="L562" s="189"/>
      <c r="M562" s="189"/>
      <c r="N562" s="189"/>
      <c r="O562" s="189"/>
      <c r="P562" s="189"/>
    </row>
    <row r="563" spans="1:16" ht="21.75" customHeight="1" x14ac:dyDescent="0.35">
      <c r="A563" s="183"/>
      <c r="B563" s="184"/>
      <c r="C563" s="184"/>
      <c r="D563" s="201"/>
      <c r="E563" s="203"/>
      <c r="F563" s="203"/>
      <c r="G563" s="204"/>
      <c r="H563" s="481" t="s">
        <v>36</v>
      </c>
      <c r="I563" s="168" t="str">
        <f ca="1">IFERROR(__xludf.DUMMYFUNCTION("IMPORTRANGE(""https://docs.google.com/spreadsheets/d/1SX6NBoVAgQJ6U1MVXOaj8PK2l7WJ3RER9xtqwdhxkhw/edit?usp=sharing"",""กาญจนบุรี!I458"")"),"")</f>
        <v/>
      </c>
      <c r="J563" s="195" t="str">
        <f ca="1">IFERROR(__xludf.DUMMYFUNCTION("IMPORTRANGE(""https://docs.google.com/spreadsheets/d/1SX6NBoVAgQJ6U1MVXOaj8PK2l7WJ3RER9xtqwdhxkhw/edit?usp=sharing"",""กาญจนบุรี!J458"")"),"")</f>
        <v/>
      </c>
      <c r="K563" s="169"/>
      <c r="L563" s="189"/>
      <c r="M563" s="189"/>
      <c r="N563" s="189"/>
      <c r="O563" s="189"/>
      <c r="P563" s="189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กระบี่!I564+ชุมพร!I564+ตรัง!I564+นครศรีธรรมราช!I564+นราธิวาส!I564+ปัตตานี!I564+พังงา!I564+พัทลุง!I564+ภูเก็ต!I564+ยะลา!I564+ระนอง!I564+สงขลา!I564+สตูล!I564+สุราษฎร์ธานี!I564</f>
        <v>12200</v>
      </c>
      <c r="J564" s="377">
        <f ca="1">กระบี่!J564+ชุมพร!J564+ตรัง!J564+นครศรีธรรมราช!J564+นราธิวาส!J564+ปัตตานี!J564+พังงา!J564+พัทลุง!J564+ภูเก็ต!J564+ยะลา!J564+ระนอง!J564+สงขลา!J564+สตูล!J564+สุราษฎร์ธานี!J564</f>
        <v>14066</v>
      </c>
      <c r="K564" s="378">
        <f ca="1">IF(I564&gt;0,J564*100/I564,0)</f>
        <v>115.29508196721312</v>
      </c>
      <c r="L564" s="379">
        <f ca="1">กระบี่!L564+ชุมพร!L564+ตรัง!L564+นครศรีธรรมราช!L564+นราธิวาส!L564+ปัตตานี!L564+พังงา!L564+พัทลุง!L564+ภูเก็ต!L564+ยะลา!L564+ระนอง!L564+สงขลา!L564+สตูล!L564+สุราษฎร์ธานี!L564</f>
        <v>1798960</v>
      </c>
      <c r="M564" s="379"/>
      <c r="N564" s="379">
        <f ca="1">กระบี่!N564+ชุมพร!N564+ตรัง!N564+นครศรีธรรมราช!N564+นราธิวาส!N564+ปัตตานี!N564+พังงา!N564+พัทลุง!N564+ภูเก็ต!N564+ยะลา!N564+ระนอง!N564+สงขลา!N564+สตูล!N564+สุราษฎร์ธานี!N564</f>
        <v>662245.12999999989</v>
      </c>
      <c r="O564" s="379">
        <f t="shared" ref="O564:O568" ca="1" si="90">+IF(L564&gt;0,N564*100/L564,0)</f>
        <v>36.812665651265171</v>
      </c>
      <c r="P564" s="379"/>
    </row>
    <row r="565" spans="1:16" ht="21.75" customHeight="1" x14ac:dyDescent="0.35">
      <c r="A565" s="162"/>
      <c r="B565" s="163"/>
      <c r="C565" s="163" t="s">
        <v>16</v>
      </c>
      <c r="D565" s="164" t="s">
        <v>38</v>
      </c>
      <c r="E565" s="165"/>
      <c r="F565" s="165"/>
      <c r="G565" s="166" t="s">
        <v>39</v>
      </c>
      <c r="H565" s="167" t="s">
        <v>12</v>
      </c>
      <c r="I565" s="168" t="s">
        <v>40</v>
      </c>
      <c r="J565" s="168"/>
      <c r="K565" s="169"/>
      <c r="L565" s="170">
        <f ca="1">กระบี่!L565+ชุมพร!L565+ตรัง!L565+นครศรีธรรมราช!L565+นราธิวาส!L565+ปัตตานี!L565+พังงา!L565+พัทลุง!L565+ภูเก็ต!L565+ยะลา!L565+ระนอง!L565+สงขลา!L565+สตูล!L565+สุราษฎร์ธานี!L565</f>
        <v>0</v>
      </c>
      <c r="M565" s="170"/>
      <c r="N565" s="176">
        <f ca="1">กระบี่!N565+ชุมพร!N565+ตรัง!N565+นครศรีธรรมราช!N565+นราธิวาส!N565+ปัตตานี!N565+พังงา!N565+พัทลุง!N565+ภูเก็ต!N565+ยะลา!N565+ระนอง!N565+สงขลา!N565+สตูล!N565+สุราษฎร์ธานี!N565</f>
        <v>0</v>
      </c>
      <c r="O565" s="176">
        <f t="shared" ca="1" si="90"/>
        <v>0</v>
      </c>
      <c r="P565" s="176"/>
    </row>
    <row r="566" spans="1:16" ht="21.75" customHeight="1" x14ac:dyDescent="0.35">
      <c r="A566" s="162"/>
      <c r="B566" s="163"/>
      <c r="C566" s="163"/>
      <c r="D566" s="172"/>
      <c r="E566" s="165"/>
      <c r="F566" s="165" t="s">
        <v>40</v>
      </c>
      <c r="G566" s="166" t="s">
        <v>41</v>
      </c>
      <c r="H566" s="167" t="s">
        <v>12</v>
      </c>
      <c r="I566" s="168"/>
      <c r="J566" s="168"/>
      <c r="K566" s="169"/>
      <c r="L566" s="171">
        <f ca="1">กระบี่!L566+ชุมพร!L566+ตรัง!L566+นครศรีธรรมราช!L566+นราธิวาส!L566+ปัตตานี!L566+พังงา!L566+พัทลุง!L566+ภูเก็ต!L566+ยะลา!L566+ระนอง!L566+สงขลา!L566+สตูล!L566+สุราษฎร์ธานี!L566</f>
        <v>1798960</v>
      </c>
      <c r="M566" s="171"/>
      <c r="N566" s="176">
        <f ca="1">กระบี่!N566+ชุมพร!N566+ตรัง!N566+นครศรีธรรมราช!N566+นราธิวาส!N566+ปัตตานี!N566+พังงา!N566+พัทลุง!N566+ภูเก็ต!N566+ยะลา!N566+ระนอง!N566+สงขลา!N566+สตูล!N566+สุราษฎร์ธานี!N566</f>
        <v>662245.12999999989</v>
      </c>
      <c r="O566" s="176">
        <f t="shared" ca="1" si="90"/>
        <v>36.812665651265171</v>
      </c>
      <c r="P566" s="176"/>
    </row>
    <row r="567" spans="1:16" ht="21.75" customHeight="1" x14ac:dyDescent="0.35">
      <c r="A567" s="162"/>
      <c r="B567" s="163"/>
      <c r="C567" s="163"/>
      <c r="D567" s="172"/>
      <c r="E567" s="165"/>
      <c r="F567" s="165"/>
      <c r="G567" s="380" t="s">
        <v>129</v>
      </c>
      <c r="H567" s="167" t="s">
        <v>12</v>
      </c>
      <c r="I567" s="168"/>
      <c r="J567" s="168"/>
      <c r="K567" s="169"/>
      <c r="L567" s="176">
        <f ca="1">กระบี่!L567+ชุมพร!L567+ตรัง!L567+นครศรีธรรมราช!L567+นราธิวาส!L567+ปัตตานี!L567+พังงา!L567+พัทลุง!L567+ภูเก็ต!L567+ยะลา!L567+ระนอง!L567+สงขลา!L567+สตูล!L567+สุราษฎร์ธานี!L567</f>
        <v>0</v>
      </c>
      <c r="M567" s="176"/>
      <c r="N567" s="176">
        <f ca="1">กระบี่!N567+ชุมพร!N567+ตรัง!N567+นครศรีธรรมราช!N567+นราธิวาส!N567+ปัตตานี!N567+พังงา!N567+พัทลุง!N567+ภูเก็ต!N567+ยะลา!N567+ระนอง!N567+สงขลา!N567+สตูล!N567+สุราษฎร์ธานี!N567</f>
        <v>0</v>
      </c>
      <c r="O567" s="176">
        <f t="shared" ca="1" si="90"/>
        <v>0</v>
      </c>
      <c r="P567" s="176"/>
    </row>
    <row r="568" spans="1:16" ht="21.75" customHeight="1" x14ac:dyDescent="0.35">
      <c r="A568" s="162"/>
      <c r="B568" s="163"/>
      <c r="C568" s="163"/>
      <c r="D568" s="172"/>
      <c r="E568" s="165"/>
      <c r="F568" s="165"/>
      <c r="G568" s="380" t="s">
        <v>130</v>
      </c>
      <c r="H568" s="167" t="s">
        <v>12</v>
      </c>
      <c r="I568" s="168"/>
      <c r="J568" s="168"/>
      <c r="K568" s="169"/>
      <c r="L568" s="176">
        <f ca="1">กระบี่!L568+ชุมพร!L568+ตรัง!L568+นครศรีธรรมราช!L568+นราธิวาส!L568+ปัตตานี!L568+พังงา!L568+พัทลุง!L568+ภูเก็ต!L568+ยะลา!L568+ระนอง!L568+สงขลา!L568+สตูล!L568+สุราษฎร์ธานี!L568</f>
        <v>1798960</v>
      </c>
      <c r="M568" s="176"/>
      <c r="N568" s="176">
        <f ca="1">กระบี่!N568+ชุมพร!N568+ตรัง!N568+นครศรีธรรมราช!N568+นราธิวาส!N568+ปัตตานี!N568+พังงา!N568+พัทลุง!N568+ภูเก็ต!N568+ยะลา!N568+ระนอง!N568+สงขลา!N568+สตูล!N568+สุราษฎร์ธานี!N568</f>
        <v>662245.12999999989</v>
      </c>
      <c r="O568" s="176">
        <f t="shared" ca="1" si="90"/>
        <v>36.812665651265171</v>
      </c>
      <c r="P568" s="176"/>
    </row>
    <row r="569" spans="1:16" ht="21.75" customHeight="1" x14ac:dyDescent="0.35">
      <c r="A569" s="381"/>
      <c r="B569" s="382"/>
      <c r="C569" s="163"/>
      <c r="D569" s="383"/>
      <c r="E569" s="165"/>
      <c r="F569" s="165"/>
      <c r="G569" s="384" t="s">
        <v>131</v>
      </c>
      <c r="H569" s="167" t="s">
        <v>12</v>
      </c>
      <c r="I569" s="195"/>
      <c r="J569" s="195"/>
      <c r="K569" s="231"/>
      <c r="L569" s="176"/>
      <c r="M569" s="176"/>
      <c r="N569" s="173">
        <f ca="1">กระบี่!N569+ชุมพร!N569+ตรัง!N569+นครศรีธรรมราช!N569+นราธิวาส!N569+ปัตตานี!N569+พังงา!N569+พัทลุง!N569+ภูเก็ต!N569+ยะลา!N569+ระนอง!N569+สงขลา!N569+สตูล!N569+สุราษฎร์ธานี!N569</f>
        <v>0</v>
      </c>
      <c r="O569" s="176"/>
      <c r="P569" s="176"/>
    </row>
    <row r="570" spans="1:16" ht="21.75" customHeight="1" x14ac:dyDescent="0.35">
      <c r="A570" s="381"/>
      <c r="B570" s="382"/>
      <c r="C570" s="163"/>
      <c r="D570" s="383"/>
      <c r="E570" s="165"/>
      <c r="F570" s="165"/>
      <c r="G570" s="384" t="s">
        <v>132</v>
      </c>
      <c r="H570" s="167" t="s">
        <v>12</v>
      </c>
      <c r="I570" s="195"/>
      <c r="J570" s="195"/>
      <c r="K570" s="231"/>
      <c r="L570" s="176"/>
      <c r="M570" s="176"/>
      <c r="N570" s="173">
        <f ca="1">กระบี่!N570+ชุมพร!N570+ตรัง!N570+นครศรีธรรมราช!N570+นราธิวาส!N570+ปัตตานี!N570+พังงา!N570+พัทลุง!N570+ภูเก็ต!N570+ยะลา!N570+ระนอง!N570+สงขลา!N570+สตูล!N570+สุราษฎร์ธานี!N570</f>
        <v>0</v>
      </c>
      <c r="O570" s="176"/>
      <c r="P570" s="176"/>
    </row>
    <row r="571" spans="1:16" ht="21.75" customHeight="1" x14ac:dyDescent="0.35">
      <c r="A571" s="381"/>
      <c r="B571" s="382"/>
      <c r="C571" s="163"/>
      <c r="D571" s="383"/>
      <c r="E571" s="165"/>
      <c r="F571" s="165"/>
      <c r="G571" s="384" t="s">
        <v>133</v>
      </c>
      <c r="H571" s="167" t="s">
        <v>12</v>
      </c>
      <c r="I571" s="195"/>
      <c r="J571" s="195"/>
      <c r="K571" s="231"/>
      <c r="L571" s="176"/>
      <c r="M571" s="176"/>
      <c r="N571" s="385">
        <f ca="1">กระบี่!N571+ชุมพร!N571+ตรัง!N571+นครศรีธรรมราช!N571+นราธิวาส!N571+ปัตตานี!N571+พังงา!N571+พัทลุง!N571+ภูเก็ต!N571+ยะลา!N571+ระนอง!N571+สงขลา!N571+สตูล!N571+สุราษฎร์ธานี!N571</f>
        <v>481586.13</v>
      </c>
      <c r="O571" s="176"/>
      <c r="P571" s="176"/>
    </row>
    <row r="572" spans="1:16" ht="21.75" customHeight="1" x14ac:dyDescent="0.35">
      <c r="A572" s="381"/>
      <c r="B572" s="382"/>
      <c r="C572" s="163"/>
      <c r="D572" s="383"/>
      <c r="E572" s="165"/>
      <c r="F572" s="165"/>
      <c r="G572" s="384" t="s">
        <v>134</v>
      </c>
      <c r="H572" s="167" t="s">
        <v>12</v>
      </c>
      <c r="I572" s="195"/>
      <c r="J572" s="195"/>
      <c r="K572" s="231"/>
      <c r="L572" s="176"/>
      <c r="M572" s="176"/>
      <c r="N572" s="385">
        <f ca="1">กระบี่!N572+ชุมพร!N572+ตรัง!N572+นครศรีธรรมราช!N572+นราธิวาส!N572+ปัตตานี!N572+พังงา!N572+พัทลุง!N572+ภูเก็ต!N572+ยะลา!N572+ระนอง!N572+สงขลา!N572+สตูล!N572+สุราษฎร์ธานี!N572</f>
        <v>180659</v>
      </c>
      <c r="O572" s="176"/>
      <c r="P572" s="176"/>
    </row>
    <row r="573" spans="1:16" ht="21.75" customHeight="1" x14ac:dyDescent="0.35">
      <c r="A573" s="183"/>
      <c r="B573" s="184"/>
      <c r="C573" s="184"/>
      <c r="D573" s="203"/>
      <c r="E573" s="202" t="s">
        <v>40</v>
      </c>
      <c r="F573" s="420" t="s">
        <v>209</v>
      </c>
      <c r="G573" s="394"/>
      <c r="H573" s="482" t="s">
        <v>37</v>
      </c>
      <c r="I573" s="426">
        <f ca="1">กระบี่!I573+ชุมพร!I573+ตรัง!I573+นครศรีธรรมราช!I573+นราธิวาส!I573+ปัตตานี!I573+พังงา!I573+พัทลุง!I573+ภูเก็ต!I573+ยะลา!I573+ระนอง!I573+สงขลา!I573+สตูล!I573+สุราษฎร์ธานี!I573</f>
        <v>12200</v>
      </c>
      <c r="J573" s="426">
        <f ca="1">กระบี่!J573+ชุมพร!J573+ตรัง!J573+นครศรีธรรมราช!J573+นราธิวาส!J573+ปัตตานี!J573+พังงา!J573+พัทลุง!J573+ภูเก็ต!J573+ยะลา!J573+ระนอง!J573+สงขลา!J573+สตูล!J573+สุราษฎร์ธานี!J573</f>
        <v>14066</v>
      </c>
      <c r="K573" s="209">
        <f ca="1">IF(I573&gt;0,J573*100/I573,0)</f>
        <v>115.29508196721312</v>
      </c>
      <c r="L573" s="189"/>
      <c r="M573" s="189"/>
      <c r="N573" s="189"/>
      <c r="O573" s="189"/>
      <c r="P573" s="189"/>
    </row>
    <row r="574" spans="1:16" ht="21.75" customHeight="1" x14ac:dyDescent="0.35">
      <c r="A574" s="183"/>
      <c r="B574" s="184"/>
      <c r="C574" s="184"/>
      <c r="D574" s="203"/>
      <c r="E574" s="203"/>
      <c r="F574" s="202" t="s">
        <v>210</v>
      </c>
      <c r="G574" s="204"/>
      <c r="H574" s="481"/>
      <c r="I574" s="168"/>
      <c r="J574" s="168"/>
      <c r="K574" s="169"/>
      <c r="L574" s="189"/>
      <c r="M574" s="189"/>
      <c r="N574" s="189"/>
      <c r="O574" s="189"/>
      <c r="P574" s="189"/>
    </row>
    <row r="575" spans="1:16" ht="21.75" customHeight="1" x14ac:dyDescent="0.35">
      <c r="A575" s="183"/>
      <c r="B575" s="184"/>
      <c r="C575" s="184"/>
      <c r="D575" s="203"/>
      <c r="E575" s="202" t="s">
        <v>40</v>
      </c>
      <c r="F575" s="202" t="s">
        <v>211</v>
      </c>
      <c r="G575" s="204"/>
      <c r="H575" s="481" t="s">
        <v>77</v>
      </c>
      <c r="I575" s="210">
        <f ca="1">กระบี่!I575+ชุมพร!I575+ตรัง!I575+นครศรีธรรมราช!I575+นราธิวาส!I575+ปัตตานี!I575+พังงา!I575+พัทลุง!I575+ภูเก็ต!I575+ยะลา!I575+ระนอง!I575+สงขลา!I575+สตูล!I575+สุราษฎร์ธานี!I575</f>
        <v>0</v>
      </c>
      <c r="J575" s="205">
        <f ca="1">กระบี่!J575+ชุมพร!J575+ตรัง!J575+นครศรีธรรมราช!J575+นราธิวาส!J575+ปัตตานี!J575+พังงา!J575+พัทลุง!J575+ภูเก็ต!J575+ยะลา!J575+ระนอง!J575+สงขลา!J575+สตูล!J575+สุราษฎร์ธานี!J575</f>
        <v>41</v>
      </c>
      <c r="K575" s="169">
        <f t="shared" ref="K575:K579" ca="1" si="91">IF(I575&gt;0,J575*100/I575,0)</f>
        <v>0</v>
      </c>
      <c r="L575" s="189"/>
      <c r="M575" s="189"/>
      <c r="N575" s="189"/>
      <c r="O575" s="189"/>
      <c r="P575" s="189"/>
    </row>
    <row r="576" spans="1:16" ht="21.75" customHeight="1" x14ac:dyDescent="0.35">
      <c r="A576" s="183"/>
      <c r="B576" s="184"/>
      <c r="C576" s="184"/>
      <c r="D576" s="203"/>
      <c r="E576" s="203"/>
      <c r="F576" s="202" t="s">
        <v>212</v>
      </c>
      <c r="G576" s="204"/>
      <c r="H576" s="481" t="s">
        <v>37</v>
      </c>
      <c r="I576" s="210">
        <f ca="1">กระบี่!I576+ชุมพร!I576+ตรัง!I576+นครศรีธรรมราช!I576+นราธิวาส!I576+ปัตตานี!I576+พังงา!I576+พัทลุง!I576+ภูเก็ต!I576+ยะลา!I576+ระนอง!I576+สงขลา!I576+สตูล!I576+สุราษฎร์ธานี!I576</f>
        <v>0</v>
      </c>
      <c r="J576" s="205">
        <f ca="1">กระบี่!J576+ชุมพร!J576+ตรัง!J576+นครศรีธรรมราช!J576+นราธิวาส!J576+ปัตตานี!J576+พังงา!J576+พัทลุง!J576+ภูเก็ต!J576+ยะลา!J576+ระนอง!J576+สงขลา!J576+สตูล!J576+สุราษฎร์ธานี!J576</f>
        <v>1430</v>
      </c>
      <c r="K576" s="169">
        <f t="shared" ca="1" si="91"/>
        <v>0</v>
      </c>
      <c r="L576" s="189"/>
      <c r="M576" s="189"/>
      <c r="N576" s="189"/>
      <c r="O576" s="189"/>
      <c r="P576" s="189"/>
    </row>
    <row r="577" spans="1:16" ht="21.75" customHeight="1" x14ac:dyDescent="0.35">
      <c r="A577" s="183"/>
      <c r="B577" s="184"/>
      <c r="C577" s="184"/>
      <c r="D577" s="203"/>
      <c r="E577" s="203"/>
      <c r="F577" s="202" t="s">
        <v>213</v>
      </c>
      <c r="G577" s="204"/>
      <c r="H577" s="481" t="s">
        <v>37</v>
      </c>
      <c r="I577" s="210">
        <f ca="1">กระบี่!I577+ชุมพร!I577+ตรัง!I577+นครศรีธรรมราช!I577+นราธิวาส!I577+ปัตตานี!I577+พังงา!I577+พัทลุง!I577+ภูเก็ต!I577+ยะลา!I577+ระนอง!I577+สงขลา!I577+สตูล!I577+สุราษฎร์ธานี!I577</f>
        <v>0</v>
      </c>
      <c r="J577" s="196">
        <f ca="1">กระบี่!J577+ชุมพร!J577+ตรัง!J577+นครศรีธรรมราช!J577+นราธิวาส!J577+ปัตตานี!J577+พังงา!J577+พัทลุง!J577+ภูเก็ต!J577+ยะลา!J577+ระนอง!J577+สงขลา!J577+สตูล!J577+สุราษฎร์ธานี!J577</f>
        <v>12634</v>
      </c>
      <c r="K577" s="169">
        <f t="shared" ca="1" si="91"/>
        <v>0</v>
      </c>
      <c r="L577" s="189"/>
      <c r="M577" s="189"/>
      <c r="N577" s="189"/>
      <c r="O577" s="189"/>
      <c r="P577" s="189"/>
    </row>
    <row r="578" spans="1:16" ht="21.75" customHeight="1" x14ac:dyDescent="0.35">
      <c r="A578" s="183"/>
      <c r="B578" s="184"/>
      <c r="C578" s="184"/>
      <c r="D578" s="203"/>
      <c r="E578" s="203"/>
      <c r="F578" s="202" t="s">
        <v>214</v>
      </c>
      <c r="G578" s="427"/>
      <c r="H578" s="481" t="s">
        <v>37</v>
      </c>
      <c r="I578" s="210">
        <f ca="1">กระบี่!I578+ชุมพร!I578+ตรัง!I578+นครศรีธรรมราช!I578+นราธิวาส!I578+ปัตตานี!I578+พังงา!I578+พัทลุง!I578+ภูเก็ต!I578+ยะลา!I578+ระนอง!I578+สงขลา!I578+สตูล!I578+สุราษฎร์ธานี!I578</f>
        <v>0</v>
      </c>
      <c r="J578" s="205">
        <f ca="1">กระบี่!J578+ชุมพร!J578+ตรัง!J578+นครศรีธรรมราช!J578+นราธิวาส!J578+ปัตตานี!J578+พังงา!J578+พัทลุง!J578+ภูเก็ต!J578+ยะลา!J578+ระนอง!J578+สงขลา!J578+สตูล!J578+สุราษฎร์ธานี!J578</f>
        <v>2</v>
      </c>
      <c r="K578" s="169">
        <f t="shared" ca="1" si="91"/>
        <v>0</v>
      </c>
      <c r="L578" s="189"/>
      <c r="M578" s="189"/>
      <c r="N578" s="189"/>
      <c r="O578" s="189"/>
      <c r="P578" s="189"/>
    </row>
    <row r="579" spans="1:16" ht="21.75" customHeight="1" x14ac:dyDescent="0.35">
      <c r="A579" s="183"/>
      <c r="B579" s="184"/>
      <c r="C579" s="184"/>
      <c r="D579" s="203"/>
      <c r="E579" s="203"/>
      <c r="F579" s="202" t="s">
        <v>215</v>
      </c>
      <c r="G579" s="427"/>
      <c r="H579" s="481" t="s">
        <v>37</v>
      </c>
      <c r="I579" s="210">
        <f ca="1">กระบี่!I579+ชุมพร!I579+ตรัง!I579+นครศรีธรรมราช!I579+นราธิวาส!I579+ปัตตานี!I579+พังงา!I579+พัทลุง!I579+ภูเก็ต!I579+ยะลา!I579+ระนอง!I579+สงขลา!I579+สตูล!I579+สุราษฎร์ธานี!I579</f>
        <v>0</v>
      </c>
      <c r="J579" s="205">
        <f ca="1">กระบี่!J579+ชุมพร!J579+ตรัง!J579+นครศรีธรรมราช!J579+นราธิวาส!J579+ปัตตานี!J579+พังงา!J579+พัทลุง!J579+ภูเก็ต!J579+ยะลา!J579+ระนอง!J579+สงขลา!J579+สตูล!J579+สุราษฎร์ธานี!J579</f>
        <v>0</v>
      </c>
      <c r="K579" s="169">
        <f t="shared" ca="1" si="91"/>
        <v>0</v>
      </c>
      <c r="L579" s="189"/>
      <c r="M579" s="189"/>
      <c r="N579" s="189"/>
      <c r="O579" s="189"/>
      <c r="P579" s="189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กระบี่!I580+ชุมพร!I580+ตรัง!I580+นครศรีธรรมราช!I580+นราธิวาส!I580+ปัตตานี!I580+พังงา!I580+พัทลุง!I580+ภูเก็ต!I580+ยะลา!I580+ระนอง!I580+สงขลา!I580+สตูล!I580+สุราษฎร์ธานี!I580</f>
        <v>292</v>
      </c>
      <c r="J580" s="377">
        <f ca="1">กระบี่!J580+ชุมพร!J580+ตรัง!J580+นครศรีธรรมราช!J580+นราธิวาส!J580+ปัตตานี!J580+พังงา!J580+พัทลุง!J580+ภูเก็ต!J580+ยะลา!J580+ระนอง!J580+สงขลา!J580+สตูล!J580+สุราษฎร์ธานี!J580</f>
        <v>1</v>
      </c>
      <c r="K580" s="378">
        <f ca="1">IF(I580&gt;0,J580*100/I580,0)</f>
        <v>0.34246575342465752</v>
      </c>
      <c r="L580" s="379">
        <f ca="1">กระบี่!L580+ชุมพร!L580+ตรัง!L580+นครศรีธรรมราช!L580+นราธิวาส!L580+ปัตตานี!L580+พังงา!L580+พัทลุง!L580+ภูเก็ต!L580+ยะลา!L580+ระนอง!L580+สงขลา!L580+สตูล!L580+สุราษฎร์ธานี!L580</f>
        <v>667592</v>
      </c>
      <c r="M580" s="379"/>
      <c r="N580" s="379">
        <f ca="1">กระบี่!N580+ชุมพร!N580+ตรัง!N580+นครศรีธรรมราช!N580+นราธิวาส!N580+ปัตตานี!N580+พังงา!N580+พัทลุง!N580+ภูเก็ต!N580+ยะลา!N580+ระนอง!N580+สงขลา!N580+สตูล!N580+สุราษฎร์ธานี!N580</f>
        <v>163300</v>
      </c>
      <c r="O580" s="379">
        <f t="shared" ref="O580:O584" ca="1" si="92">+IF(L580&gt;0,N580*100/L580,0)</f>
        <v>24.461048065285382</v>
      </c>
      <c r="P580" s="379"/>
    </row>
    <row r="581" spans="1:16" ht="21.75" customHeight="1" x14ac:dyDescent="0.35">
      <c r="A581" s="162"/>
      <c r="B581" s="163"/>
      <c r="C581" s="163" t="s">
        <v>16</v>
      </c>
      <c r="D581" s="164" t="s">
        <v>38</v>
      </c>
      <c r="E581" s="165"/>
      <c r="F581" s="165"/>
      <c r="G581" s="166" t="s">
        <v>39</v>
      </c>
      <c r="H581" s="167" t="s">
        <v>12</v>
      </c>
      <c r="I581" s="168" t="s">
        <v>40</v>
      </c>
      <c r="J581" s="168"/>
      <c r="K581" s="169"/>
      <c r="L581" s="170">
        <f ca="1">กระบี่!L581+ชุมพร!L581+ตรัง!L581+นครศรีธรรมราช!L581+นราธิวาส!L581+ปัตตานี!L581+พังงา!L581+พัทลุง!L581+ภูเก็ต!L581+ยะลา!L581+ระนอง!L581+สงขลา!L581+สตูล!L581+สุราษฎร์ธานี!L581</f>
        <v>0</v>
      </c>
      <c r="M581" s="170"/>
      <c r="N581" s="176">
        <f ca="1">กระบี่!N581+ชุมพร!N581+ตรัง!N581+นครศรีธรรมราช!N581+นราธิวาส!N581+ปัตตานี!N581+พังงา!N581+พัทลุง!N581+ภูเก็ต!N581+ยะลา!N581+ระนอง!N581+สงขลา!N581+สตูล!N581+สุราษฎร์ธานี!N581</f>
        <v>0</v>
      </c>
      <c r="O581" s="176">
        <f t="shared" ca="1" si="92"/>
        <v>0</v>
      </c>
      <c r="P581" s="176"/>
    </row>
    <row r="582" spans="1:16" ht="21.75" customHeight="1" x14ac:dyDescent="0.35">
      <c r="A582" s="162"/>
      <c r="B582" s="163"/>
      <c r="C582" s="163"/>
      <c r="D582" s="172"/>
      <c r="E582" s="165"/>
      <c r="F582" s="165" t="s">
        <v>40</v>
      </c>
      <c r="G582" s="166" t="s">
        <v>41</v>
      </c>
      <c r="H582" s="167" t="s">
        <v>12</v>
      </c>
      <c r="I582" s="168"/>
      <c r="J582" s="168"/>
      <c r="K582" s="169"/>
      <c r="L582" s="171">
        <f ca="1">กระบี่!L582+ชุมพร!L582+ตรัง!L582+นครศรีธรรมราช!L582+นราธิวาส!L582+ปัตตานี!L582+พังงา!L582+พัทลุง!L582+ภูเก็ต!L582+ยะลา!L582+ระนอง!L582+สงขลา!L582+สตูล!L582+สุราษฎร์ธานี!L582</f>
        <v>667592</v>
      </c>
      <c r="M582" s="171"/>
      <c r="N582" s="176">
        <f ca="1">กระบี่!N582+ชุมพร!N582+ตรัง!N582+นครศรีธรรมราช!N582+นราธิวาส!N582+ปัตตานี!N582+พังงา!N582+พัทลุง!N582+ภูเก็ต!N582+ยะลา!N582+ระนอง!N582+สงขลา!N582+สตูล!N582+สุราษฎร์ธานี!N582</f>
        <v>163300</v>
      </c>
      <c r="O582" s="176">
        <f t="shared" ca="1" si="92"/>
        <v>24.461048065285382</v>
      </c>
      <c r="P582" s="176"/>
    </row>
    <row r="583" spans="1:16" ht="21.75" customHeight="1" x14ac:dyDescent="0.35">
      <c r="A583" s="162"/>
      <c r="B583" s="163"/>
      <c r="C583" s="163"/>
      <c r="D583" s="172"/>
      <c r="E583" s="165"/>
      <c r="F583" s="165"/>
      <c r="G583" s="380" t="s">
        <v>129</v>
      </c>
      <c r="H583" s="167" t="s">
        <v>12</v>
      </c>
      <c r="I583" s="168"/>
      <c r="J583" s="168"/>
      <c r="K583" s="169"/>
      <c r="L583" s="176">
        <f ca="1">กระบี่!L583+ชุมพร!L583+ตรัง!L583+นครศรีธรรมราช!L583+นราธิวาส!L583+ปัตตานี!L583+พังงา!L583+พัทลุง!L583+ภูเก็ต!L583+ยะลา!L583+ระนอง!L583+สงขลา!L583+สตูล!L583+สุราษฎร์ธานี!L583</f>
        <v>0</v>
      </c>
      <c r="M583" s="176"/>
      <c r="N583" s="176">
        <f ca="1">กระบี่!N583+ชุมพร!N583+ตรัง!N583+นครศรีธรรมราช!N583+นราธิวาส!N583+ปัตตานี!N583+พังงา!N583+พัทลุง!N583+ภูเก็ต!N583+ยะลา!N583+ระนอง!N583+สงขลา!N583+สตูล!N583+สุราษฎร์ธานี!N583</f>
        <v>0</v>
      </c>
      <c r="O583" s="176">
        <f t="shared" ca="1" si="92"/>
        <v>0</v>
      </c>
      <c r="P583" s="176"/>
    </row>
    <row r="584" spans="1:16" ht="21.75" customHeight="1" x14ac:dyDescent="0.35">
      <c r="A584" s="162"/>
      <c r="B584" s="163"/>
      <c r="C584" s="163"/>
      <c r="D584" s="172"/>
      <c r="E584" s="165"/>
      <c r="F584" s="165"/>
      <c r="G584" s="380" t="s">
        <v>130</v>
      </c>
      <c r="H584" s="167" t="s">
        <v>12</v>
      </c>
      <c r="I584" s="168"/>
      <c r="J584" s="168"/>
      <c r="K584" s="169"/>
      <c r="L584" s="176">
        <f ca="1">กระบี่!L584+ชุมพร!L584+ตรัง!L584+นครศรีธรรมราช!L584+นราธิวาส!L584+ปัตตานี!L584+พังงา!L584+พัทลุง!L584+ภูเก็ต!L584+ยะลา!L584+ระนอง!L584+สงขลา!L584+สตูล!L584+สุราษฎร์ธานี!L584</f>
        <v>667592</v>
      </c>
      <c r="M584" s="176"/>
      <c r="N584" s="176">
        <f ca="1">กระบี่!N584+ชุมพร!N584+ตรัง!N584+นครศรีธรรมราช!N584+นราธิวาส!N584+ปัตตานี!N584+พังงา!N584+พัทลุง!N584+ภูเก็ต!N584+ยะลา!N584+ระนอง!N584+สงขลา!N584+สตูล!N584+สุราษฎร์ธานี!N584</f>
        <v>163300</v>
      </c>
      <c r="O584" s="176">
        <f t="shared" ca="1" si="92"/>
        <v>24.461048065285382</v>
      </c>
      <c r="P584" s="176"/>
    </row>
    <row r="585" spans="1:16" ht="21.75" customHeight="1" x14ac:dyDescent="0.35">
      <c r="A585" s="381"/>
      <c r="B585" s="382"/>
      <c r="C585" s="163"/>
      <c r="D585" s="383"/>
      <c r="E585" s="165"/>
      <c r="F585" s="165"/>
      <c r="G585" s="384" t="s">
        <v>131</v>
      </c>
      <c r="H585" s="167" t="s">
        <v>12</v>
      </c>
      <c r="I585" s="195"/>
      <c r="J585" s="195"/>
      <c r="K585" s="231"/>
      <c r="L585" s="176"/>
      <c r="M585" s="176"/>
      <c r="N585" s="173">
        <f ca="1">กระบี่!N585+ชุมพร!N585+ตรัง!N585+นครศรีธรรมราช!N585+นราธิวาส!N585+ปัตตานี!N585+พังงา!N585+พัทลุง!N585+ภูเก็ต!N585+ยะลา!N585+ระนอง!N585+สงขลา!N585+สตูล!N585+สุราษฎร์ธานี!N585</f>
        <v>0</v>
      </c>
      <c r="O585" s="176"/>
      <c r="P585" s="176"/>
    </row>
    <row r="586" spans="1:16" ht="21.75" customHeight="1" x14ac:dyDescent="0.35">
      <c r="A586" s="381"/>
      <c r="B586" s="382"/>
      <c r="C586" s="163"/>
      <c r="D586" s="383"/>
      <c r="E586" s="165"/>
      <c r="F586" s="165"/>
      <c r="G586" s="384" t="s">
        <v>132</v>
      </c>
      <c r="H586" s="167" t="s">
        <v>12</v>
      </c>
      <c r="I586" s="195"/>
      <c r="J586" s="195"/>
      <c r="K586" s="231"/>
      <c r="L586" s="176"/>
      <c r="M586" s="176"/>
      <c r="N586" s="173">
        <f ca="1">กระบี่!N586+ชุมพร!N586+ตรัง!N586+นครศรีธรรมราช!N586+นราธิวาส!N586+ปัตตานี!N586+พังงา!N586+พัทลุง!N586+ภูเก็ต!N586+ยะลา!N586+ระนอง!N586+สงขลา!N586+สตูล!N586+สุราษฎร์ธานี!N586</f>
        <v>0</v>
      </c>
      <c r="O586" s="176"/>
      <c r="P586" s="176"/>
    </row>
    <row r="587" spans="1:16" ht="21.75" customHeight="1" x14ac:dyDescent="0.35">
      <c r="A587" s="381"/>
      <c r="B587" s="382"/>
      <c r="C587" s="163"/>
      <c r="D587" s="383"/>
      <c r="E587" s="165"/>
      <c r="F587" s="165"/>
      <c r="G587" s="384" t="s">
        <v>133</v>
      </c>
      <c r="H587" s="167" t="s">
        <v>12</v>
      </c>
      <c r="I587" s="195"/>
      <c r="J587" s="195"/>
      <c r="K587" s="231"/>
      <c r="L587" s="176"/>
      <c r="M587" s="176"/>
      <c r="N587" s="173">
        <f ca="1">กระบี่!N587+ชุมพร!N587+ตรัง!N587+นครศรีธรรมราช!N587+นราธิวาส!N587+ปัตตานี!N587+พังงา!N587+พัทลุง!N587+ภูเก็ต!N587+ยะลา!N587+ระนอง!N587+สงขลา!N587+สตูล!N587+สุราษฎร์ธานี!N587</f>
        <v>53935</v>
      </c>
      <c r="O587" s="176"/>
      <c r="P587" s="176"/>
    </row>
    <row r="588" spans="1:16" ht="21.75" customHeight="1" x14ac:dyDescent="0.35">
      <c r="A588" s="381"/>
      <c r="B588" s="382"/>
      <c r="C588" s="163"/>
      <c r="D588" s="383"/>
      <c r="E588" s="165"/>
      <c r="F588" s="165"/>
      <c r="G588" s="384" t="s">
        <v>134</v>
      </c>
      <c r="H588" s="167" t="s">
        <v>12</v>
      </c>
      <c r="I588" s="195"/>
      <c r="J588" s="195"/>
      <c r="K588" s="231"/>
      <c r="L588" s="176"/>
      <c r="M588" s="176"/>
      <c r="N588" s="173">
        <f ca="1">กระบี่!N588+ชุมพร!N588+ตรัง!N588+นครศรีธรรมราช!N588+นราธิวาส!N588+ปัตตานี!N588+พังงา!N588+พัทลุง!N588+ภูเก็ต!N588+ยะลา!N588+ระนอง!N588+สงขลา!N588+สตูล!N588+สุราษฎร์ธานี!N588</f>
        <v>109365</v>
      </c>
      <c r="O588" s="176"/>
      <c r="P588" s="176"/>
    </row>
    <row r="589" spans="1:16" ht="21.75" customHeight="1" x14ac:dyDescent="0.35">
      <c r="A589" s="484"/>
      <c r="B589" s="172"/>
      <c r="C589" s="163"/>
      <c r="D589" s="297"/>
      <c r="E589" s="202" t="s">
        <v>217</v>
      </c>
      <c r="F589" s="203"/>
      <c r="G589" s="204"/>
      <c r="H589" s="188" t="s">
        <v>36</v>
      </c>
      <c r="I589" s="347">
        <f ca="1">กระบี่!I589+ชุมพร!I589+ตรัง!I589+นครศรีธรรมราช!I589+นราธิวาส!I589+ปัตตานี!I589+พังงา!I589+พัทลุง!I589+ภูเก็ต!I589+ยะลา!I589+ระนอง!I589+สงขลา!I589+สตูล!I589+สุราษฎร์ธานี!I589</f>
        <v>292</v>
      </c>
      <c r="J589" s="195">
        <f ca="1">กระบี่!J589+ชุมพร!J589+ตรัง!J589+นครศรีธรรมราช!J589+นราธิวาส!J589+ปัตตานี!J589+พังงา!J589+พัทลุง!J589+ภูเก็ต!J589+ยะลา!J589+ระนอง!J589+สงขลา!J589+สตูล!J589+สุราษฎร์ธานี!J589</f>
        <v>192</v>
      </c>
      <c r="K589" s="169">
        <f t="shared" ref="K589:K596" ca="1" si="93">IF(I589&gt;0,J589*100/I589,0)</f>
        <v>65.753424657534254</v>
      </c>
      <c r="L589" s="189"/>
      <c r="M589" s="189"/>
      <c r="N589" s="176"/>
      <c r="O589" s="189"/>
      <c r="P589" s="189"/>
    </row>
    <row r="590" spans="1:16" ht="21.75" customHeight="1" x14ac:dyDescent="0.35">
      <c r="A590" s="484"/>
      <c r="B590" s="172"/>
      <c r="C590" s="163"/>
      <c r="D590" s="297"/>
      <c r="E590" s="203"/>
      <c r="F590" s="203"/>
      <c r="G590" s="204"/>
      <c r="H590" s="188" t="s">
        <v>122</v>
      </c>
      <c r="I590" s="351">
        <f ca="1">กระบี่!I590+ชุมพร!I590+ตรัง!I590+นครศรีธรรมราช!I590+นราธิวาส!I590+ปัตตานี!I590+พังงา!I590+พัทลุง!I590+ภูเก็ต!I590+ยะลา!I590+ระนอง!I590+สงขลา!I590+สตูล!I590+สุราษฎร์ธานี!I590</f>
        <v>0</v>
      </c>
      <c r="J590" s="195">
        <f ca="1">กระบี่!J590+ชุมพร!J590+ตรัง!J590+นครศรีธรรมราช!J590+นราธิวาส!J590+ปัตตานี!J590+พังงา!J590+พัทลุง!J590+ภูเก็ต!J590+ยะลา!J590+ระนอง!J590+สงขลา!J590+สตูล!J590+สุราษฎร์ธานี!J590</f>
        <v>52</v>
      </c>
      <c r="K590" s="485">
        <f t="shared" ca="1" si="93"/>
        <v>0</v>
      </c>
      <c r="L590" s="189"/>
      <c r="M590" s="189"/>
      <c r="N590" s="176"/>
      <c r="O590" s="189"/>
      <c r="P590" s="189"/>
    </row>
    <row r="591" spans="1:16" ht="21.75" customHeight="1" x14ac:dyDescent="0.35">
      <c r="A591" s="484"/>
      <c r="B591" s="172"/>
      <c r="C591" s="163"/>
      <c r="D591" s="297"/>
      <c r="E591" s="202" t="s">
        <v>123</v>
      </c>
      <c r="F591" s="203"/>
      <c r="G591" s="204"/>
      <c r="H591" s="188" t="s">
        <v>37</v>
      </c>
      <c r="I591" s="347">
        <f ca="1">กระบี่!I591+ชุมพร!I591+ตรัง!I591+นครศรีธรรมราช!I591+นราธิวาส!I591+ปัตตานี!I591+พังงา!I591+พัทลุง!I591+ภูเก็ต!I591+ยะลา!I591+ระนอง!I591+สงขลา!I591+สตูล!I591+สุราษฎร์ธานี!I591</f>
        <v>292</v>
      </c>
      <c r="J591" s="195">
        <f ca="1">กระบี่!J591+ชุมพร!J591+ตรัง!J591+นครศรีธรรมราช!J591+นราธิวาส!J591+ปัตตานี!J591+พังงา!J591+พัทลุง!J591+ภูเก็ต!J591+ยะลา!J591+ระนอง!J591+สงขลา!J591+สตูล!J591+สุราษฎร์ธานี!J591</f>
        <v>50</v>
      </c>
      <c r="K591" s="169">
        <f t="shared" ca="1" si="93"/>
        <v>17.123287671232877</v>
      </c>
      <c r="L591" s="189"/>
      <c r="M591" s="189"/>
      <c r="N591" s="189"/>
      <c r="O591" s="189"/>
      <c r="P591" s="189"/>
    </row>
    <row r="592" spans="1:16" ht="21.75" customHeight="1" x14ac:dyDescent="0.35">
      <c r="A592" s="484"/>
      <c r="B592" s="172"/>
      <c r="C592" s="163"/>
      <c r="D592" s="297"/>
      <c r="E592" s="203"/>
      <c r="F592" s="203"/>
      <c r="G592" s="204"/>
      <c r="H592" s="188" t="s">
        <v>122</v>
      </c>
      <c r="I592" s="351">
        <f ca="1">กระบี่!I592+ชุมพร!I592+ตรัง!I592+นครศรีธรรมราช!I592+นราธิวาส!I592+ปัตตานี!I592+พังงา!I592+พัทลุง!I592+ภูเก็ต!I592+ยะลา!I592+ระนอง!I592+สงขลา!I592+สตูล!I592+สุราษฎร์ธานี!I592</f>
        <v>0</v>
      </c>
      <c r="J592" s="195">
        <f ca="1">กระบี่!J592+ชุมพร!J592+ตรัง!J592+นครศรีธรรมราช!J592+นราธิวาส!J592+ปัตตานี!J592+พังงา!J592+พัทลุง!J592+ภูเก็ต!J592+ยะลา!J592+ระนอง!J592+สงขลา!J592+สตูล!J592+สุราษฎร์ธานี!J592</f>
        <v>15.170000000000002</v>
      </c>
      <c r="K592" s="348">
        <f t="shared" ca="1" si="93"/>
        <v>0</v>
      </c>
      <c r="L592" s="189"/>
      <c r="M592" s="189"/>
      <c r="N592" s="189"/>
      <c r="O592" s="189"/>
      <c r="P592" s="189"/>
    </row>
    <row r="593" spans="1:16" ht="21.75" customHeight="1" x14ac:dyDescent="0.35">
      <c r="A593" s="484"/>
      <c r="B593" s="172"/>
      <c r="C593" s="163"/>
      <c r="D593" s="297"/>
      <c r="E593" s="202" t="s">
        <v>124</v>
      </c>
      <c r="F593" s="203"/>
      <c r="G593" s="204"/>
      <c r="H593" s="188" t="s">
        <v>37</v>
      </c>
      <c r="I593" s="347">
        <f ca="1">กระบี่!I593+ชุมพร!I593+ตรัง!I593+นครศรีธรรมราช!I593+นราธิวาส!I593+ปัตตานี!I593+พังงา!I593+พัทลุง!I593+ภูเก็ต!I593+ยะลา!I593+ระนอง!I593+สงขลา!I593+สตูล!I593+สุราษฎร์ธานี!I593</f>
        <v>292</v>
      </c>
      <c r="J593" s="195">
        <f ca="1">กระบี่!J593+ชุมพร!J593+ตรัง!J593+นครศรีธรรมราช!J593+นราธิวาส!J593+ปัตตานี!J593+พังงา!J593+พัทลุง!J593+ภูเก็ต!J593+ยะลา!J593+ระนอง!J593+สงขลา!J593+สตูล!J593+สุราษฎร์ธานี!J593</f>
        <v>0</v>
      </c>
      <c r="K593" s="169">
        <f t="shared" ca="1" si="93"/>
        <v>0</v>
      </c>
      <c r="L593" s="189"/>
      <c r="M593" s="189"/>
      <c r="N593" s="189"/>
      <c r="O593" s="189"/>
      <c r="P593" s="189"/>
    </row>
    <row r="594" spans="1:16" ht="21.75" customHeight="1" x14ac:dyDescent="0.35">
      <c r="A594" s="484"/>
      <c r="B594" s="172"/>
      <c r="C594" s="163"/>
      <c r="D594" s="297"/>
      <c r="E594" s="203"/>
      <c r="F594" s="203"/>
      <c r="G594" s="204"/>
      <c r="H594" s="188" t="s">
        <v>122</v>
      </c>
      <c r="I594" s="351">
        <f ca="1">กระบี่!I594+ชุมพร!I594+ตรัง!I594+นครศรีธรรมราช!I594+นราธิวาส!I594+ปัตตานี!I594+พังงา!I594+พัทลุง!I594+ภูเก็ต!I594+ยะลา!I594+ระนอง!I594+สงขลา!I594+สตูล!I594+สุราษฎร์ธานี!I594</f>
        <v>0</v>
      </c>
      <c r="J594" s="195">
        <f ca="1">กระบี่!J594+ชุมพร!J594+ตรัง!J594+นครศรีธรรมราช!J594+นราธิวาส!J594+ปัตตานี!J594+พังงา!J594+พัทลุง!J594+ภูเก็ต!J594+ยะลา!J594+ระนอง!J594+สงขลา!J594+สตูล!J594+สุราษฎร์ธานี!J594</f>
        <v>0</v>
      </c>
      <c r="K594" s="348">
        <f t="shared" ca="1" si="93"/>
        <v>0</v>
      </c>
      <c r="L594" s="189"/>
      <c r="M594" s="189"/>
      <c r="N594" s="189"/>
      <c r="O594" s="189"/>
      <c r="P594" s="189"/>
    </row>
    <row r="595" spans="1:16" ht="21.75" customHeight="1" x14ac:dyDescent="0.35">
      <c r="A595" s="484"/>
      <c r="B595" s="172"/>
      <c r="C595" s="163"/>
      <c r="D595" s="297"/>
      <c r="E595" s="202" t="s">
        <v>125</v>
      </c>
      <c r="F595" s="203"/>
      <c r="G595" s="204"/>
      <c r="H595" s="188" t="s">
        <v>37</v>
      </c>
      <c r="I595" s="347">
        <f ca="1">กระบี่!I595+ชุมพร!I595+ตรัง!I595+นครศรีธรรมราช!I595+นราธิวาส!I595+ปัตตานี!I595+พังงา!I595+พัทลุง!I595+ภูเก็ต!I595+ยะลา!I595+ระนอง!I595+สงขลา!I595+สตูล!I595+สุราษฎร์ธานี!I595</f>
        <v>292</v>
      </c>
      <c r="J595" s="195">
        <f ca="1">กระบี่!J595+ชุมพร!J595+ตรัง!J595+นครศรีธรรมราช!J595+นราธิวาส!J595+ปัตตานี!J595+พังงา!J595+พัทลุง!J595+ภูเก็ต!J595+ยะลา!J595+ระนอง!J595+สงขลา!J595+สตูล!J595+สุราษฎร์ธานี!J595</f>
        <v>1</v>
      </c>
      <c r="K595" s="169">
        <f t="shared" ca="1" si="93"/>
        <v>0.34246575342465752</v>
      </c>
      <c r="L595" s="189"/>
      <c r="M595" s="189"/>
      <c r="N595" s="189"/>
      <c r="O595" s="189"/>
      <c r="P595" s="189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กระบี่!I596+ชุมพร!I596+ตรัง!I596+นครศรีธรรมราช!I596+นราธิวาส!I596+ปัตตานี!I596+พังงา!I596+พัทลุง!I596+ภูเก็ต!I596+ยะลา!I596+ระนอง!I596+สงขลา!I596+สตูล!I596+สุราษฎร์ธานี!I596</f>
        <v>0</v>
      </c>
      <c r="J596" s="248">
        <f ca="1">กระบี่!J596+ชุมพร!J596+ตรัง!J596+นครศรีธรรมราช!J596+นราธิวาส!J596+ปัตตานี!J596+พังงา!J596+พัทลุง!J596+ภูเก็ต!J596+ยะลา!J596+ระนอง!J596+สงขลา!J596+สตูล!J596+สุราษฎร์ธานี!J596</f>
        <v>0.61</v>
      </c>
      <c r="K596" s="492">
        <f t="shared" ca="1" si="93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กระบี่!I597+ชุมพร!I597+ตรัง!I597+นครศรีธรรมราช!I597+นราธิวาส!I597+ปัตตานี!I597+พังงา!I597+พัทลุง!I597+ภูเก็ต!I597+ยะลา!I597+ระนอง!I597+สงขลา!I597+สตูล!I597+สุราษฎร์ธานี!I597</f>
        <v>1328</v>
      </c>
      <c r="J597" s="493">
        <f ca="1">กระบี่!J597+ชุมพร!J597+ตรัง!J597+นครศรีธรรมราช!J597+นราธิวาส!J597+ปัตตานี!J597+พังงา!J597+พัทลุง!J597+ภูเก็ต!J597+ยะลา!J597+ระนอง!J597+สงขลา!J597+สตูล!J597+สุราษฎร์ธานี!J597</f>
        <v>0</v>
      </c>
      <c r="K597" s="417">
        <f ca="1">IF(I597&gt;0,J597*100/I597,0)</f>
        <v>0</v>
      </c>
      <c r="L597" s="418">
        <f ca="1">กระบี่!L597+ชุมพร!L597+ตรัง!L597+นครศรีธรรมราช!L597+นราธิวาส!L597+ปัตตานี!L597+พังงา!L597+พัทลุง!L597+ภูเก็ต!L597+ยะลา!L597+ระนอง!L597+สงขลา!L597+สตูล!L597+สุราษฎร์ธานี!L597</f>
        <v>123580</v>
      </c>
      <c r="M597" s="418"/>
      <c r="N597" s="418">
        <f ca="1">กระบี่!N597+ชุมพร!N597+ตรัง!N597+นครศรีธรรมราช!N597+นราธิวาส!N597+ปัตตานี!N597+พังงา!N597+พัทลุง!N597+ภูเก็ต!N597+ยะลา!N597+ระนอง!N597+สงขลา!N597+สตูล!N597+สุราษฎร์ธานี!N597</f>
        <v>27096.84</v>
      </c>
      <c r="O597" s="418">
        <f t="shared" ref="O597:O601" ca="1" si="94">+IF(L597&gt;0,N597*100/L597,0)</f>
        <v>21.926557695419969</v>
      </c>
      <c r="P597" s="418"/>
    </row>
    <row r="598" spans="1:16" ht="21.75" customHeight="1" x14ac:dyDescent="0.35">
      <c r="A598" s="162"/>
      <c r="B598" s="163"/>
      <c r="C598" s="163" t="s">
        <v>16</v>
      </c>
      <c r="D598" s="164" t="s">
        <v>38</v>
      </c>
      <c r="E598" s="165"/>
      <c r="F598" s="165"/>
      <c r="G598" s="166" t="s">
        <v>39</v>
      </c>
      <c r="H598" s="167" t="s">
        <v>12</v>
      </c>
      <c r="I598" s="168" t="s">
        <v>40</v>
      </c>
      <c r="J598" s="168"/>
      <c r="K598" s="169"/>
      <c r="L598" s="170">
        <f ca="1">กระบี่!L598+ชุมพร!L598+ตรัง!L598+นครศรีธรรมราช!L598+นราธิวาส!L598+ปัตตานี!L598+พังงา!L598+พัทลุง!L598+ภูเก็ต!L598+ยะลา!L598+ระนอง!L598+สงขลา!L598+สตูล!L598+สุราษฎร์ธานี!L598</f>
        <v>0</v>
      </c>
      <c r="M598" s="170"/>
      <c r="N598" s="176">
        <f ca="1">กระบี่!N598+ชุมพร!N598+ตรัง!N598+นครศรีธรรมราช!N598+นราธิวาส!N598+ปัตตานี!N598+พังงา!N598+พัทลุง!N598+ภูเก็ต!N598+ยะลา!N598+ระนอง!N598+สงขลา!N598+สตูล!N598+สุราษฎร์ธานี!N598</f>
        <v>0</v>
      </c>
      <c r="O598" s="176">
        <f t="shared" ca="1" si="94"/>
        <v>0</v>
      </c>
      <c r="P598" s="176"/>
    </row>
    <row r="599" spans="1:16" ht="21.75" customHeight="1" x14ac:dyDescent="0.35">
      <c r="A599" s="162"/>
      <c r="B599" s="163"/>
      <c r="C599" s="163"/>
      <c r="D599" s="172"/>
      <c r="E599" s="165"/>
      <c r="F599" s="165" t="s">
        <v>40</v>
      </c>
      <c r="G599" s="166" t="s">
        <v>41</v>
      </c>
      <c r="H599" s="167" t="s">
        <v>12</v>
      </c>
      <c r="I599" s="168"/>
      <c r="J599" s="168"/>
      <c r="K599" s="169"/>
      <c r="L599" s="171">
        <f ca="1">กระบี่!L599+ชุมพร!L599+ตรัง!L599+นครศรีธรรมราช!L599+นราธิวาส!L599+ปัตตานี!L599+พังงา!L599+พัทลุง!L599+ภูเก็ต!L599+ยะลา!L599+ระนอง!L599+สงขลา!L599+สตูล!L599+สุราษฎร์ธานี!L599</f>
        <v>123580</v>
      </c>
      <c r="M599" s="171"/>
      <c r="N599" s="176">
        <f ca="1">กระบี่!N599+ชุมพร!N599+ตรัง!N599+นครศรีธรรมราช!N599+นราธิวาส!N599+ปัตตานี!N599+พังงา!N599+พัทลุง!N599+ภูเก็ต!N599+ยะลา!N599+ระนอง!N599+สงขลา!N599+สตูล!N599+สุราษฎร์ธานี!N599</f>
        <v>27096.84</v>
      </c>
      <c r="O599" s="176">
        <f t="shared" ca="1" si="94"/>
        <v>21.926557695419969</v>
      </c>
      <c r="P599" s="176"/>
    </row>
    <row r="600" spans="1:16" ht="21.75" customHeight="1" x14ac:dyDescent="0.35">
      <c r="A600" s="162"/>
      <c r="B600" s="163"/>
      <c r="C600" s="163"/>
      <c r="D600" s="172"/>
      <c r="E600" s="165"/>
      <c r="F600" s="165"/>
      <c r="G600" s="380" t="s">
        <v>129</v>
      </c>
      <c r="H600" s="167" t="s">
        <v>12</v>
      </c>
      <c r="I600" s="168"/>
      <c r="J600" s="168"/>
      <c r="K600" s="169"/>
      <c r="L600" s="176">
        <f ca="1">กระบี่!L600+ชุมพร!L600+ตรัง!L600+นครศรีธรรมราช!L600+นราธิวาส!L600+ปัตตานี!L600+พังงา!L600+พัทลุง!L600+ภูเก็ต!L600+ยะลา!L600+ระนอง!L600+สงขลา!L600+สตูล!L600+สุราษฎร์ธานี!L600</f>
        <v>0</v>
      </c>
      <c r="M600" s="176"/>
      <c r="N600" s="176">
        <f ca="1">กระบี่!N600+ชุมพร!N600+ตรัง!N600+นครศรีธรรมราช!N600+นราธิวาส!N600+ปัตตานี!N600+พังงา!N600+พัทลุง!N600+ภูเก็ต!N600+ยะลา!N600+ระนอง!N600+สงขลา!N600+สตูล!N600+สุราษฎร์ธานี!N600</f>
        <v>0</v>
      </c>
      <c r="O600" s="176">
        <f t="shared" ca="1" si="94"/>
        <v>0</v>
      </c>
      <c r="P600" s="176"/>
    </row>
    <row r="601" spans="1:16" ht="21.75" customHeight="1" x14ac:dyDescent="0.35">
      <c r="A601" s="162"/>
      <c r="B601" s="163"/>
      <c r="C601" s="163"/>
      <c r="D601" s="172"/>
      <c r="E601" s="165"/>
      <c r="F601" s="165"/>
      <c r="G601" s="380" t="s">
        <v>130</v>
      </c>
      <c r="H601" s="167" t="s">
        <v>12</v>
      </c>
      <c r="I601" s="168"/>
      <c r="J601" s="168"/>
      <c r="K601" s="169"/>
      <c r="L601" s="176">
        <f ca="1">กระบี่!L601+ชุมพร!L601+ตรัง!L601+นครศรีธรรมราช!L601+นราธิวาส!L601+ปัตตานี!L601+พังงา!L601+พัทลุง!L601+ภูเก็ต!L601+ยะลา!L601+ระนอง!L601+สงขลา!L601+สตูล!L601+สุราษฎร์ธานี!L601</f>
        <v>123580</v>
      </c>
      <c r="M601" s="176"/>
      <c r="N601" s="176">
        <f ca="1">กระบี่!N601+ชุมพร!N601+ตรัง!N601+นครศรีธรรมราช!N601+นราธิวาส!N601+ปัตตานี!N601+พังงา!N601+พัทลุง!N601+ภูเก็ต!N601+ยะลา!N601+ระนอง!N601+สงขลา!N601+สตูล!N601+สุราษฎร์ธานี!N601</f>
        <v>27096.84</v>
      </c>
      <c r="O601" s="176">
        <f t="shared" ca="1" si="94"/>
        <v>21.926557695419969</v>
      </c>
      <c r="P601" s="176"/>
    </row>
    <row r="602" spans="1:16" ht="21.75" customHeight="1" x14ac:dyDescent="0.35">
      <c r="A602" s="381"/>
      <c r="B602" s="382"/>
      <c r="C602" s="163"/>
      <c r="D602" s="383"/>
      <c r="E602" s="165"/>
      <c r="F602" s="165"/>
      <c r="G602" s="384" t="s">
        <v>131</v>
      </c>
      <c r="H602" s="167" t="s">
        <v>12</v>
      </c>
      <c r="I602" s="195"/>
      <c r="J602" s="195"/>
      <c r="K602" s="231"/>
      <c r="L602" s="176"/>
      <c r="M602" s="176"/>
      <c r="N602" s="173">
        <f ca="1">กระบี่!N602+ชุมพร!N602+ตรัง!N602+นครศรีธรรมราช!N602+นราธิวาส!N602+ปัตตานี!N602+พังงา!N602+พัทลุง!N602+ภูเก็ต!N602+ยะลา!N602+ระนอง!N602+สงขลา!N602+สตูล!N602+สุราษฎร์ธานี!N602</f>
        <v>0</v>
      </c>
      <c r="O602" s="176"/>
      <c r="P602" s="176"/>
    </row>
    <row r="603" spans="1:16" ht="21.75" customHeight="1" x14ac:dyDescent="0.35">
      <c r="A603" s="381"/>
      <c r="B603" s="382"/>
      <c r="C603" s="163"/>
      <c r="D603" s="383"/>
      <c r="E603" s="165"/>
      <c r="F603" s="165"/>
      <c r="G603" s="384" t="s">
        <v>132</v>
      </c>
      <c r="H603" s="167" t="s">
        <v>12</v>
      </c>
      <c r="I603" s="195"/>
      <c r="J603" s="195"/>
      <c r="K603" s="231"/>
      <c r="L603" s="176"/>
      <c r="M603" s="176"/>
      <c r="N603" s="173">
        <f ca="1">กระบี่!N603+ชุมพร!N603+ตรัง!N603+นครศรีธรรมราช!N603+นราธิวาส!N603+ปัตตานี!N603+พังงา!N603+พัทลุง!N603+ภูเก็ต!N603+ยะลา!N603+ระนอง!N603+สงขลา!N603+สตูล!N603+สุราษฎร์ธานี!N603</f>
        <v>0</v>
      </c>
      <c r="O603" s="176"/>
      <c r="P603" s="176"/>
    </row>
    <row r="604" spans="1:16" ht="21.75" customHeight="1" x14ac:dyDescent="0.35">
      <c r="A604" s="381"/>
      <c r="B604" s="382"/>
      <c r="C604" s="163"/>
      <c r="D604" s="383"/>
      <c r="E604" s="165"/>
      <c r="F604" s="165"/>
      <c r="G604" s="384" t="s">
        <v>133</v>
      </c>
      <c r="H604" s="167" t="s">
        <v>12</v>
      </c>
      <c r="I604" s="195"/>
      <c r="J604" s="195"/>
      <c r="K604" s="231"/>
      <c r="L604" s="176"/>
      <c r="M604" s="176"/>
      <c r="N604" s="385">
        <f ca="1">กระบี่!N604+ชุมพร!N604+ตรัง!N604+นครศรีธรรมราช!N604+นราธิวาส!N604+ปัตตานี!N604+พังงา!N604+พัทลุง!N604+ภูเก็ต!N604+ยะลา!N604+ระนอง!N604+สงขลา!N604+สตูล!N604+สุราษฎร์ธานี!N604</f>
        <v>2400</v>
      </c>
      <c r="O604" s="176"/>
      <c r="P604" s="176"/>
    </row>
    <row r="605" spans="1:16" ht="21.75" customHeight="1" x14ac:dyDescent="0.35">
      <c r="A605" s="381"/>
      <c r="B605" s="382"/>
      <c r="C605" s="163"/>
      <c r="D605" s="383"/>
      <c r="E605" s="165"/>
      <c r="F605" s="165"/>
      <c r="G605" s="384" t="s">
        <v>134</v>
      </c>
      <c r="H605" s="167" t="s">
        <v>12</v>
      </c>
      <c r="I605" s="195"/>
      <c r="J605" s="195"/>
      <c r="K605" s="231"/>
      <c r="L605" s="176"/>
      <c r="M605" s="176"/>
      <c r="N605" s="385">
        <f ca="1">กระบี่!N605+ชุมพร!N605+ตรัง!N605+นครศรีธรรมราช!N605+นราธิวาส!N605+ปัตตานี!N605+พังงา!N605+พัทลุง!N605+ภูเก็ต!N605+ยะลา!N605+ระนอง!N605+สงขลา!N605+สตูล!N605+สุราษฎร์ธานี!N605</f>
        <v>24696.84</v>
      </c>
      <c r="O605" s="176"/>
      <c r="P605" s="176"/>
    </row>
    <row r="606" spans="1:16" ht="21.75" customHeight="1" x14ac:dyDescent="0.35">
      <c r="A606" s="183"/>
      <c r="B606" s="184"/>
      <c r="C606" s="163" t="s">
        <v>16</v>
      </c>
      <c r="D606" s="185" t="s">
        <v>44</v>
      </c>
      <c r="E606" s="186"/>
      <c r="F606" s="186"/>
      <c r="G606" s="187"/>
      <c r="H606" s="188"/>
      <c r="I606" s="168"/>
      <c r="J606" s="168"/>
      <c r="K606" s="169"/>
      <c r="L606" s="189"/>
      <c r="M606" s="189"/>
      <c r="N606" s="189"/>
      <c r="O606" s="189"/>
      <c r="P606" s="189"/>
    </row>
    <row r="607" spans="1:16" ht="21.75" customHeight="1" x14ac:dyDescent="0.35">
      <c r="A607" s="183"/>
      <c r="B607" s="184"/>
      <c r="C607" s="184"/>
      <c r="D607" s="190">
        <v>1</v>
      </c>
      <c r="E607" s="191" t="s">
        <v>45</v>
      </c>
      <c r="F607" s="192"/>
      <c r="G607" s="193"/>
      <c r="H607" s="194"/>
      <c r="I607" s="195"/>
      <c r="J607" s="205">
        <f ca="1">กระบี่!J607+ชุมพร!J607+ตรัง!J607+นครศรีธรรมราช!J607+นราธิวาส!J607+ปัตตานี!J607+พังงา!J607+พัทลุง!J607+ภูเก็ต!J607+ยะลา!J607+ระนอง!J607+สงขลา!J607+สตูล!J607+สุราษฎร์ธานี!J607</f>
        <v>1</v>
      </c>
      <c r="K607" s="169"/>
      <c r="L607" s="189"/>
      <c r="M607" s="189"/>
      <c r="N607" s="189"/>
      <c r="O607" s="189"/>
      <c r="P607" s="189"/>
    </row>
    <row r="608" spans="1:16" ht="21.75" customHeight="1" x14ac:dyDescent="0.35">
      <c r="A608" s="183"/>
      <c r="B608" s="184"/>
      <c r="C608" s="184"/>
      <c r="D608" s="197">
        <v>2</v>
      </c>
      <c r="E608" s="198" t="s">
        <v>46</v>
      </c>
      <c r="F608" s="199"/>
      <c r="G608" s="200"/>
      <c r="H608" s="194"/>
      <c r="I608" s="195"/>
      <c r="J608" s="205">
        <f ca="1">กระบี่!J608+ชุมพร!J608+ตรัง!J608+นครศรีธรรมราช!J608+นราธิวาส!J608+ปัตตานี!J608+พังงา!J608+พัทลุง!J608+ภูเก็ต!J608+ยะลา!J608+ระนอง!J608+สงขลา!J608+สตูล!J608+สุราษฎร์ธานี!J608</f>
        <v>13</v>
      </c>
      <c r="K608" s="169"/>
      <c r="L608" s="189" t="s">
        <v>40</v>
      </c>
      <c r="M608" s="189"/>
      <c r="N608" s="189" t="s">
        <v>40</v>
      </c>
      <c r="O608" s="189"/>
      <c r="P608" s="189"/>
    </row>
    <row r="609" spans="1:16" ht="21.75" hidden="1" customHeight="1" x14ac:dyDescent="0.35">
      <c r="A609" s="494"/>
      <c r="B609" s="495"/>
      <c r="C609" s="495"/>
      <c r="D609" s="496"/>
      <c r="E609" s="497" t="s">
        <v>47</v>
      </c>
      <c r="F609" s="498"/>
      <c r="G609" s="499"/>
      <c r="H609" s="500"/>
      <c r="I609" s="501"/>
      <c r="J609" s="501">
        <f ca="1">กระบี่!J609+ชุมพร!J609+ตรัง!J609+นครศรีธรรมราช!J609+นราธิวาส!J609+ปัตตานี!J609+พังงา!J609+พัทลุง!J609+ภูเก็ต!J609+ยะลา!J609+ระนอง!J609+สงขลา!J609+สตูล!J609+สุราษฎร์ธานี!J609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48</v>
      </c>
      <c r="F610" s="498"/>
      <c r="G610" s="499"/>
      <c r="H610" s="500"/>
      <c r="I610" s="501"/>
      <c r="J610" s="501">
        <f ca="1">กระบี่!J610+ชุมพร!J610+ตรัง!J610+นครศรีธรรมราช!J610+นราธิวาส!J610+ปัตตานี!J610+พังงา!J610+พัทลุง!J610+ภูเก็ต!J610+ยะลา!J610+ระนอง!J610+สงขลา!J610+สตูล!J610+สุราษฎร์ธานี!J610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3"/>
      <c r="B611" s="184"/>
      <c r="C611" s="184"/>
      <c r="D611" s="201"/>
      <c r="E611" s="203"/>
      <c r="F611" s="203" t="s">
        <v>219</v>
      </c>
      <c r="G611" s="204"/>
      <c r="H611" s="188" t="s">
        <v>122</v>
      </c>
      <c r="I611" s="195">
        <f ca="1">กระบี่!I611+ชุมพร!I611+ตรัง!I611+นครศรีธรรมราช!I611+นราธิวาส!I611+ปัตตานี!I611+พังงา!I611+พัทลุง!I611+ภูเก็ต!I611+ยะลา!I611+ระนอง!I611+สงขลา!I611+สตูล!I611+สุราษฎร์ธานี!I611</f>
        <v>1328</v>
      </c>
      <c r="J611" s="168">
        <f ca="1">กระบี่!J611+ชุมพร!J611+ตรัง!J611+นครศรีธรรมราช!J611+นราธิวาส!J611+ปัตตานี!J611+พังงา!J611+พัทลุง!J611+ภูเก็ต!J611+ยะลา!J611+ระนอง!J611+สงขลา!J611+สตูล!J611+สุราษฎร์ธานี!J611</f>
        <v>0</v>
      </c>
      <c r="K611" s="169">
        <f t="shared" ref="K611:K619" ca="1" si="95">IF(I$611&gt;0,J611*100/I$611,0)</f>
        <v>0</v>
      </c>
      <c r="L611" s="189"/>
      <c r="M611" s="189"/>
      <c r="N611" s="189"/>
      <c r="O611" s="189"/>
      <c r="P611" s="189"/>
    </row>
    <row r="612" spans="1:16" ht="21.75" customHeight="1" x14ac:dyDescent="0.35">
      <c r="A612" s="183"/>
      <c r="B612" s="184"/>
      <c r="C612" s="184"/>
      <c r="D612" s="201"/>
      <c r="E612" s="206"/>
      <c r="F612" s="203"/>
      <c r="G612" s="233" t="s">
        <v>220</v>
      </c>
      <c r="H612" s="188" t="s">
        <v>122</v>
      </c>
      <c r="I612" s="211">
        <f ca="1">กระบี่!I612+ชุมพร!I612+ตรัง!I612+นครศรีธรรมราช!I612+นราธิวาส!I612+ปัตตานี!I612+พังงา!I612+พัทลุง!I612+ภูเก็ต!I612+ยะลา!I612+ระนอง!I612+สงขลา!I612+สตูล!I612+สุราษฎร์ธานี!I612</f>
        <v>0</v>
      </c>
      <c r="J612" s="205">
        <f ca="1">กระบี่!J612+ชุมพร!J612+ตรัง!J612+นครศรีธรรมราช!J612+นราธิวาส!J612+ปัตตานี!J612+พังงา!J612+พัทลุง!J612+ภูเก็ต!J612+ยะลา!J612+ระนอง!J612+สงขลา!J612+สตูล!J612+สุราษฎร์ธานี!J612</f>
        <v>639.2299999999999</v>
      </c>
      <c r="K612" s="169">
        <f t="shared" ca="1" si="95"/>
        <v>48.134789156626503</v>
      </c>
      <c r="L612" s="189"/>
      <c r="M612" s="189"/>
      <c r="N612" s="189"/>
      <c r="O612" s="189"/>
      <c r="P612" s="189"/>
    </row>
    <row r="613" spans="1:16" ht="21.75" customHeight="1" x14ac:dyDescent="0.35">
      <c r="A613" s="183"/>
      <c r="B613" s="184"/>
      <c r="C613" s="184"/>
      <c r="D613" s="201"/>
      <c r="E613" s="206"/>
      <c r="F613" s="203"/>
      <c r="G613" s="233" t="s">
        <v>221</v>
      </c>
      <c r="H613" s="188" t="s">
        <v>122</v>
      </c>
      <c r="I613" s="211">
        <f ca="1">กระบี่!I613+ชุมพร!I613+ตรัง!I613+นครศรีธรรมราช!I613+นราธิวาส!I613+ปัตตานี!I613+พังงา!I613+พัทลุง!I613+ภูเก็ต!I613+ยะลา!I613+ระนอง!I613+สงขลา!I613+สตูล!I613+สุราษฎร์ธานี!I613</f>
        <v>0</v>
      </c>
      <c r="J613" s="205">
        <f ca="1">กระบี่!J613+ชุมพร!J613+ตรัง!J613+นครศรีธรรมราช!J613+นราธิวาส!J613+ปัตตานี!J613+พังงา!J613+พัทลุง!J613+ภูเก็ต!J613+ยะลา!J613+ระนอง!J613+สงขลา!J613+สตูล!J613+สุราษฎร์ธานี!J613</f>
        <v>30</v>
      </c>
      <c r="K613" s="169">
        <f t="shared" ca="1" si="95"/>
        <v>2.2590361445783134</v>
      </c>
      <c r="L613" s="189"/>
      <c r="M613" s="189"/>
      <c r="N613" s="189"/>
      <c r="O613" s="189"/>
      <c r="P613" s="189"/>
    </row>
    <row r="614" spans="1:16" ht="21.75" customHeight="1" x14ac:dyDescent="0.35">
      <c r="A614" s="183"/>
      <c r="B614" s="184"/>
      <c r="C614" s="184"/>
      <c r="D614" s="201"/>
      <c r="E614" s="206"/>
      <c r="F614" s="203"/>
      <c r="G614" s="233" t="s">
        <v>222</v>
      </c>
      <c r="H614" s="188" t="s">
        <v>122</v>
      </c>
      <c r="I614" s="211">
        <f ca="1">กระบี่!I614+ชุมพร!I614+ตรัง!I614+นครศรีธรรมราช!I614+นราธิวาส!I614+ปัตตานี!I614+พังงา!I614+พัทลุง!I614+ภูเก็ต!I614+ยะลา!I614+ระนอง!I614+สงขลา!I614+สตูล!I614+สุราษฎร์ธานี!I614</f>
        <v>0</v>
      </c>
      <c r="J614" s="205">
        <f ca="1">กระบี่!J614+ชุมพร!J614+ตรัง!J614+นครศรีธรรมราช!J614+นราธิวาส!J614+ปัตตานี!J614+พังงา!J614+พัทลุง!J614+ภูเก็ต!J614+ยะลา!J614+ระนอง!J614+สงขลา!J614+สตูล!J614+สุราษฎร์ธานี!J614</f>
        <v>30</v>
      </c>
      <c r="K614" s="169">
        <f t="shared" ca="1" si="95"/>
        <v>2.2590361445783134</v>
      </c>
      <c r="L614" s="189"/>
      <c r="M614" s="189"/>
      <c r="N614" s="189"/>
      <c r="O614" s="189"/>
      <c r="P614" s="189"/>
    </row>
    <row r="615" spans="1:16" ht="21.75" customHeight="1" x14ac:dyDescent="0.35">
      <c r="A615" s="183"/>
      <c r="B615" s="184"/>
      <c r="C615" s="184"/>
      <c r="D615" s="201"/>
      <c r="E615" s="206"/>
      <c r="F615" s="203"/>
      <c r="G615" s="233" t="s">
        <v>223</v>
      </c>
      <c r="H615" s="188" t="s">
        <v>122</v>
      </c>
      <c r="I615" s="211">
        <f ca="1">กระบี่!I615+ชุมพร!I615+ตรัง!I615+นครศรีธรรมราช!I615+นราธิวาส!I615+ปัตตานี!I615+พังงา!I615+พัทลุง!I615+ภูเก็ต!I615+ยะลา!I615+ระนอง!I615+สงขลา!I615+สตูล!I615+สุราษฎร์ธานี!I615</f>
        <v>0</v>
      </c>
      <c r="J615" s="205">
        <f ca="1">กระบี่!J615+ชุมพร!J615+ตรัง!J615+นครศรีธรรมราช!J615+นราธิวาส!J615+ปัตตานี!J615+พังงา!J615+พัทลุง!J615+ภูเก็ต!J615+ยะลา!J615+ระนอง!J615+สงขลา!J615+สตูล!J615+สุราษฎร์ธานี!J615</f>
        <v>30</v>
      </c>
      <c r="K615" s="169">
        <f t="shared" ca="1" si="95"/>
        <v>2.2590361445783134</v>
      </c>
      <c r="L615" s="189"/>
      <c r="M615" s="189"/>
      <c r="N615" s="189"/>
      <c r="O615" s="189"/>
      <c r="P615" s="189"/>
    </row>
    <row r="616" spans="1:16" ht="21.75" customHeight="1" x14ac:dyDescent="0.35">
      <c r="A616" s="183"/>
      <c r="B616" s="184"/>
      <c r="C616" s="184"/>
      <c r="D616" s="201"/>
      <c r="E616" s="206"/>
      <c r="F616" s="203"/>
      <c r="G616" s="202" t="s">
        <v>224</v>
      </c>
      <c r="H616" s="188" t="s">
        <v>122</v>
      </c>
      <c r="I616" s="211">
        <f ca="1">กระบี่!I616+ชุมพร!I616+ตรัง!I616+นครศรีธรรมราช!I616+นราธิวาส!I616+ปัตตานี!I616+พังงา!I616+พัทลุง!I616+ภูเก็ต!I616+ยะลา!I616+ระนอง!I616+สงขลา!I616+สตูล!I616+สุราษฎร์ธานี!I616</f>
        <v>0</v>
      </c>
      <c r="J616" s="205">
        <f ca="1">กระบี่!J616+ชุมพร!J616+ตรัง!J616+นครศรีธรรมราช!J616+นราธิวาส!J616+ปัตตานี!J616+พังงา!J616+พัทลุง!J616+ภูเก็ต!J616+ยะลา!J616+ระนอง!J616+สงขลา!J616+สตูล!J616+สุราษฎร์ธานี!J616</f>
        <v>0</v>
      </c>
      <c r="K616" s="169">
        <f t="shared" ca="1" si="95"/>
        <v>0</v>
      </c>
      <c r="L616" s="189"/>
      <c r="M616" s="189"/>
      <c r="N616" s="189"/>
      <c r="O616" s="189"/>
      <c r="P616" s="189"/>
    </row>
    <row r="617" spans="1:16" ht="21.75" customHeight="1" x14ac:dyDescent="0.35">
      <c r="A617" s="183"/>
      <c r="B617" s="184"/>
      <c r="C617" s="184"/>
      <c r="D617" s="201"/>
      <c r="E617" s="206"/>
      <c r="F617" s="203"/>
      <c r="G617" s="202" t="s">
        <v>225</v>
      </c>
      <c r="H617" s="188" t="s">
        <v>122</v>
      </c>
      <c r="I617" s="195">
        <f ca="1">กระบี่!I617+ชุมพร!I617+ตรัง!I617+นครศรีธรรมราช!I617+นราธิวาส!I617+ปัตตานี!I617+พังงา!I617+พัทลุง!I617+ภูเก็ต!I617+ยะลา!I617+ระนอง!I617+สงขลา!I617+สตูล!I617+สุราษฎร์ธานี!I617</f>
        <v>0</v>
      </c>
      <c r="J617" s="195">
        <f ca="1">กระบี่!J617+ชุมพร!J617+ตรัง!J617+นครศรีธรรมราช!J617+นราธิวาส!J617+ปัตตานี!J617+พังงา!J617+พัทลุง!J617+ภูเก็ต!J617+ยะลา!J617+ระนอง!J617+สงขลา!J617+สตูล!J617+สุราษฎร์ธานี!J617</f>
        <v>0</v>
      </c>
      <c r="K617" s="169">
        <f t="shared" ca="1" si="95"/>
        <v>0</v>
      </c>
      <c r="L617" s="189"/>
      <c r="M617" s="189"/>
      <c r="N617" s="189"/>
      <c r="O617" s="189"/>
      <c r="P617" s="189"/>
    </row>
    <row r="618" spans="1:16" ht="21.75" customHeight="1" x14ac:dyDescent="0.35">
      <c r="A618" s="183"/>
      <c r="B618" s="184"/>
      <c r="C618" s="184"/>
      <c r="D618" s="201"/>
      <c r="E618" s="206"/>
      <c r="F618" s="203"/>
      <c r="G618" s="504" t="s">
        <v>226</v>
      </c>
      <c r="H618" s="188" t="s">
        <v>122</v>
      </c>
      <c r="I618" s="211">
        <f ca="1">กระบี่!I618+ชุมพร!I618+ตรัง!I618+นครศรีธรรมราช!I618+นราธิวาส!I618+ปัตตานี!I618+พังงา!I618+พัทลุง!I618+ภูเก็ต!I618+ยะลา!I618+ระนอง!I618+สงขลา!I618+สตูล!I618+สุราษฎร์ธานี!I618</f>
        <v>0</v>
      </c>
      <c r="J618" s="196">
        <f ca="1">กระบี่!J618+ชุมพร!J618+ตรัง!J618+นครศรีธรรมราช!J618+นราธิวาส!J618+ปัตตานี!J618+พังงา!J618+พัทลุง!J618+ภูเก็ต!J618+ยะลา!J618+ระนอง!J618+สงขลา!J618+สตูล!J618+สุราษฎร์ธานี!J618</f>
        <v>0</v>
      </c>
      <c r="K618" s="169">
        <f t="shared" ca="1" si="95"/>
        <v>0</v>
      </c>
      <c r="L618" s="189"/>
      <c r="M618" s="189"/>
      <c r="N618" s="189"/>
      <c r="O618" s="189"/>
      <c r="P618" s="189"/>
    </row>
    <row r="619" spans="1:16" ht="21.75" customHeight="1" x14ac:dyDescent="0.35">
      <c r="A619" s="183"/>
      <c r="B619" s="184"/>
      <c r="C619" s="184"/>
      <c r="D619" s="201"/>
      <c r="E619" s="206"/>
      <c r="F619" s="203"/>
      <c r="G619" s="504" t="s">
        <v>227</v>
      </c>
      <c r="H619" s="188" t="s">
        <v>122</v>
      </c>
      <c r="I619" s="211">
        <f ca="1">กระบี่!I619+ชุมพร!I619+ตรัง!I619+นครศรีธรรมราช!I619+นราธิวาส!I619+ปัตตานี!I619+พังงา!I619+พัทลุง!I619+ภูเก็ต!I619+ยะลา!I619+ระนอง!I619+สงขลา!I619+สตูล!I619+สุราษฎร์ธานี!I619</f>
        <v>0</v>
      </c>
      <c r="J619" s="196">
        <f ca="1">กระบี่!J619+ชุมพร!J619+ตรัง!J619+นครศรีธรรมราช!J619+นราธิวาส!J619+ปัตตานี!J619+พังงา!J619+พัทลุง!J619+ภูเก็ต!J619+ยะลา!J619+ระนอง!J619+สงขลา!J619+สตูล!J619+สุราษฎร์ธานี!J619</f>
        <v>0</v>
      </c>
      <c r="K619" s="169">
        <f t="shared" ca="1" si="95"/>
        <v>0</v>
      </c>
      <c r="L619" s="189"/>
      <c r="M619" s="189"/>
      <c r="N619" s="189"/>
      <c r="O619" s="189"/>
      <c r="P619" s="189"/>
    </row>
    <row r="620" spans="1:16" ht="21.75" customHeight="1" x14ac:dyDescent="0.35">
      <c r="A620" s="183"/>
      <c r="B620" s="184"/>
      <c r="C620" s="184"/>
      <c r="D620" s="201"/>
      <c r="E620" s="203"/>
      <c r="F620" s="202" t="s">
        <v>228</v>
      </c>
      <c r="G620" s="204"/>
      <c r="H620" s="188" t="s">
        <v>122</v>
      </c>
      <c r="I620" s="195">
        <f ca="1">กระบี่!I620+ชุมพร!I620+ตรัง!I620+นครศรีธรรมราช!I620+นราธิวาส!I620+ปัตตานี!I620+พังงา!I620+พัทลุง!I620+ภูเก็ต!I620+ยะลา!I620+ระนอง!I620+สงขลา!I620+สตูล!I620+สุราษฎร์ธานี!I620</f>
        <v>314.83999999999901</v>
      </c>
      <c r="J620" s="210">
        <f ca="1">กระบี่!J620+ชุมพร!J620+ตรัง!J620+นครศรีธรรมราช!J620+นราธิวาส!J620+ปัตตานี!J620+พังงา!J620+พัทลุง!J620+ภูเก็ต!J620+ยะลา!J620+ระนอง!J620+สงขลา!J620+สตูล!J620+สุราษฎร์ธานี!J620</f>
        <v>267</v>
      </c>
      <c r="K620" s="169">
        <f t="shared" ref="K620:K626" ca="1" si="96">IF(I$620&gt;0,J620*100/I$620,0)</f>
        <v>84.804980307458024</v>
      </c>
      <c r="L620" s="189"/>
      <c r="M620" s="189"/>
      <c r="N620" s="189"/>
      <c r="O620" s="189"/>
      <c r="P620" s="189"/>
    </row>
    <row r="621" spans="1:16" ht="21.75" customHeight="1" x14ac:dyDescent="0.35">
      <c r="A621" s="183"/>
      <c r="B621" s="184"/>
      <c r="C621" s="184"/>
      <c r="D621" s="201"/>
      <c r="E621" s="206"/>
      <c r="F621" s="203"/>
      <c r="G621" s="233" t="s">
        <v>225</v>
      </c>
      <c r="H621" s="188" t="s">
        <v>122</v>
      </c>
      <c r="I621" s="210">
        <f ca="1">กระบี่!I621+ชุมพร!I621+ตรัง!I621+นครศรีธรรมราช!I621+นราธิวาส!I621+ปัตตานี!I621+พังงา!I621+พัทลุง!I621+ภูเก็ต!I621+ยะลา!I621+ระนอง!I621+สงขลา!I621+สตูล!I621+สุราษฎร์ธานี!I621</f>
        <v>0</v>
      </c>
      <c r="J621" s="210">
        <f ca="1">กระบี่!J621+ชุมพร!J621+ตรัง!J621+นครศรีธรรมราช!J621+นราธิวาส!J621+ปัตตานี!J621+พังงา!J621+พัทลุง!J621+ภูเก็ต!J621+ยะลา!J621+ระนอง!J621+สงขลา!J621+สตูล!J621+สุราษฎร์ธานี!J621</f>
        <v>267</v>
      </c>
      <c r="K621" s="169">
        <f t="shared" ca="1" si="96"/>
        <v>84.804980307458024</v>
      </c>
      <c r="L621" s="189"/>
      <c r="M621" s="189"/>
      <c r="N621" s="189"/>
      <c r="O621" s="189"/>
      <c r="P621" s="189"/>
    </row>
    <row r="622" spans="1:16" ht="21.75" customHeight="1" x14ac:dyDescent="0.35">
      <c r="A622" s="183"/>
      <c r="B622" s="184"/>
      <c r="C622" s="184"/>
      <c r="D622" s="201"/>
      <c r="E622" s="206"/>
      <c r="F622" s="203"/>
      <c r="G622" s="504" t="s">
        <v>226</v>
      </c>
      <c r="H622" s="188" t="s">
        <v>122</v>
      </c>
      <c r="I622" s="211">
        <f ca="1">กระบี่!I622+ชุมพร!I622+ตรัง!I622+นครศรีธรรมราช!I622+นราธิวาส!I622+ปัตตานี!I622+พังงา!I622+พัทลุง!I622+ภูเก็ต!I622+ยะลา!I622+ระนอง!I622+สงขลา!I622+สตูล!I622+สุราษฎร์ธานี!I622</f>
        <v>0</v>
      </c>
      <c r="J622" s="196">
        <f ca="1">กระบี่!J622+ชุมพร!J622+ตรัง!J622+นครศรีธรรมราช!J622+นราธิวาส!J622+ปัตตานี!J622+พังงา!J622+พัทลุง!J622+ภูเก็ต!J622+ยะลา!J622+ระนอง!J622+สงขลา!J622+สตูล!J622+สุราษฎร์ธานี!J622</f>
        <v>125</v>
      </c>
      <c r="K622" s="169">
        <f t="shared" ca="1" si="96"/>
        <v>39.702706136450388</v>
      </c>
      <c r="L622" s="189"/>
      <c r="M622" s="189"/>
      <c r="N622" s="189"/>
      <c r="O622" s="189"/>
      <c r="P622" s="189"/>
    </row>
    <row r="623" spans="1:16" ht="21.75" customHeight="1" x14ac:dyDescent="0.35">
      <c r="A623" s="183"/>
      <c r="B623" s="184"/>
      <c r="C623" s="184"/>
      <c r="D623" s="201"/>
      <c r="E623" s="206"/>
      <c r="F623" s="203"/>
      <c r="G623" s="504" t="s">
        <v>227</v>
      </c>
      <c r="H623" s="188" t="s">
        <v>122</v>
      </c>
      <c r="I623" s="211">
        <f ca="1">กระบี่!I623+ชุมพร!I623+ตรัง!I623+นครศรีธรรมราช!I623+นราธิวาส!I623+ปัตตานี!I623+พังงา!I623+พัทลุง!I623+ภูเก็ต!I623+ยะลา!I623+ระนอง!I623+สงขลา!I623+สตูล!I623+สุราษฎร์ธานี!I623</f>
        <v>0</v>
      </c>
      <c r="J623" s="196">
        <f ca="1">กระบี่!J623+ชุมพร!J623+ตรัง!J623+นครศรีธรรมราช!J623+นราธิวาส!J623+ปัตตานี!J623+พังงา!J623+พัทลุง!J623+ภูเก็ต!J623+ยะลา!J623+ระนอง!J623+สงขลา!J623+สตูล!J623+สุราษฎร์ธานี!J623</f>
        <v>142</v>
      </c>
      <c r="K623" s="169">
        <f t="shared" ca="1" si="96"/>
        <v>45.102274171007636</v>
      </c>
      <c r="L623" s="189"/>
      <c r="M623" s="189"/>
      <c r="N623" s="189"/>
      <c r="O623" s="189"/>
      <c r="P623" s="189"/>
    </row>
    <row r="624" spans="1:16" ht="21.75" customHeight="1" x14ac:dyDescent="0.35">
      <c r="A624" s="183"/>
      <c r="B624" s="184"/>
      <c r="C624" s="184"/>
      <c r="D624" s="201"/>
      <c r="E624" s="206"/>
      <c r="F624" s="203"/>
      <c r="G624" s="233" t="s">
        <v>229</v>
      </c>
      <c r="H624" s="188" t="s">
        <v>122</v>
      </c>
      <c r="I624" s="195">
        <f ca="1">กระบี่!I624+ชุมพร!I624+ตรัง!I624+นครศรีธรรมราช!I624+นราธิวาส!I624+ปัตตานี!I624+พังงา!I624+พัทลุง!I624+ภูเก็ต!I624+ยะลา!I624+ระนอง!I624+สงขลา!I624+สตูล!I624+สุราษฎร์ธานี!I624</f>
        <v>0</v>
      </c>
      <c r="J624" s="195">
        <f ca="1">กระบี่!J624+ชุมพร!J624+ตรัง!J624+นครศรีธรรมราช!J624+นราธิวาส!J624+ปัตตานี!J624+พังงา!J624+พัทลุง!J624+ภูเก็ต!J624+ยะลา!J624+ระนอง!J624+สงขลา!J624+สตูล!J624+สุราษฎร์ธานี!J624</f>
        <v>267</v>
      </c>
      <c r="K624" s="169">
        <f t="shared" ca="1" si="96"/>
        <v>84.804980307458024</v>
      </c>
      <c r="L624" s="189"/>
      <c r="M624" s="189"/>
      <c r="N624" s="189"/>
      <c r="O624" s="189"/>
      <c r="P624" s="189"/>
    </row>
    <row r="625" spans="1:16" ht="21.75" customHeight="1" x14ac:dyDescent="0.35">
      <c r="A625" s="183"/>
      <c r="B625" s="184"/>
      <c r="C625" s="184"/>
      <c r="D625" s="201"/>
      <c r="E625" s="206"/>
      <c r="F625" s="203"/>
      <c r="G625" s="504" t="s">
        <v>230</v>
      </c>
      <c r="H625" s="188" t="s">
        <v>122</v>
      </c>
      <c r="I625" s="211">
        <f ca="1">กระบี่!I625+ชุมพร!I625+ตรัง!I625+นครศรีธรรมราช!I625+นราธิวาส!I625+ปัตตานี!I625+พังงา!I625+พัทลุง!I625+ภูเก็ต!I625+ยะลา!I625+ระนอง!I625+สงขลา!I625+สตูล!I625+สุราษฎร์ธานี!I625</f>
        <v>0</v>
      </c>
      <c r="J625" s="196">
        <f ca="1">กระบี่!J625+ชุมพร!J625+ตรัง!J625+นครศรีธรรมราช!J625+นราธิวาส!J625+ปัตตานี!J625+พังงา!J625+พัทลุง!J625+ภูเก็ต!J625+ยะลา!J625+ระนอง!J625+สงขลา!J625+สตูล!J625+สุราษฎร์ธานี!J625</f>
        <v>248</v>
      </c>
      <c r="K625" s="169">
        <f t="shared" ca="1" si="96"/>
        <v>78.770168974717564</v>
      </c>
      <c r="L625" s="189"/>
      <c r="M625" s="189"/>
      <c r="N625" s="189"/>
      <c r="O625" s="189"/>
      <c r="P625" s="189"/>
    </row>
    <row r="626" spans="1:16" ht="21.75" customHeight="1" x14ac:dyDescent="0.35">
      <c r="A626" s="183"/>
      <c r="B626" s="184"/>
      <c r="C626" s="184"/>
      <c r="D626" s="201"/>
      <c r="E626" s="206"/>
      <c r="F626" s="203"/>
      <c r="G626" s="504" t="s">
        <v>231</v>
      </c>
      <c r="H626" s="188" t="s">
        <v>122</v>
      </c>
      <c r="I626" s="211">
        <f ca="1">กระบี่!I626+ชุมพร!I626+ตรัง!I626+นครศรีธรรมราช!I626+นราธิวาส!I626+ปัตตานี!I626+พังงา!I626+พัทลุง!I626+ภูเก็ต!I626+ยะลา!I626+ระนอง!I626+สงขลา!I626+สตูล!I626+สุราษฎร์ธานี!I626</f>
        <v>0</v>
      </c>
      <c r="J626" s="196">
        <f ca="1">กระบี่!J626+ชุมพร!J626+ตรัง!J626+นครศรีธรรมราช!J626+นราธิวาส!J626+ปัตตานี!J626+พังงา!J626+พัทลุง!J626+ภูเก็ต!J626+ยะลา!J626+ระนอง!J626+สงขลา!J626+สตูล!J626+สุราษฎร์ธานี!J626</f>
        <v>248</v>
      </c>
      <c r="K626" s="169">
        <f t="shared" ca="1" si="96"/>
        <v>78.770168974717564</v>
      </c>
      <c r="L626" s="189"/>
      <c r="M626" s="189"/>
      <c r="N626" s="189"/>
      <c r="O626" s="189"/>
      <c r="P626" s="189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2"/>
      <c r="E628" s="165"/>
      <c r="F628" s="165"/>
      <c r="G628" s="166"/>
      <c r="H628" s="513" t="s">
        <v>12</v>
      </c>
      <c r="I628" s="347">
        <f ca="1">กระบี่!I628+ชุมพร!I628+ตรัง!I628+นครศรีธรรมราช!I628+นราธิวาส!I628+ปัตตานี!I628+พังงา!I628+พัทลุง!I628+ภูเก็ต!I628+ยะลา!I628+ระนอง!I628+สงขลา!I628+สตูล!I628+สุราษฎร์ธานี!I628</f>
        <v>18853184.209999997</v>
      </c>
      <c r="J628" s="347">
        <f ca="1">กระบี่!J628+ชุมพร!J628+ตรัง!J628+นครศรีธรรมราช!J628+นราธิวาส!J628+ปัตตานี!J628+พังงา!J628+พัทลุง!J628+ภูเก็ต!J628+ยะลา!J628+ระนอง!J628+สงขลา!J628+สตูล!J628+สุราษฎร์ธานี!J628</f>
        <v>3344275.2299999995</v>
      </c>
      <c r="K628" s="348">
        <f t="shared" ref="K628:K635" ca="1" si="97">IF(I628&gt;0,J628*100/I628,0)</f>
        <v>17.738516702266921</v>
      </c>
      <c r="L628" s="348"/>
      <c r="M628" s="348"/>
      <c r="N628" s="348"/>
      <c r="O628" s="176"/>
      <c r="P628" s="176"/>
    </row>
    <row r="629" spans="1:16" ht="21.75" customHeight="1" x14ac:dyDescent="0.35">
      <c r="A629" s="484"/>
      <c r="B629" s="163"/>
      <c r="C629" s="163"/>
      <c r="D629" s="172"/>
      <c r="E629" s="165"/>
      <c r="F629" s="165"/>
      <c r="G629" s="166"/>
      <c r="H629" s="513" t="s">
        <v>37</v>
      </c>
      <c r="I629" s="347">
        <f ca="1">กระบี่!I629+ชุมพร!I629+ตรัง!I629+นครศรีธรรมราช!I629+นราธิวาส!I629+ปัตตานี!I629+พังงา!I629+พัทลุง!I629+ภูเก็ต!I629+ยะลา!I629+ระนอง!I629+สงขลา!I629+สตูล!I629+สุราษฎร์ธานี!I629</f>
        <v>1452</v>
      </c>
      <c r="J629" s="347">
        <f ca="1">กระบี่!J629+ชุมพร!J629+ตรัง!J629+นครศรีธรรมราช!J629+นราธิวาส!J629+ปัตตานี!J629+พังงา!J629+พัทลุง!J629+ภูเก็ต!J629+ยะลา!J629+ระนอง!J629+สงขลา!J629+สตูล!J629+สุราษฎร์ธานี!J629</f>
        <v>285</v>
      </c>
      <c r="K629" s="348">
        <f t="shared" ca="1" si="97"/>
        <v>19.628099173553718</v>
      </c>
      <c r="L629" s="348"/>
      <c r="M629" s="348"/>
      <c r="N629" s="348"/>
      <c r="O629" s="176"/>
      <c r="P629" s="176"/>
    </row>
    <row r="630" spans="1:16" ht="21.75" customHeight="1" x14ac:dyDescent="0.35">
      <c r="A630" s="484"/>
      <c r="B630" s="512" t="s">
        <v>234</v>
      </c>
      <c r="C630" s="163"/>
      <c r="D630" s="172"/>
      <c r="E630" s="165"/>
      <c r="F630" s="165"/>
      <c r="G630" s="166"/>
      <c r="H630" s="513" t="s">
        <v>12</v>
      </c>
      <c r="I630" s="347">
        <f ca="1">กระบี่!I630+ชุมพร!I630+ตรัง!I630+นครศรีธรรมราช!I630+นราธิวาส!I630+ปัตตานี!I630+พังงา!I630+พัทลุง!I630+ภูเก็ต!I630+ยะลา!I630+ระนอง!I630+สงขลา!I630+สตูล!I630+สุราษฎร์ธานี!I630</f>
        <v>21691383.199999999</v>
      </c>
      <c r="J630" s="347">
        <f ca="1">กระบี่!J630+ชุมพร!J630+ตรัง!J630+นครศรีธรรมราช!J630+นราธิวาส!J630+ปัตตานี!J630+พังงา!J630+พัทลุง!J630+ภูเก็ต!J630+ยะลา!J630+ระนอง!J630+สงขลา!J630+สตูล!J630+สุราษฎร์ธานี!J630</f>
        <v>2804338.5300000003</v>
      </c>
      <c r="K630" s="348">
        <f t="shared" ca="1" si="97"/>
        <v>12.928352720263593</v>
      </c>
      <c r="L630" s="348"/>
      <c r="M630" s="348"/>
      <c r="N630" s="348"/>
      <c r="O630" s="176"/>
      <c r="P630" s="176"/>
    </row>
    <row r="631" spans="1:16" ht="21.75" customHeight="1" x14ac:dyDescent="0.35">
      <c r="A631" s="484"/>
      <c r="B631" s="163"/>
      <c r="C631" s="163"/>
      <c r="D631" s="172"/>
      <c r="E631" s="165"/>
      <c r="F631" s="165"/>
      <c r="G631" s="166"/>
      <c r="H631" s="513" t="s">
        <v>37</v>
      </c>
      <c r="I631" s="347">
        <f ca="1">กระบี่!I631+ชุมพร!I631+ตรัง!I631+นครศรีธรรมราช!I631+นราธิวาส!I631+ปัตตานี!I631+พังงา!I631+พัทลุง!I631+ภูเก็ต!I631+ยะลา!I631+ระนอง!I631+สงขลา!I631+สตูล!I631+สุราษฎร์ธานี!I631</f>
        <v>878</v>
      </c>
      <c r="J631" s="347">
        <f ca="1">กระบี่!J631+ชุมพร!J631+ตรัง!J631+นครศรีธรรมราช!J631+นราธิวาส!J631+ปัตตานี!J631+พังงา!J631+พัทลุง!J631+ภูเก็ต!J631+ยะลา!J631+ระนอง!J631+สงขลา!J631+สตูล!J631+สุราษฎร์ธานี!J631</f>
        <v>471</v>
      </c>
      <c r="K631" s="348">
        <f t="shared" ca="1" si="97"/>
        <v>53.644646924829161</v>
      </c>
      <c r="L631" s="348"/>
      <c r="M631" s="348"/>
      <c r="N631" s="348"/>
      <c r="O631" s="176"/>
      <c r="P631" s="176"/>
    </row>
    <row r="632" spans="1:16" ht="21.75" customHeight="1" x14ac:dyDescent="0.35">
      <c r="A632" s="484"/>
      <c r="B632" s="512" t="s">
        <v>235</v>
      </c>
      <c r="C632" s="163"/>
      <c r="D632" s="172"/>
      <c r="E632" s="165"/>
      <c r="F632" s="165"/>
      <c r="G632" s="166"/>
      <c r="H632" s="513" t="s">
        <v>12</v>
      </c>
      <c r="I632" s="347">
        <f ca="1">กระบี่!I632+ชุมพร!I632+ตรัง!I632+นครศรีธรรมราช!I632+นราธิวาส!I632+ปัตตานี!I632+พังงา!I632+พัทลุง!I632+ภูเก็ต!I632+ยะลา!I632+ระนอง!I632+สงขลา!I632+สตูล!I632+สุราษฎร์ธานี!I632</f>
        <v>196999.59999999998</v>
      </c>
      <c r="J632" s="347">
        <f ca="1">กระบี่!J632+ชุมพร!J632+ตรัง!J632+นครศรีธรรมราช!J632+นราธิวาส!J632+ปัตตานี!J632+พังงา!J632+พัทลุง!J632+ภูเก็ต!J632+ยะลา!J632+ระนอง!J632+สงขลา!J632+สตูล!J632+สุราษฎร์ธานี!J632</f>
        <v>112774.34000000001</v>
      </c>
      <c r="K632" s="348">
        <f t="shared" ca="1" si="97"/>
        <v>57.245974103500735</v>
      </c>
      <c r="L632" s="348"/>
      <c r="M632" s="348"/>
      <c r="N632" s="348"/>
      <c r="O632" s="176"/>
      <c r="P632" s="176"/>
    </row>
    <row r="633" spans="1:16" ht="21.75" customHeight="1" x14ac:dyDescent="0.35">
      <c r="A633" s="484"/>
      <c r="B633" s="512"/>
      <c r="C633" s="163"/>
      <c r="D633" s="172"/>
      <c r="E633" s="165"/>
      <c r="F633" s="165"/>
      <c r="G633" s="166"/>
      <c r="H633" s="513" t="s">
        <v>37</v>
      </c>
      <c r="I633" s="347">
        <f ca="1">กระบี่!I633+ชุมพร!I633+ตรัง!I633+นครศรีธรรมราช!I633+นราธิวาส!I633+ปัตตานี!I633+พังงา!I633+พัทลุง!I633+ภูเก็ต!I633+ยะลา!I633+ระนอง!I633+สงขลา!I633+สตูล!I633+สุราษฎร์ธานี!I633</f>
        <v>411</v>
      </c>
      <c r="J633" s="347">
        <f ca="1">กระบี่!J633+ชุมพร!J633+ตรัง!J633+นครศรีธรรมราช!J633+นราธิวาส!J633+ปัตตานี!J633+พังงา!J633+พัทลุง!J633+ภูเก็ต!J633+ยะลา!J633+ระนอง!J633+สงขลา!J633+สตูล!J633+สุราษฎร์ธานี!J633</f>
        <v>93</v>
      </c>
      <c r="K633" s="348">
        <f t="shared" ca="1" si="97"/>
        <v>22.627737226277372</v>
      </c>
      <c r="L633" s="348"/>
      <c r="M633" s="348"/>
      <c r="N633" s="348"/>
      <c r="O633" s="176"/>
      <c r="P633" s="176"/>
    </row>
    <row r="634" spans="1:16" ht="21.75" customHeight="1" x14ac:dyDescent="0.35">
      <c r="A634" s="484"/>
      <c r="B634" s="512" t="s">
        <v>236</v>
      </c>
      <c r="C634" s="163"/>
      <c r="D634" s="172"/>
      <c r="E634" s="165"/>
      <c r="F634" s="165"/>
      <c r="G634" s="166"/>
      <c r="H634" s="513" t="s">
        <v>12</v>
      </c>
      <c r="I634" s="347">
        <f ca="1">กระบี่!I634+ชุมพร!I634+ตรัง!I634+นครศรีธรรมราช!I634+นราธิวาส!I634+ปัตตานี!I634+พังงา!I634+พัทลุง!I634+ภูเก็ต!I634+ยะลา!I634+ระนอง!I634+สงขลา!I634+สตูล!I634+สุราษฎร์ธานี!I634</f>
        <v>14134000</v>
      </c>
      <c r="J634" s="347">
        <f ca="1">กระบี่!J634+ชุมพร!J634+ตรัง!J634+นครศรีธรรมราช!J634+นราธิวาส!J634+ปัตตานี!J634+พังงา!J634+พัทลุง!J634+ภูเก็ต!J634+ยะลา!J634+ระนอง!J634+สงขลา!J634+สตูล!J634+สุราษฎร์ธานี!J634</f>
        <v>1220000</v>
      </c>
      <c r="K634" s="348">
        <f t="shared" ca="1" si="97"/>
        <v>8.631668317532192</v>
      </c>
      <c r="L634" s="348"/>
      <c r="M634" s="348"/>
      <c r="N634" s="348"/>
      <c r="O634" s="176"/>
      <c r="P634" s="176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กระบี่!I635+ชุมพร!I635+ตรัง!I635+นครศรีธรรมราช!I635+นราธิวาส!I635+ปัตตานี!I635+พังงา!I635+พัทลุง!I635+ภูเก็ต!I635+ยะลา!I635+ระนอง!I635+สงขลา!I635+สตูล!I635+สุราษฎร์ธานี!I635</f>
        <v>359</v>
      </c>
      <c r="J635" s="517">
        <f ca="1">กระบี่!J635+ชุมพร!J635+ตรัง!J635+นครศรีธรรมราช!J635+นราธิวาส!J635+ปัตตานี!J635+พังงา!J635+พัทลุง!J635+ภูเก็ต!J635+ยะลา!J635+ระนอง!J635+สงขลา!J635+สตูล!J635+สุราษฎร์ธานี!J635</f>
        <v>28</v>
      </c>
      <c r="K635" s="492">
        <f t="shared" ca="1" si="97"/>
        <v>7.7994428969359335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3" sqref="G23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2" width="17.81640625" bestFit="1" customWidth="1"/>
    <col min="13" max="14" width="15.7265625" bestFit="1" customWidth="1"/>
    <col min="15" max="15" width="18.81640625" customWidth="1"/>
    <col min="16" max="16" width="20.54296875" customWidth="1"/>
  </cols>
  <sheetData>
    <row r="1" spans="1:16" ht="18" customHeight="1" x14ac:dyDescent="0.35">
      <c r="A1" s="527" t="s">
        <v>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</row>
    <row r="2" spans="1:16" ht="18" customHeight="1" x14ac:dyDescent="0.35">
      <c r="A2" s="527" t="s">
        <v>256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</row>
    <row r="3" spans="1:16" ht="18" customHeight="1" x14ac:dyDescent="0.35">
      <c r="A3" s="527" t="s">
        <v>268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5" t="s">
        <v>2</v>
      </c>
      <c r="B5" s="536"/>
      <c r="C5" s="536"/>
      <c r="D5" s="536"/>
      <c r="E5" s="536"/>
      <c r="F5" s="536"/>
      <c r="G5" s="537"/>
      <c r="H5" s="528" t="s">
        <v>3</v>
      </c>
      <c r="I5" s="530" t="s">
        <v>4</v>
      </c>
      <c r="J5" s="531"/>
      <c r="K5" s="532"/>
      <c r="L5" s="533" t="s">
        <v>5</v>
      </c>
      <c r="M5" s="532"/>
      <c r="N5" s="534" t="s">
        <v>6</v>
      </c>
      <c r="O5" s="531"/>
      <c r="P5" s="532"/>
    </row>
    <row r="6" spans="1:16" ht="21.75" customHeight="1" x14ac:dyDescent="0.35">
      <c r="A6" s="538"/>
      <c r="B6" s="539"/>
      <c r="C6" s="539"/>
      <c r="D6" s="539"/>
      <c r="E6" s="539"/>
      <c r="F6" s="539"/>
      <c r="G6" s="540"/>
      <c r="H6" s="52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1" t="s">
        <v>15</v>
      </c>
      <c r="B7" s="531"/>
      <c r="C7" s="531"/>
      <c r="D7" s="531"/>
      <c r="E7" s="531"/>
      <c r="F7" s="531"/>
      <c r="G7" s="53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2" t="s">
        <v>17</v>
      </c>
      <c r="E8" s="543"/>
      <c r="F8" s="543"/>
      <c r="G8" s="543"/>
      <c r="H8" s="20" t="s">
        <v>12</v>
      </c>
      <c r="I8" s="21"/>
      <c r="J8" s="21"/>
      <c r="K8" s="22"/>
      <c r="L8" s="23">
        <f t="shared" ref="L8:N8" ca="1" si="0">L9+L10</f>
        <v>2204665</v>
      </c>
      <c r="M8" s="23">
        <f t="shared" ca="1" si="0"/>
        <v>909094</v>
      </c>
      <c r="N8" s="23">
        <f t="shared" ca="1" si="0"/>
        <v>911264</v>
      </c>
      <c r="O8" s="22">
        <f t="shared" ref="O8:O16" ca="1" si="1">IF(L8&gt;0,N8*100/L8,0)</f>
        <v>41.333445217300586</v>
      </c>
      <c r="P8" s="22">
        <f t="shared" ref="P8:P16" ca="1" si="2">IF(M8&gt;0,N8*100/M8,0)</f>
        <v>100.23869918842276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2204665</v>
      </c>
      <c r="M10" s="30">
        <f t="shared" ca="1" si="4"/>
        <v>909094</v>
      </c>
      <c r="N10" s="30">
        <f t="shared" ca="1" si="4"/>
        <v>911264</v>
      </c>
      <c r="O10" s="29">
        <f t="shared" ca="1" si="1"/>
        <v>41.333445217300586</v>
      </c>
      <c r="P10" s="29">
        <f t="shared" ca="1" si="2"/>
        <v>100.23869918842276</v>
      </c>
    </row>
    <row r="11" spans="1:16" ht="21.75" customHeight="1" x14ac:dyDescent="0.45">
      <c r="A11" s="31"/>
      <c r="B11" s="32"/>
      <c r="C11" s="33" t="s">
        <v>16</v>
      </c>
      <c r="D11" s="544" t="s">
        <v>20</v>
      </c>
      <c r="E11" s="545"/>
      <c r="F11" s="54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2143965</v>
      </c>
      <c r="M12" s="38">
        <f t="shared" ca="1" si="6"/>
        <v>848394</v>
      </c>
      <c r="N12" s="38">
        <f t="shared" ca="1" si="6"/>
        <v>850564</v>
      </c>
      <c r="O12" s="38">
        <f t="shared" ca="1" si="1"/>
        <v>39.672475996576438</v>
      </c>
      <c r="P12" s="38">
        <f t="shared" ca="1" si="2"/>
        <v>100.25577738645016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1379000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764965</v>
      </c>
      <c r="M14" s="38">
        <f t="shared" si="8"/>
        <v>0</v>
      </c>
      <c r="N14" s="38">
        <f t="shared" ca="1" si="8"/>
        <v>170277</v>
      </c>
      <c r="O14" s="41">
        <f t="shared" ca="1" si="1"/>
        <v>22.259449778748046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44" t="s">
        <v>23</v>
      </c>
      <c r="E15" s="54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60700</v>
      </c>
      <c r="M16" s="38">
        <f t="shared" ca="1" si="10"/>
        <v>60700</v>
      </c>
      <c r="N16" s="38">
        <f t="shared" ca="1" si="10"/>
        <v>60700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1" t="s">
        <v>24</v>
      </c>
      <c r="B17" s="531"/>
      <c r="C17" s="531"/>
      <c r="D17" s="531"/>
      <c r="E17" s="531"/>
      <c r="F17" s="531"/>
      <c r="G17" s="53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2" t="s">
        <v>17</v>
      </c>
      <c r="E18" s="543"/>
      <c r="F18" s="543"/>
      <c r="G18" s="543"/>
      <c r="H18" s="20" t="s">
        <v>12</v>
      </c>
      <c r="I18" s="21"/>
      <c r="J18" s="21"/>
      <c r="K18" s="22"/>
      <c r="L18" s="23">
        <f t="shared" ref="L18:N18" ca="1" si="11">L19+L20</f>
        <v>1681595</v>
      </c>
      <c r="M18" s="23">
        <f t="shared" ca="1" si="11"/>
        <v>909094</v>
      </c>
      <c r="N18" s="23">
        <f t="shared" ca="1" si="11"/>
        <v>740987</v>
      </c>
      <c r="O18" s="22">
        <f t="shared" ref="O18:O20" ca="1" si="12">IF(L18&gt;0,N18*100/L18,0)</f>
        <v>44.064533969237537</v>
      </c>
      <c r="P18" s="22">
        <f t="shared" ref="P18:P26" ca="1" si="13">IF(M18&gt;0,N18*100/M18,0)</f>
        <v>81.50829287180423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1681595</v>
      </c>
      <c r="M20" s="30">
        <f t="shared" ca="1" si="15"/>
        <v>909094</v>
      </c>
      <c r="N20" s="30">
        <f t="shared" ca="1" si="15"/>
        <v>740987</v>
      </c>
      <c r="O20" s="29">
        <f t="shared" ca="1" si="12"/>
        <v>44.064533969237537</v>
      </c>
      <c r="P20" s="29">
        <f t="shared" ca="1" si="13"/>
        <v>81.50829287180423</v>
      </c>
    </row>
    <row r="21" spans="1:16" ht="21.75" customHeight="1" x14ac:dyDescent="0.45">
      <c r="A21" s="31"/>
      <c r="B21" s="32"/>
      <c r="C21" s="33" t="s">
        <v>16</v>
      </c>
      <c r="D21" s="544" t="s">
        <v>20</v>
      </c>
      <c r="E21" s="545"/>
      <c r="F21" s="54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1620895</v>
      </c>
      <c r="M22" s="42">
        <f t="shared" ca="1" si="18"/>
        <v>848394</v>
      </c>
      <c r="N22" s="41">
        <f t="shared" ca="1" si="18"/>
        <v>680287</v>
      </c>
      <c r="O22" s="41">
        <f t="shared" ca="1" si="17"/>
        <v>41.969837651420974</v>
      </c>
      <c r="P22" s="41">
        <f t="shared" ca="1" si="13"/>
        <v>80.185267694019529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1379000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241895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44" t="s">
        <v>23</v>
      </c>
      <c r="E25" s="54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60700</v>
      </c>
      <c r="M26" s="50">
        <f t="shared" ca="1" si="22"/>
        <v>60700</v>
      </c>
      <c r="N26" s="50">
        <f t="shared" ca="1" si="22"/>
        <v>60700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1" t="s">
        <v>25</v>
      </c>
      <c r="B27" s="531"/>
      <c r="C27" s="531"/>
      <c r="D27" s="531"/>
      <c r="E27" s="531"/>
      <c r="F27" s="531"/>
      <c r="G27" s="53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2" t="s">
        <v>17</v>
      </c>
      <c r="E28" s="543"/>
      <c r="F28" s="543"/>
      <c r="G28" s="543"/>
      <c r="H28" s="20" t="s">
        <v>12</v>
      </c>
      <c r="I28" s="21"/>
      <c r="J28" s="21"/>
      <c r="K28" s="22"/>
      <c r="L28" s="23">
        <f t="shared" ref="L28:N28" ca="1" si="23">L29+L30</f>
        <v>523070</v>
      </c>
      <c r="M28" s="23">
        <f t="shared" si="23"/>
        <v>0</v>
      </c>
      <c r="N28" s="23">
        <f t="shared" ca="1" si="23"/>
        <v>170277</v>
      </c>
      <c r="O28" s="22">
        <f t="shared" ref="O28:O30" ca="1" si="24">IF(L28&gt;0,N28*100/L28,0)</f>
        <v>32.553386736000917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523070</v>
      </c>
      <c r="M30" s="30">
        <f t="shared" si="27"/>
        <v>0</v>
      </c>
      <c r="N30" s="30">
        <f t="shared" ca="1" si="27"/>
        <v>170277</v>
      </c>
      <c r="O30" s="29">
        <f t="shared" ca="1" si="24"/>
        <v>32.553386736000917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44" t="s">
        <v>20</v>
      </c>
      <c r="E31" s="545"/>
      <c r="F31" s="54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523070</v>
      </c>
      <c r="M32" s="41">
        <f t="shared" si="30"/>
        <v>0</v>
      </c>
      <c r="N32" s="41">
        <f t="shared" ca="1" si="30"/>
        <v>170277</v>
      </c>
      <c r="O32" s="41">
        <f t="shared" ca="1" si="29"/>
        <v>32.553386736000917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523070</v>
      </c>
      <c r="M34" s="41">
        <f t="shared" si="32"/>
        <v>0</v>
      </c>
      <c r="N34" s="41">
        <f t="shared" ca="1" si="32"/>
        <v>170277</v>
      </c>
      <c r="O34" s="41">
        <f t="shared" ca="1" si="29"/>
        <v>32.553386736000917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44" t="s">
        <v>23</v>
      </c>
      <c r="E35" s="54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1681595</v>
      </c>
      <c r="M37" s="55">
        <f t="shared" ca="1" si="33"/>
        <v>909094</v>
      </c>
      <c r="N37" s="55">
        <f t="shared" ca="1" si="33"/>
        <v>740987</v>
      </c>
      <c r="O37" s="56">
        <f t="shared" ca="1" si="29"/>
        <v>44.064533969237537</v>
      </c>
      <c r="P37" s="56">
        <f t="shared" ca="1" si="25"/>
        <v>81.50829287180423</v>
      </c>
    </row>
    <row r="38" spans="1:16" ht="21.75" customHeight="1" x14ac:dyDescent="0.45">
      <c r="A38" s="546" t="s">
        <v>27</v>
      </c>
      <c r="B38" s="531"/>
      <c r="C38" s="531"/>
      <c r="D38" s="531"/>
      <c r="E38" s="531"/>
      <c r="F38" s="531"/>
      <c r="G38" s="53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7" t="s">
        <v>28</v>
      </c>
      <c r="C39" s="543"/>
      <c r="D39" s="543"/>
      <c r="E39" s="543"/>
      <c r="F39" s="543"/>
      <c r="G39" s="54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48" t="s">
        <v>17</v>
      </c>
      <c r="E41" s="545"/>
      <c r="F41" s="545"/>
      <c r="G41" s="545"/>
      <c r="H41" s="76" t="s">
        <v>12</v>
      </c>
      <c r="I41" s="77"/>
      <c r="J41" s="77"/>
      <c r="K41" s="78"/>
      <c r="L41" s="79">
        <f t="shared" ref="L41:N41" ca="1" si="34">L42+L43</f>
        <v>626400</v>
      </c>
      <c r="M41" s="79">
        <f t="shared" ca="1" si="34"/>
        <v>324600</v>
      </c>
      <c r="N41" s="79">
        <f t="shared" ca="1" si="34"/>
        <v>281850</v>
      </c>
      <c r="O41" s="78">
        <f t="shared" ref="O41:O43" ca="1" si="35">IF(L41&gt;0,N41*100/L41,0)</f>
        <v>44.995210727969351</v>
      </c>
      <c r="P41" s="78">
        <f t="shared" ref="P41:P43" ca="1" si="36">IF(M41&gt;0,N41*100/M41,0)</f>
        <v>86.829944547134929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626400</v>
      </c>
      <c r="M43" s="79">
        <f t="shared" ca="1" si="38"/>
        <v>324600</v>
      </c>
      <c r="N43" s="79">
        <f t="shared" ca="1" si="38"/>
        <v>281850</v>
      </c>
      <c r="O43" s="78">
        <f t="shared" ca="1" si="35"/>
        <v>44.995210727969351</v>
      </c>
      <c r="P43" s="78">
        <f t="shared" ca="1" si="36"/>
        <v>86.829944547134929</v>
      </c>
    </row>
    <row r="44" spans="1:16" ht="21.75" customHeight="1" x14ac:dyDescent="0.45">
      <c r="A44" s="80"/>
      <c r="B44" s="81"/>
      <c r="C44" s="82" t="s">
        <v>16</v>
      </c>
      <c r="D44" s="549" t="s">
        <v>20</v>
      </c>
      <c r="E44" s="545"/>
      <c r="F44" s="54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603500</v>
      </c>
      <c r="M45" s="91">
        <f ca="1">IFERROR(__xludf.DUMMYFUNCTION("IMPORTRANGE(""https://docs.google.com/spreadsheets/d/1Yj_ptqi66GCucihVvJfMjLAmec39IyEx_6qawtMGysU/edit?usp=sharing"",""สบก!Q89"")"),301700)</f>
        <v>301700</v>
      </c>
      <c r="N45" s="91">
        <f ca="1">IFERROR(__xludf.DUMMYFUNCTION("IMPORTRANGE(""https://docs.google.com/spreadsheets/d/1Yj_ptqi66GCucihVvJfMjLAmec39IyEx_6qawtMGysU/edit?usp=sharing"",""สบก!R89"")"),258950)</f>
        <v>258950</v>
      </c>
      <c r="O45" s="92">
        <f ca="1">IF(L45&gt;0,N45*100/L45,0)</f>
        <v>42.90803645401823</v>
      </c>
      <c r="P45" s="92">
        <f ca="1">IF(M45&gt;0,N45*100/M45,0)</f>
        <v>85.830294995028169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IFERROR(__xludf.DUMMYFUNCTION("IMPORTRANGE(""https://docs.google.com/spreadsheets/d/1Yj_ptqi66GCucihVvJfMjLAmec39IyEx_6qawtMGysU/edit?usp=sharing"",""สบก!M89"")"),603500)</f>
        <v>603500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IFERROR(__xludf.DUMMYFUNCTION("IMPORTRANGE(""https://docs.google.com/spreadsheets/d/1Yj_ptqi66GCucihVvJfMjLAmec39IyEx_6qawtMGysU/edit?usp=sharing"",""สบก!N89"")"),0)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49" t="s">
        <v>23</v>
      </c>
      <c r="E48" s="54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IFERROR(__xludf.DUMMYFUNCTION("IMPORTRANGE(""https://docs.google.com/spreadsheets/d/1Yj_ptqi66GCucihVvJfMjLAmec39IyEx_6qawtMGysU/edit?usp=sharing"",""สบก!O89"")"),22900)</f>
        <v>22900</v>
      </c>
      <c r="M49" s="101">
        <f ca="1">L49</f>
        <v>22900</v>
      </c>
      <c r="N49" s="91">
        <f ca="1">IFERROR(__xludf.DUMMYFUNCTION("IMPORTRANGE(""https://docs.google.com/spreadsheets/d/1Yj_ptqi66GCucihVvJfMjLAmec39IyEx_6qawtMGysU/edit?usp=sharing"",""สบก!S89"")"),22900)</f>
        <v>22900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0" t="s">
        <v>32</v>
      </c>
      <c r="C52" s="545"/>
      <c r="D52" s="545"/>
      <c r="E52" s="545"/>
      <c r="F52" s="545"/>
      <c r="G52" s="54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1" t="s">
        <v>17</v>
      </c>
      <c r="E53" s="545"/>
      <c r="F53" s="545"/>
      <c r="G53" s="545"/>
      <c r="H53" s="122" t="s">
        <v>12</v>
      </c>
      <c r="I53" s="123"/>
      <c r="J53" s="123"/>
      <c r="K53" s="124"/>
      <c r="L53" s="125">
        <f t="shared" ref="L53:N53" ca="1" si="39">L54+L55</f>
        <v>280000</v>
      </c>
      <c r="M53" s="125">
        <f t="shared" ca="1" si="39"/>
        <v>150089</v>
      </c>
      <c r="N53" s="125">
        <f t="shared" ca="1" si="39"/>
        <v>102049</v>
      </c>
      <c r="O53" s="124">
        <f t="shared" ref="O53:O55" ca="1" si="40">IF(L53&gt;0,N53*100/L53,0)</f>
        <v>36.446071428571429</v>
      </c>
      <c r="P53" s="124">
        <f t="shared" ref="P53:P55" ca="1" si="41">IF(M53&gt;0,N53*100/M53,0)</f>
        <v>67.992324554097905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280000</v>
      </c>
      <c r="M55" s="125">
        <f t="shared" ca="1" si="43"/>
        <v>150089</v>
      </c>
      <c r="N55" s="125">
        <f t="shared" ca="1" si="43"/>
        <v>102049</v>
      </c>
      <c r="O55" s="124">
        <f t="shared" ca="1" si="40"/>
        <v>36.446071428571429</v>
      </c>
      <c r="P55" s="124">
        <f t="shared" ca="1" si="41"/>
        <v>67.992324554097905</v>
      </c>
    </row>
    <row r="56" spans="1:16" ht="21.75" customHeight="1" x14ac:dyDescent="0.45">
      <c r="A56" s="80"/>
      <c r="B56" s="81"/>
      <c r="C56" s="82" t="s">
        <v>16</v>
      </c>
      <c r="D56" s="549" t="s">
        <v>20</v>
      </c>
      <c r="E56" s="545"/>
      <c r="F56" s="54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280000</v>
      </c>
      <c r="M57" s="91">
        <f ca="1">IFERROR(__xludf.DUMMYFUNCTION("IMPORTRANGE(""https://docs.google.com/spreadsheets/d/1Yj_ptqi66GCucihVvJfMjLAmec39IyEx_6qawtMGysU/edit?usp=sharing"",""สบก!Z89"")"),150089)</f>
        <v>150089</v>
      </c>
      <c r="N57" s="91">
        <f ca="1">IFERROR(__xludf.DUMMYFUNCTION("IMPORTRANGE(""https://docs.google.com/spreadsheets/d/1Yj_ptqi66GCucihVvJfMjLAmec39IyEx_6qawtMGysU/edit?usp=sharing"",""สบก!AA89"")"),102049)</f>
        <v>102049</v>
      </c>
      <c r="O57" s="92">
        <f ca="1">IF(L57&gt;0,N57*100/L57,0)</f>
        <v>36.446071428571429</v>
      </c>
      <c r="P57" s="92">
        <f ca="1">IF(M57&gt;0,N57*100/M57,0)</f>
        <v>67.992324554097905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IFERROR(__xludf.DUMMYFUNCTION("IMPORTRANGE(""https://docs.google.com/spreadsheets/d/1Yj_ptqi66GCucihVvJfMjLAmec39IyEx_6qawtMGysU/edit?usp=sharing"",""สบก!V89"")"),280000)</f>
        <v>280000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IFERROR(__xludf.DUMMYFUNCTION("IMPORTRANGE(""https://docs.google.com/spreadsheets/d/1Yj_ptqi66GCucihVvJfMjLAmec39IyEx_6qawtMGysU/edit?usp=sharing"",""สบก!W89"")"),0)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49" t="s">
        <v>23</v>
      </c>
      <c r="E60" s="54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IFERROR(__xludf.DUMMYFUNCTION("IMPORTRANGE(""https://docs.google.com/spreadsheets/d/1Yj_ptqi66GCucihVvJfMjLAmec39IyEx_6qawtMGysU/edit?usp=sharing"",""สบก!X89"")"),0)</f>
        <v>0</v>
      </c>
      <c r="M61" s="101"/>
      <c r="N61" s="91">
        <f ca="1">IFERROR(__xludf.DUMMYFUNCTION("IMPORTRANGE(""https://docs.google.com/spreadsheets/d/1Yj_ptqi66GCucihVvJfMjLAmec39IyEx_6qawtMGysU/edit?usp=sharing"",""สบก!AB89"")"),0)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IFERROR(__xludf.DUMMYFUNCTION("IMPORTRANGE(""https://docs.google.com/spreadsheets/d/1IYY_tgx_IHuhSq3AJ5eI5OnqOPBNLWSHKh2a30DoXe8/edit?usp=sharing"",""ภูเก็ต!I9"")"),0)</f>
        <v>0</v>
      </c>
      <c r="J64" s="146">
        <f ca="1">IFERROR(__xludf.DUMMYFUNCTION("IMPORTRANGE(""https://docs.google.com/spreadsheets/d/1IYY_tgx_IHuhSq3AJ5eI5OnqOPBNLWSHKh2a30DoXe8/edit?usp=sharing"",""ภูเก็ต!J9"")"),0)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IFERROR(__xludf.DUMMYFUNCTION("IMPORTRANGE(""https://docs.google.com/spreadsheets/d/1IYY_tgx_IHuhSq3AJ5eI5OnqOPBNLWSHKh2a30DoXe8/edit?usp=sharing"",""ภูเก็ต!I10"")"),0)</f>
        <v>0</v>
      </c>
      <c r="J65" s="146">
        <f ca="1">IFERROR(__xludf.DUMMYFUNCTION("IMPORTRANGE(""https://docs.google.com/spreadsheets/d/1IYY_tgx_IHuhSq3AJ5eI5OnqOPBNLWSHKh2a30DoXe8/edit?usp=sharing"",""ภูเก็ต!J10"")"),0)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52" t="s">
        <v>17</v>
      </c>
      <c r="E66" s="543"/>
      <c r="F66" s="543"/>
      <c r="G66" s="54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5">
      <c r="A69" s="162"/>
      <c r="B69" s="163"/>
      <c r="C69" s="163" t="s">
        <v>16</v>
      </c>
      <c r="D69" s="164" t="s">
        <v>38</v>
      </c>
      <c r="E69" s="165"/>
      <c r="F69" s="165"/>
      <c r="G69" s="166" t="s">
        <v>39</v>
      </c>
      <c r="H69" s="167" t="s">
        <v>12</v>
      </c>
      <c r="I69" s="168" t="s">
        <v>40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 x14ac:dyDescent="0.35">
      <c r="A70" s="162"/>
      <c r="B70" s="163"/>
      <c r="C70" s="163"/>
      <c r="D70" s="172"/>
      <c r="E70" s="165"/>
      <c r="F70" s="165" t="s">
        <v>40</v>
      </c>
      <c r="G70" s="166" t="s">
        <v>41</v>
      </c>
      <c r="H70" s="167" t="s">
        <v>12</v>
      </c>
      <c r="I70" s="168"/>
      <c r="J70" s="168"/>
      <c r="K70" s="169"/>
      <c r="L70" s="173">
        <f ca="1">L71+L72</f>
        <v>0</v>
      </c>
      <c r="M70" s="174">
        <f ca="1">IFERROR(__xludf.DUMMYFUNCTION("IMPORTRANGE(""https://docs.google.com/spreadsheets/d/1Yj_ptqi66GCucihVvJfMjLAmec39IyEx_6qawtMGysU/edit?usp=sharing"",""สบก!AI89"")"),0)</f>
        <v>0</v>
      </c>
      <c r="N70" s="175">
        <f ca="1">IFERROR(__xludf.DUMMYFUNCTION("IMPORTRANGE(""https://docs.google.com/spreadsheets/d/1Yj_ptqi66GCucihVvJfMjLAmec39IyEx_6qawtMGysU/edit?usp=sharing"",""สบก!AJ89"")"),0)</f>
        <v>0</v>
      </c>
      <c r="O70" s="176">
        <f ca="1">IF(L70&gt;0,N70*100/L70,0)</f>
        <v>0</v>
      </c>
      <c r="P70" s="176">
        <f ca="1">IF(M70&gt;0,N70*100/M70,0)</f>
        <v>0</v>
      </c>
    </row>
    <row r="71" spans="1:16" ht="21.75" customHeight="1" x14ac:dyDescent="0.35">
      <c r="A71" s="162"/>
      <c r="B71" s="163"/>
      <c r="C71" s="163"/>
      <c r="D71" s="172"/>
      <c r="E71" s="165"/>
      <c r="F71" s="165"/>
      <c r="G71" s="177" t="s">
        <v>42</v>
      </c>
      <c r="H71" s="167" t="s">
        <v>12</v>
      </c>
      <c r="I71" s="168"/>
      <c r="J71" s="168"/>
      <c r="K71" s="169"/>
      <c r="L71" s="174">
        <f ca="1">IFERROR(__xludf.DUMMYFUNCTION("IMPORTRANGE(""https://docs.google.com/spreadsheets/d/1Yj_ptqi66GCucihVvJfMjLAmec39IyEx_6qawtMGysU/edit?usp=sharing"",""สบก!AE89"")"),0)</f>
        <v>0</v>
      </c>
      <c r="M71" s="173"/>
      <c r="N71" s="173"/>
      <c r="O71" s="176"/>
      <c r="P71" s="176"/>
    </row>
    <row r="72" spans="1:16" ht="21.75" customHeight="1" x14ac:dyDescent="0.35">
      <c r="A72" s="162"/>
      <c r="B72" s="163"/>
      <c r="C72" s="163"/>
      <c r="D72" s="172"/>
      <c r="E72" s="165"/>
      <c r="F72" s="165"/>
      <c r="G72" s="177" t="s">
        <v>43</v>
      </c>
      <c r="H72" s="167" t="s">
        <v>12</v>
      </c>
      <c r="I72" s="168"/>
      <c r="J72" s="168"/>
      <c r="K72" s="169"/>
      <c r="L72" s="174">
        <f ca="1">IFERROR(__xludf.DUMMYFUNCTION("IMPORTRANGE(""https://docs.google.com/spreadsheets/d/1Yj_ptqi66GCucihVvJfMjLAmec39IyEx_6qawtMGysU/edit?usp=sharing"",""สบก!AF89"")"),0)</f>
        <v>0</v>
      </c>
      <c r="M72" s="173"/>
      <c r="N72" s="173"/>
      <c r="O72" s="176"/>
      <c r="P72" s="176"/>
    </row>
    <row r="73" spans="1:16" ht="21.75" customHeight="1" x14ac:dyDescent="0.45">
      <c r="A73" s="178"/>
      <c r="B73" s="81"/>
      <c r="C73" s="82" t="s">
        <v>16</v>
      </c>
      <c r="D73" s="549" t="s">
        <v>23</v>
      </c>
      <c r="E73" s="545"/>
      <c r="F73" s="89"/>
      <c r="G73" s="83" t="s">
        <v>18</v>
      </c>
      <c r="H73" s="179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80"/>
      <c r="B74" s="95"/>
      <c r="C74" s="95"/>
      <c r="D74" s="181"/>
      <c r="E74" s="96"/>
      <c r="F74" s="96"/>
      <c r="G74" s="97" t="s">
        <v>19</v>
      </c>
      <c r="H74" s="182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IFERROR(__xludf.DUMMYFUNCTION("IMPORTRANGE(""https://docs.google.com/spreadsheets/d/1Yj_ptqi66GCucihVvJfMjLAmec39IyEx_6qawtMGysU/edit?usp=sharing"",""สบก!AG89"")"),0)</f>
        <v>0</v>
      </c>
      <c r="M74" s="101"/>
      <c r="N74" s="91">
        <f ca="1">IFERROR(__xludf.DUMMYFUNCTION("IMPORTRANGE(""https://docs.google.com/spreadsheets/d/1Yj_ptqi66GCucihVvJfMjLAmec39IyEx_6qawtMGysU/edit?usp=sharing"",""สบก!AK89"")"),0)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3"/>
      <c r="B75" s="184"/>
      <c r="C75" s="163" t="s">
        <v>16</v>
      </c>
      <c r="D75" s="185" t="s">
        <v>44</v>
      </c>
      <c r="E75" s="186"/>
      <c r="F75" s="186"/>
      <c r="G75" s="187"/>
      <c r="H75" s="188"/>
      <c r="I75" s="168"/>
      <c r="J75" s="168"/>
      <c r="K75" s="169"/>
      <c r="L75" s="189"/>
      <c r="M75" s="189"/>
      <c r="N75" s="189"/>
      <c r="O75" s="189"/>
      <c r="P75" s="189"/>
    </row>
    <row r="76" spans="1:16" ht="21.75" customHeight="1" x14ac:dyDescent="0.35">
      <c r="A76" s="183"/>
      <c r="B76" s="184"/>
      <c r="C76" s="184"/>
      <c r="D76" s="190">
        <v>1</v>
      </c>
      <c r="E76" s="191" t="s">
        <v>45</v>
      </c>
      <c r="F76" s="192"/>
      <c r="G76" s="193"/>
      <c r="H76" s="194"/>
      <c r="I76" s="195"/>
      <c r="J76" s="196">
        <f ca="1">IFERROR(__xludf.DUMMYFUNCTION("IMPORTRANGE(""https://docs.google.com/spreadsheets/d/1IYY_tgx_IHuhSq3AJ5eI5OnqOPBNLWSHKh2a30DoXe8/edit?usp=sharing"",""ภูเก็ต!J16"")"),0)</f>
        <v>0</v>
      </c>
      <c r="K76" s="169"/>
      <c r="L76" s="189"/>
      <c r="M76" s="189"/>
      <c r="N76" s="189"/>
      <c r="O76" s="189"/>
      <c r="P76" s="189"/>
    </row>
    <row r="77" spans="1:16" ht="21.75" customHeight="1" x14ac:dyDescent="0.35">
      <c r="A77" s="183"/>
      <c r="B77" s="184"/>
      <c r="C77" s="184"/>
      <c r="D77" s="197">
        <v>2</v>
      </c>
      <c r="E77" s="198" t="s">
        <v>46</v>
      </c>
      <c r="F77" s="199"/>
      <c r="G77" s="200"/>
      <c r="H77" s="194"/>
      <c r="I77" s="195"/>
      <c r="J77" s="196">
        <f ca="1">IFERROR(__xludf.DUMMYFUNCTION("IMPORTRANGE(""https://docs.google.com/spreadsheets/d/1IYY_tgx_IHuhSq3AJ5eI5OnqOPBNLWSHKh2a30DoXe8/edit?usp=sharing"",""ภูเก็ต!J17"")"),0)</f>
        <v>0</v>
      </c>
      <c r="K77" s="169"/>
      <c r="L77" s="189" t="s">
        <v>40</v>
      </c>
      <c r="M77" s="189"/>
      <c r="N77" s="189" t="s">
        <v>40</v>
      </c>
      <c r="O77" s="189"/>
      <c r="P77" s="189"/>
    </row>
    <row r="78" spans="1:16" ht="21.75" customHeight="1" x14ac:dyDescent="0.35">
      <c r="A78" s="183"/>
      <c r="B78" s="184"/>
      <c r="C78" s="184"/>
      <c r="D78" s="201"/>
      <c r="E78" s="202" t="s">
        <v>47</v>
      </c>
      <c r="F78" s="203"/>
      <c r="G78" s="204"/>
      <c r="H78" s="194"/>
      <c r="I78" s="195"/>
      <c r="J78" s="196">
        <f ca="1">IFERROR(__xludf.DUMMYFUNCTION("IMPORTRANGE(""https://docs.google.com/spreadsheets/d/1IYY_tgx_IHuhSq3AJ5eI5OnqOPBNLWSHKh2a30DoXe8/edit?usp=sharing"",""ภูเก็ต!J18"")"),0)</f>
        <v>0</v>
      </c>
      <c r="K78" s="169"/>
      <c r="L78" s="189"/>
      <c r="M78" s="189"/>
      <c r="N78" s="189"/>
      <c r="O78" s="189"/>
      <c r="P78" s="189"/>
    </row>
    <row r="79" spans="1:16" ht="21.75" customHeight="1" x14ac:dyDescent="0.35">
      <c r="A79" s="183"/>
      <c r="B79" s="184"/>
      <c r="C79" s="184"/>
      <c r="D79" s="201"/>
      <c r="E79" s="202" t="s">
        <v>48</v>
      </c>
      <c r="F79" s="203"/>
      <c r="G79" s="204"/>
      <c r="H79" s="194"/>
      <c r="I79" s="195"/>
      <c r="J79" s="205">
        <f ca="1">IFERROR(__xludf.DUMMYFUNCTION("IMPORTRANGE(""https://docs.google.com/spreadsheets/d/1IYY_tgx_IHuhSq3AJ5eI5OnqOPBNLWSHKh2a30DoXe8/edit?usp=sharing"",""ภูเก็ต!J19"")"),0)</f>
        <v>0</v>
      </c>
      <c r="K79" s="169"/>
      <c r="L79" s="189"/>
      <c r="M79" s="189"/>
      <c r="N79" s="189"/>
      <c r="O79" s="189"/>
      <c r="P79" s="189"/>
    </row>
    <row r="80" spans="1:16" ht="21.75" customHeight="1" x14ac:dyDescent="0.35">
      <c r="A80" s="183"/>
      <c r="B80" s="184"/>
      <c r="C80" s="184"/>
      <c r="D80" s="201"/>
      <c r="E80" s="206"/>
      <c r="F80" s="202" t="s">
        <v>49</v>
      </c>
      <c r="G80" s="203"/>
      <c r="H80" s="207" t="s">
        <v>36</v>
      </c>
      <c r="I80" s="208">
        <f ca="1">IFERROR(__xludf.DUMMYFUNCTION("IMPORTRANGE(""https://docs.google.com/spreadsheets/d/1IYY_tgx_IHuhSq3AJ5eI5OnqOPBNLWSHKh2a30DoXe8/edit?usp=sharing"",""ภูเก็ต!I20"")"),0)</f>
        <v>0</v>
      </c>
      <c r="J80" s="208">
        <f ca="1">IFERROR(__xludf.DUMMYFUNCTION("IMPORTRANGE(""https://docs.google.com/spreadsheets/d/1IYY_tgx_IHuhSq3AJ5eI5OnqOPBNLWSHKh2a30DoXe8/edit?usp=sharing"",""ภูเก็ต!J20"")"),0)</f>
        <v>0</v>
      </c>
      <c r="K80" s="209">
        <f t="shared" ref="K80:K88" ca="1" si="50">IF(I80&gt;0,J80*100/I80,0)</f>
        <v>0</v>
      </c>
      <c r="L80" s="189"/>
      <c r="M80" s="189"/>
      <c r="N80" s="189"/>
      <c r="O80" s="189"/>
      <c r="P80" s="189"/>
    </row>
    <row r="81" spans="1:16" ht="21.75" customHeight="1" x14ac:dyDescent="0.35">
      <c r="A81" s="183"/>
      <c r="B81" s="184"/>
      <c r="C81" s="184"/>
      <c r="D81" s="201"/>
      <c r="E81" s="206"/>
      <c r="F81" s="203"/>
      <c r="G81" s="204"/>
      <c r="H81" s="207" t="s">
        <v>37</v>
      </c>
      <c r="I81" s="208">
        <f ca="1">IFERROR(__xludf.DUMMYFUNCTION("IMPORTRANGE(""https://docs.google.com/spreadsheets/d/1IYY_tgx_IHuhSq3AJ5eI5OnqOPBNLWSHKh2a30DoXe8/edit?usp=sharing"",""ภูเก็ต!I21"")"),0)</f>
        <v>0</v>
      </c>
      <c r="J81" s="208">
        <f ca="1">IFERROR(__xludf.DUMMYFUNCTION("IMPORTRANGE(""https://docs.google.com/spreadsheets/d/1IYY_tgx_IHuhSq3AJ5eI5OnqOPBNLWSHKh2a30DoXe8/edit?usp=sharing"",""ภูเก็ต!J21"")"),0)</f>
        <v>0</v>
      </c>
      <c r="K81" s="209">
        <f t="shared" ca="1" si="50"/>
        <v>0</v>
      </c>
      <c r="L81" s="189"/>
      <c r="M81" s="189"/>
      <c r="N81" s="189"/>
      <c r="O81" s="189"/>
      <c r="P81" s="189"/>
    </row>
    <row r="82" spans="1:16" ht="21.75" customHeight="1" x14ac:dyDescent="0.35">
      <c r="A82" s="183"/>
      <c r="B82" s="184"/>
      <c r="C82" s="184"/>
      <c r="D82" s="201"/>
      <c r="E82" s="206"/>
      <c r="F82" s="203"/>
      <c r="G82" s="203" t="s">
        <v>50</v>
      </c>
      <c r="H82" s="188" t="s">
        <v>36</v>
      </c>
      <c r="I82" s="210">
        <f ca="1">IFERROR(__xludf.DUMMYFUNCTION("IMPORTRANGE(""https://docs.google.com/spreadsheets/d/1IYY_tgx_IHuhSq3AJ5eI5OnqOPBNLWSHKh2a30DoXe8/edit?usp=sharing"",""ภูเก็ต!I22"")"),0)</f>
        <v>0</v>
      </c>
      <c r="J82" s="211">
        <f ca="1">IFERROR(__xludf.DUMMYFUNCTION("IMPORTRANGE(""https://docs.google.com/spreadsheets/d/1IYY_tgx_IHuhSq3AJ5eI5OnqOPBNLWSHKh2a30DoXe8/edit?usp=sharing"",""ภูเก็ต!J22"")"),0)</f>
        <v>0</v>
      </c>
      <c r="K82" s="169">
        <f t="shared" ca="1" si="50"/>
        <v>0</v>
      </c>
      <c r="L82" s="189"/>
      <c r="M82" s="189"/>
      <c r="N82" s="189"/>
      <c r="O82" s="189"/>
      <c r="P82" s="189"/>
    </row>
    <row r="83" spans="1:16" ht="21.75" customHeight="1" x14ac:dyDescent="0.35">
      <c r="A83" s="183"/>
      <c r="B83" s="184"/>
      <c r="C83" s="184"/>
      <c r="D83" s="201"/>
      <c r="E83" s="206"/>
      <c r="F83" s="203"/>
      <c r="G83" s="204"/>
      <c r="H83" s="188" t="s">
        <v>37</v>
      </c>
      <c r="I83" s="210">
        <f ca="1">IFERROR(__xludf.DUMMYFUNCTION("IMPORTRANGE(""https://docs.google.com/spreadsheets/d/1IYY_tgx_IHuhSq3AJ5eI5OnqOPBNLWSHKh2a30DoXe8/edit?usp=sharing"",""ภูเก็ต!I23"")"),0)</f>
        <v>0</v>
      </c>
      <c r="J83" s="211">
        <f ca="1">IFERROR(__xludf.DUMMYFUNCTION("IMPORTRANGE(""https://docs.google.com/spreadsheets/d/1IYY_tgx_IHuhSq3AJ5eI5OnqOPBNLWSHKh2a30DoXe8/edit?usp=sharing"",""ภูเก็ต!J23"")"),0)</f>
        <v>0</v>
      </c>
      <c r="K83" s="169">
        <f t="shared" ca="1" si="50"/>
        <v>0</v>
      </c>
      <c r="L83" s="189"/>
      <c r="M83" s="189"/>
      <c r="N83" s="189"/>
      <c r="O83" s="189"/>
      <c r="P83" s="189"/>
    </row>
    <row r="84" spans="1:16" ht="21.75" customHeight="1" x14ac:dyDescent="0.35">
      <c r="A84" s="183"/>
      <c r="B84" s="184"/>
      <c r="C84" s="184"/>
      <c r="D84" s="201"/>
      <c r="E84" s="206"/>
      <c r="F84" s="203"/>
      <c r="G84" s="203" t="s">
        <v>51</v>
      </c>
      <c r="H84" s="188" t="s">
        <v>36</v>
      </c>
      <c r="I84" s="210">
        <f ca="1">IFERROR(__xludf.DUMMYFUNCTION("IMPORTRANGE(""https://docs.google.com/spreadsheets/d/1IYY_tgx_IHuhSq3AJ5eI5OnqOPBNLWSHKh2a30DoXe8/edit?usp=sharing"",""ภูเก็ต!I24"")"),0)</f>
        <v>0</v>
      </c>
      <c r="J84" s="196">
        <f ca="1">IFERROR(__xludf.DUMMYFUNCTION("IMPORTRANGE(""https://docs.google.com/spreadsheets/d/1IYY_tgx_IHuhSq3AJ5eI5OnqOPBNLWSHKh2a30DoXe8/edit?usp=sharing"",""ภูเก็ต!J24"")"),0)</f>
        <v>0</v>
      </c>
      <c r="K84" s="169">
        <f t="shared" ca="1" si="50"/>
        <v>0</v>
      </c>
      <c r="L84" s="189"/>
      <c r="M84" s="189"/>
      <c r="N84" s="189"/>
      <c r="O84" s="189"/>
      <c r="P84" s="189"/>
    </row>
    <row r="85" spans="1:16" ht="21.75" customHeight="1" x14ac:dyDescent="0.35">
      <c r="A85" s="183"/>
      <c r="B85" s="184"/>
      <c r="C85" s="184"/>
      <c r="D85" s="201"/>
      <c r="E85" s="206"/>
      <c r="F85" s="203"/>
      <c r="G85" s="204"/>
      <c r="H85" s="188" t="s">
        <v>37</v>
      </c>
      <c r="I85" s="210">
        <f ca="1">IFERROR(__xludf.DUMMYFUNCTION("IMPORTRANGE(""https://docs.google.com/spreadsheets/d/1IYY_tgx_IHuhSq3AJ5eI5OnqOPBNLWSHKh2a30DoXe8/edit?usp=sharing"",""ภูเก็ต!I25"")"),0)</f>
        <v>0</v>
      </c>
      <c r="J85" s="196">
        <f ca="1">IFERROR(__xludf.DUMMYFUNCTION("IMPORTRANGE(""https://docs.google.com/spreadsheets/d/1IYY_tgx_IHuhSq3AJ5eI5OnqOPBNLWSHKh2a30DoXe8/edit?usp=sharing"",""ภูเก็ต!J25"")"),0)</f>
        <v>0</v>
      </c>
      <c r="K85" s="169">
        <f t="shared" ca="1" si="50"/>
        <v>0</v>
      </c>
      <c r="L85" s="189"/>
      <c r="M85" s="189"/>
      <c r="N85" s="189"/>
      <c r="O85" s="189"/>
      <c r="P85" s="189"/>
    </row>
    <row r="86" spans="1:16" ht="21.75" customHeight="1" x14ac:dyDescent="0.35">
      <c r="A86" s="183"/>
      <c r="B86" s="184"/>
      <c r="C86" s="184"/>
      <c r="D86" s="201"/>
      <c r="E86" s="206"/>
      <c r="F86" s="203"/>
      <c r="G86" s="203" t="s">
        <v>52</v>
      </c>
      <c r="H86" s="188" t="s">
        <v>36</v>
      </c>
      <c r="I86" s="210">
        <f ca="1">IFERROR(__xludf.DUMMYFUNCTION("IMPORTRANGE(""https://docs.google.com/spreadsheets/d/1IYY_tgx_IHuhSq3AJ5eI5OnqOPBNLWSHKh2a30DoXe8/edit?usp=sharing"",""ภูเก็ต!I26"")"),0)</f>
        <v>0</v>
      </c>
      <c r="J86" s="211">
        <f ca="1">IFERROR(__xludf.DUMMYFUNCTION("IMPORTRANGE(""https://docs.google.com/spreadsheets/d/1IYY_tgx_IHuhSq3AJ5eI5OnqOPBNLWSHKh2a30DoXe8/edit?usp=sharing"",""ภูเก็ต!J26"")"),0)</f>
        <v>0</v>
      </c>
      <c r="K86" s="169">
        <f t="shared" ca="1" si="50"/>
        <v>0</v>
      </c>
      <c r="L86" s="189"/>
      <c r="M86" s="189"/>
      <c r="N86" s="189"/>
      <c r="O86" s="189"/>
      <c r="P86" s="189"/>
    </row>
    <row r="87" spans="1:16" ht="21.75" customHeight="1" x14ac:dyDescent="0.35">
      <c r="A87" s="183"/>
      <c r="B87" s="184"/>
      <c r="C87" s="184"/>
      <c r="D87" s="201"/>
      <c r="E87" s="206"/>
      <c r="F87" s="203"/>
      <c r="G87" s="204"/>
      <c r="H87" s="188" t="s">
        <v>37</v>
      </c>
      <c r="I87" s="210">
        <f ca="1">IFERROR(__xludf.DUMMYFUNCTION("IMPORTRANGE(""https://docs.google.com/spreadsheets/d/1IYY_tgx_IHuhSq3AJ5eI5OnqOPBNLWSHKh2a30DoXe8/edit?usp=sharing"",""ภูเก็ต!I27"")"),0)</f>
        <v>0</v>
      </c>
      <c r="J87" s="211">
        <f ca="1">IFERROR(__xludf.DUMMYFUNCTION("IMPORTRANGE(""https://docs.google.com/spreadsheets/d/1IYY_tgx_IHuhSq3AJ5eI5OnqOPBNLWSHKh2a30DoXe8/edit?usp=sharing"",""ภูเก็ต!J27"")"),0)</f>
        <v>0</v>
      </c>
      <c r="K87" s="169">
        <f t="shared" ca="1" si="50"/>
        <v>0</v>
      </c>
      <c r="L87" s="189"/>
      <c r="M87" s="189"/>
      <c r="N87" s="189"/>
      <c r="O87" s="189"/>
      <c r="P87" s="189"/>
    </row>
    <row r="88" spans="1:16" ht="21.75" customHeight="1" x14ac:dyDescent="0.35">
      <c r="A88" s="183"/>
      <c r="B88" s="184"/>
      <c r="C88" s="184"/>
      <c r="D88" s="201"/>
      <c r="E88" s="206"/>
      <c r="F88" s="212" t="s">
        <v>53</v>
      </c>
      <c r="G88" s="203"/>
      <c r="H88" s="188" t="s">
        <v>37</v>
      </c>
      <c r="I88" s="210">
        <f ca="1">IFERROR(__xludf.DUMMYFUNCTION("IMPORTRANGE(""https://docs.google.com/spreadsheets/d/1IYY_tgx_IHuhSq3AJ5eI5OnqOPBNLWSHKh2a30DoXe8/edit?usp=sharing"",""ภูเก็ต!I28"")"),0)</f>
        <v>0</v>
      </c>
      <c r="J88" s="211">
        <f ca="1">IFERROR(__xludf.DUMMYFUNCTION("IMPORTRANGE(""https://docs.google.com/spreadsheets/d/1IYY_tgx_IHuhSq3AJ5eI5OnqOPBNLWSHKh2a30DoXe8/edit?usp=sharing"",""ภูเก็ต!J28"")"),0)</f>
        <v>0</v>
      </c>
      <c r="K88" s="169">
        <f t="shared" ca="1" si="50"/>
        <v>0</v>
      </c>
      <c r="L88" s="189"/>
      <c r="M88" s="189"/>
      <c r="N88" s="189"/>
      <c r="O88" s="189"/>
      <c r="P88" s="189"/>
    </row>
    <row r="89" spans="1:16" ht="21.75" customHeight="1" x14ac:dyDescent="0.35">
      <c r="A89" s="183"/>
      <c r="B89" s="184"/>
      <c r="C89" s="184"/>
      <c r="D89" s="201"/>
      <c r="E89" s="202" t="s">
        <v>54</v>
      </c>
      <c r="F89" s="203"/>
      <c r="G89" s="204"/>
      <c r="H89" s="194"/>
      <c r="I89" s="195"/>
      <c r="J89" s="205">
        <f ca="1">IFERROR(__xludf.DUMMYFUNCTION("IMPORTRANGE(""https://docs.google.com/spreadsheets/d/1IYY_tgx_IHuhSq3AJ5eI5OnqOPBNLWSHKh2a30DoXe8/edit?usp=sharing"",""ภูเก็ต!J29"")"),0)</f>
        <v>0</v>
      </c>
      <c r="K89" s="169"/>
      <c r="L89" s="189"/>
      <c r="M89" s="189"/>
      <c r="N89" s="189"/>
      <c r="O89" s="189"/>
      <c r="P89" s="189"/>
    </row>
    <row r="90" spans="1:16" ht="21.75" customHeight="1" x14ac:dyDescent="0.35">
      <c r="A90" s="183"/>
      <c r="B90" s="184"/>
      <c r="C90" s="184"/>
      <c r="D90" s="213">
        <v>3</v>
      </c>
      <c r="E90" s="214" t="s">
        <v>55</v>
      </c>
      <c r="F90" s="215"/>
      <c r="G90" s="216"/>
      <c r="H90" s="194"/>
      <c r="I90" s="195"/>
      <c r="J90" s="217">
        <f ca="1">IFERROR(__xludf.DUMMYFUNCTION("IMPORTRANGE(""https://docs.google.com/spreadsheets/d/1IYY_tgx_IHuhSq3AJ5eI5OnqOPBNLWSHKh2a30DoXe8/edit?usp=sharing"",""ภูเก็ต!J30"")"),0)</f>
        <v>0</v>
      </c>
      <c r="K90" s="169"/>
      <c r="L90" s="189"/>
      <c r="M90" s="189"/>
      <c r="N90" s="189"/>
      <c r="O90" s="189"/>
      <c r="P90" s="189"/>
    </row>
    <row r="91" spans="1:16" ht="21.75" customHeight="1" x14ac:dyDescent="0.35">
      <c r="A91" s="218" t="s">
        <v>56</v>
      </c>
      <c r="B91" s="219"/>
      <c r="C91" s="220"/>
      <c r="D91" s="219"/>
      <c r="E91" s="221"/>
      <c r="F91" s="221"/>
      <c r="G91" s="222"/>
      <c r="H91" s="223"/>
      <c r="I91" s="224"/>
      <c r="J91" s="224"/>
      <c r="K91" s="225"/>
      <c r="L91" s="226"/>
      <c r="M91" s="226"/>
      <c r="N91" s="226"/>
      <c r="O91" s="227"/>
      <c r="P91" s="227"/>
    </row>
    <row r="92" spans="1:16" ht="21.75" customHeight="1" x14ac:dyDescent="0.35">
      <c r="A92" s="142"/>
      <c r="B92" s="143" t="s">
        <v>57</v>
      </c>
      <c r="C92" s="143"/>
      <c r="D92" s="144"/>
      <c r="E92" s="143"/>
      <c r="F92" s="143"/>
      <c r="G92" s="228"/>
      <c r="H92" s="145" t="s">
        <v>37</v>
      </c>
      <c r="I92" s="146">
        <f ca="1">IFERROR(__xludf.DUMMYFUNCTION("IMPORTRANGE(""https://docs.google.com/spreadsheets/d/1IYY_tgx_IHuhSq3AJ5eI5OnqOPBNLWSHKh2a30DoXe8/edit?usp=sharing"",""ภูเก็ต!I32"")"),0)</f>
        <v>0</v>
      </c>
      <c r="J92" s="146">
        <f ca="1">IFERROR(__xludf.DUMMYFUNCTION("IMPORTRANGE(""https://docs.google.com/spreadsheets/d/1IYY_tgx_IHuhSq3AJ5eI5OnqOPBNLWSHKh2a30DoXe8/edit?usp=sharing"",""ภูเก็ต!J32"")"),0)</f>
        <v>0</v>
      </c>
      <c r="K92" s="147">
        <f t="shared" ref="K92:K93" ca="1" si="51">IF(I92&gt;0,J92*100/I92,0)</f>
        <v>0</v>
      </c>
      <c r="L92" s="229"/>
      <c r="M92" s="229"/>
      <c r="N92" s="230"/>
      <c r="O92" s="147"/>
      <c r="P92" s="147"/>
    </row>
    <row r="93" spans="1:16" ht="21.75" customHeight="1" x14ac:dyDescent="0.35">
      <c r="A93" s="142"/>
      <c r="B93" s="143"/>
      <c r="C93" s="143"/>
      <c r="D93" s="144" t="s">
        <v>58</v>
      </c>
      <c r="E93" s="143"/>
      <c r="F93" s="143"/>
      <c r="G93" s="228"/>
      <c r="H93" s="145" t="s">
        <v>59</v>
      </c>
      <c r="I93" s="146">
        <f ca="1">IFERROR(__xludf.DUMMYFUNCTION("IMPORTRANGE(""https://docs.google.com/spreadsheets/d/1IYY_tgx_IHuhSq3AJ5eI5OnqOPBNLWSHKh2a30DoXe8/edit?usp=sharing"",""ภูเก็ต!I33"")"),0)</f>
        <v>0</v>
      </c>
      <c r="J93" s="146">
        <f ca="1">IFERROR(__xludf.DUMMYFUNCTION("IMPORTRANGE(""https://docs.google.com/spreadsheets/d/1IYY_tgx_IHuhSq3AJ5eI5OnqOPBNLWSHKh2a30DoXe8/edit?usp=sharing"",""ภูเก็ต!J33"")"),0)</f>
        <v>0</v>
      </c>
      <c r="K93" s="147">
        <f t="shared" ca="1" si="51"/>
        <v>0</v>
      </c>
      <c r="L93" s="230"/>
      <c r="M93" s="230"/>
      <c r="N93" s="230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52" t="s">
        <v>17</v>
      </c>
      <c r="E94" s="543"/>
      <c r="F94" s="543"/>
      <c r="G94" s="543"/>
      <c r="H94" s="153" t="s">
        <v>12</v>
      </c>
      <c r="I94" s="168"/>
      <c r="J94" s="168"/>
      <c r="K94" s="169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8"/>
      <c r="J95" s="168"/>
      <c r="K95" s="169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8"/>
      <c r="J96" s="168"/>
      <c r="K96" s="169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5">
      <c r="A97" s="162"/>
      <c r="B97" s="163"/>
      <c r="C97" s="163" t="s">
        <v>16</v>
      </c>
      <c r="D97" s="164" t="s">
        <v>38</v>
      </c>
      <c r="E97" s="165"/>
      <c r="F97" s="165"/>
      <c r="G97" s="166" t="s">
        <v>39</v>
      </c>
      <c r="H97" s="167" t="s">
        <v>12</v>
      </c>
      <c r="I97" s="168" t="s">
        <v>40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 x14ac:dyDescent="0.35">
      <c r="A98" s="162"/>
      <c r="B98" s="163"/>
      <c r="C98" s="163"/>
      <c r="D98" s="172"/>
      <c r="E98" s="165"/>
      <c r="F98" s="165" t="s">
        <v>40</v>
      </c>
      <c r="G98" s="166" t="s">
        <v>41</v>
      </c>
      <c r="H98" s="167" t="s">
        <v>12</v>
      </c>
      <c r="I98" s="168"/>
      <c r="J98" s="168"/>
      <c r="K98" s="169"/>
      <c r="L98" s="173">
        <f ca="1">L99+L100</f>
        <v>0</v>
      </c>
      <c r="M98" s="174">
        <f ca="1">IFERROR(__xludf.DUMMYFUNCTION("IMPORTRANGE(""https://docs.google.com/spreadsheets/d/1Yj_ptqi66GCucihVvJfMjLAmec39IyEx_6qawtMGysU/edit?usp=sharing"",""สบก!AR89"")"),0)</f>
        <v>0</v>
      </c>
      <c r="N98" s="175">
        <f ca="1">IFERROR(__xludf.DUMMYFUNCTION("IMPORTRANGE(""https://docs.google.com/spreadsheets/d/1Yj_ptqi66GCucihVvJfMjLAmec39IyEx_6qawtMGysU/edit?usp=sharing"",""สบก!AS89"")"),0)</f>
        <v>0</v>
      </c>
      <c r="O98" s="176">
        <f ca="1">IF(L98&gt;0,N98*100/L98,0)</f>
        <v>0</v>
      </c>
      <c r="P98" s="176">
        <f ca="1">IF(M98&gt;0,N98*100/M98,0)</f>
        <v>0</v>
      </c>
    </row>
    <row r="99" spans="1:16" ht="21.75" customHeight="1" x14ac:dyDescent="0.35">
      <c r="A99" s="162"/>
      <c r="B99" s="163"/>
      <c r="C99" s="163"/>
      <c r="D99" s="172"/>
      <c r="E99" s="165"/>
      <c r="F99" s="165"/>
      <c r="G99" s="177" t="s">
        <v>42</v>
      </c>
      <c r="H99" s="167" t="s">
        <v>12</v>
      </c>
      <c r="I99" s="168"/>
      <c r="J99" s="168"/>
      <c r="K99" s="169"/>
      <c r="L99" s="174">
        <f ca="1">IFERROR(__xludf.DUMMYFUNCTION("IMPORTRANGE(""https://docs.google.com/spreadsheets/d/1Yj_ptqi66GCucihVvJfMjLAmec39IyEx_6qawtMGysU/edit?usp=sharing"",""สบก!AN89"")"),0)</f>
        <v>0</v>
      </c>
      <c r="M99" s="173"/>
      <c r="N99" s="173"/>
      <c r="O99" s="176"/>
      <c r="P99" s="176"/>
    </row>
    <row r="100" spans="1:16" ht="21.75" customHeight="1" x14ac:dyDescent="0.35">
      <c r="A100" s="162"/>
      <c r="B100" s="163"/>
      <c r="C100" s="163"/>
      <c r="D100" s="172"/>
      <c r="E100" s="165"/>
      <c r="F100" s="165"/>
      <c r="G100" s="177" t="s">
        <v>43</v>
      </c>
      <c r="H100" s="167" t="s">
        <v>12</v>
      </c>
      <c r="I100" s="168"/>
      <c r="J100" s="195"/>
      <c r="K100" s="231"/>
      <c r="L100" s="174">
        <f ca="1">IFERROR(__xludf.DUMMYFUNCTION("IMPORTRANGE(""https://docs.google.com/spreadsheets/d/1Yj_ptqi66GCucihVvJfMjLAmec39IyEx_6qawtMGysU/edit?usp=sharing"",""สบก!AO89"")"),0)</f>
        <v>0</v>
      </c>
      <c r="M100" s="173"/>
      <c r="N100" s="173"/>
      <c r="O100" s="176"/>
      <c r="P100" s="176"/>
    </row>
    <row r="101" spans="1:16" ht="21.75" customHeight="1" x14ac:dyDescent="0.45">
      <c r="A101" s="178"/>
      <c r="B101" s="81"/>
      <c r="C101" s="82" t="s">
        <v>16</v>
      </c>
      <c r="D101" s="549" t="s">
        <v>23</v>
      </c>
      <c r="E101" s="545"/>
      <c r="F101" s="89"/>
      <c r="G101" s="83" t="s">
        <v>18</v>
      </c>
      <c r="H101" s="179" t="s">
        <v>12</v>
      </c>
      <c r="I101" s="195"/>
      <c r="J101" s="195"/>
      <c r="K101" s="231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80"/>
      <c r="B102" s="95"/>
      <c r="C102" s="95"/>
      <c r="D102" s="181"/>
      <c r="E102" s="96"/>
      <c r="F102" s="96"/>
      <c r="G102" s="97" t="s">
        <v>19</v>
      </c>
      <c r="H102" s="182" t="s">
        <v>12</v>
      </c>
      <c r="I102" s="195"/>
      <c r="J102" s="195"/>
      <c r="K102" s="231"/>
      <c r="L102" s="91">
        <f ca="1">IFERROR(__xludf.DUMMYFUNCTION("IMPORTRANGE(""https://docs.google.com/spreadsheets/d/1Yj_ptqi66GCucihVvJfMjLAmec39IyEx_6qawtMGysU/edit?usp=sharing"",""สบก!AP89"")"),0)</f>
        <v>0</v>
      </c>
      <c r="M102" s="101"/>
      <c r="N102" s="91">
        <f ca="1">IFERROR(__xludf.DUMMYFUNCTION("IMPORTRANGE(""https://docs.google.com/spreadsheets/d/1Yj_ptqi66GCucihVvJfMjLAmec39IyEx_6qawtMGysU/edit?usp=sharing"",""สบก!AT89"")"),0)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3"/>
      <c r="B103" s="184"/>
      <c r="C103" s="163" t="s">
        <v>16</v>
      </c>
      <c r="D103" s="185" t="s">
        <v>44</v>
      </c>
      <c r="E103" s="186"/>
      <c r="F103" s="186"/>
      <c r="G103" s="187"/>
      <c r="H103" s="188"/>
      <c r="I103" s="168"/>
      <c r="J103" s="195"/>
      <c r="K103" s="231"/>
      <c r="L103" s="176"/>
      <c r="M103" s="176"/>
      <c r="N103" s="176"/>
      <c r="O103" s="189"/>
      <c r="P103" s="189"/>
    </row>
    <row r="104" spans="1:16" ht="21.75" customHeight="1" x14ac:dyDescent="0.35">
      <c r="A104" s="183"/>
      <c r="B104" s="184"/>
      <c r="C104" s="184"/>
      <c r="D104" s="190">
        <v>1</v>
      </c>
      <c r="E104" s="191" t="s">
        <v>45</v>
      </c>
      <c r="F104" s="192"/>
      <c r="G104" s="193"/>
      <c r="H104" s="194"/>
      <c r="I104" s="195"/>
      <c r="J104" s="195">
        <f ca="1">IFERROR(__xludf.DUMMYFUNCTION("IMPORTRANGE(""https://docs.google.com/spreadsheets/d/1IYY_tgx_IHuhSq3AJ5eI5OnqOPBNLWSHKh2a30DoXe8/edit?usp=sharing"",""ภูเก็ต!J39"")"),0)</f>
        <v>0</v>
      </c>
      <c r="K104" s="231"/>
      <c r="L104" s="176"/>
      <c r="M104" s="176"/>
      <c r="N104" s="176"/>
      <c r="O104" s="189"/>
      <c r="P104" s="189"/>
    </row>
    <row r="105" spans="1:16" ht="21.75" customHeight="1" x14ac:dyDescent="0.35">
      <c r="A105" s="183"/>
      <c r="B105" s="184"/>
      <c r="C105" s="184"/>
      <c r="D105" s="197">
        <v>2</v>
      </c>
      <c r="E105" s="198" t="s">
        <v>46</v>
      </c>
      <c r="F105" s="199"/>
      <c r="G105" s="200"/>
      <c r="H105" s="194"/>
      <c r="I105" s="195"/>
      <c r="J105" s="195">
        <f ca="1">IFERROR(__xludf.DUMMYFUNCTION("IMPORTRANGE(""https://docs.google.com/spreadsheets/d/1IYY_tgx_IHuhSq3AJ5eI5OnqOPBNLWSHKh2a30DoXe8/edit?usp=sharing"",""ภูเก็ต!J40"")"),0)</f>
        <v>0</v>
      </c>
      <c r="K105" s="231"/>
      <c r="L105" s="176" t="s">
        <v>40</v>
      </c>
      <c r="M105" s="176"/>
      <c r="N105" s="176" t="s">
        <v>40</v>
      </c>
      <c r="O105" s="189"/>
      <c r="P105" s="189"/>
    </row>
    <row r="106" spans="1:16" ht="21.75" customHeight="1" x14ac:dyDescent="0.35">
      <c r="A106" s="183"/>
      <c r="B106" s="184"/>
      <c r="C106" s="184"/>
      <c r="D106" s="201"/>
      <c r="E106" s="202" t="s">
        <v>47</v>
      </c>
      <c r="F106" s="203"/>
      <c r="G106" s="204"/>
      <c r="H106" s="194"/>
      <c r="I106" s="195"/>
      <c r="J106" s="195">
        <f ca="1">IFERROR(__xludf.DUMMYFUNCTION("IMPORTRANGE(""https://docs.google.com/spreadsheets/d/1IYY_tgx_IHuhSq3AJ5eI5OnqOPBNLWSHKh2a30DoXe8/edit?usp=sharing"",""ภูเก็ต!J41"")"),0)</f>
        <v>0</v>
      </c>
      <c r="K106" s="231"/>
      <c r="L106" s="176"/>
      <c r="M106" s="176"/>
      <c r="N106" s="176"/>
      <c r="O106" s="189"/>
      <c r="P106" s="189"/>
    </row>
    <row r="107" spans="1:16" ht="21.75" customHeight="1" x14ac:dyDescent="0.35">
      <c r="A107" s="183"/>
      <c r="B107" s="184"/>
      <c r="C107" s="184"/>
      <c r="D107" s="201"/>
      <c r="E107" s="202" t="s">
        <v>48</v>
      </c>
      <c r="F107" s="203"/>
      <c r="G107" s="204"/>
      <c r="H107" s="194"/>
      <c r="I107" s="195"/>
      <c r="J107" s="195">
        <f ca="1">IFERROR(__xludf.DUMMYFUNCTION("IMPORTRANGE(""https://docs.google.com/spreadsheets/d/1IYY_tgx_IHuhSq3AJ5eI5OnqOPBNLWSHKh2a30DoXe8/edit?usp=sharing"",""ภูเก็ต!J42"")"),0)</f>
        <v>0</v>
      </c>
      <c r="K107" s="231"/>
      <c r="L107" s="176"/>
      <c r="M107" s="176"/>
      <c r="N107" s="176"/>
      <c r="O107" s="189"/>
      <c r="P107" s="189"/>
    </row>
    <row r="108" spans="1:16" ht="21.75" customHeight="1" x14ac:dyDescent="0.35">
      <c r="A108" s="183"/>
      <c r="B108" s="184"/>
      <c r="C108" s="184"/>
      <c r="D108" s="201"/>
      <c r="E108" s="203"/>
      <c r="F108" s="203" t="s">
        <v>60</v>
      </c>
      <c r="G108" s="203"/>
      <c r="H108" s="188" t="s">
        <v>61</v>
      </c>
      <c r="I108" s="210">
        <f ca="1">IFERROR(__xludf.DUMMYFUNCTION("IMPORTRANGE(""https://docs.google.com/spreadsheets/d/1IYY_tgx_IHuhSq3AJ5eI5OnqOPBNLWSHKh2a30DoXe8/edit?usp=sharing"",""ภูเก็ต!I43"")"),0)</f>
        <v>0</v>
      </c>
      <c r="J108" s="211">
        <f ca="1">IFERROR(__xludf.DUMMYFUNCTION("IMPORTRANGE(""https://docs.google.com/spreadsheets/d/1IYY_tgx_IHuhSq3AJ5eI5OnqOPBNLWSHKh2a30DoXe8/edit?usp=sharing"",""ภูเก็ต!J43"")"),0)</f>
        <v>0</v>
      </c>
      <c r="K108" s="231">
        <f t="shared" ref="K108:K113" ca="1" si="57">IF(I108&gt;0,J108*100/I108,0)</f>
        <v>0</v>
      </c>
      <c r="L108" s="176"/>
      <c r="M108" s="176"/>
      <c r="N108" s="176"/>
      <c r="O108" s="189"/>
      <c r="P108" s="189"/>
    </row>
    <row r="109" spans="1:16" ht="21.75" customHeight="1" x14ac:dyDescent="0.35">
      <c r="A109" s="183"/>
      <c r="B109" s="184"/>
      <c r="C109" s="184"/>
      <c r="D109" s="201"/>
      <c r="E109" s="206"/>
      <c r="F109" s="202" t="s">
        <v>62</v>
      </c>
      <c r="G109" s="203"/>
      <c r="H109" s="188" t="s">
        <v>37</v>
      </c>
      <c r="I109" s="210">
        <f ca="1">IFERROR(__xludf.DUMMYFUNCTION("IMPORTRANGE(""https://docs.google.com/spreadsheets/d/1IYY_tgx_IHuhSq3AJ5eI5OnqOPBNLWSHKh2a30DoXe8/edit?usp=sharing"",""ภูเก็ต!I44"")"),0)</f>
        <v>0</v>
      </c>
      <c r="J109" s="211">
        <f ca="1">IFERROR(__xludf.DUMMYFUNCTION("IMPORTRANGE(""https://docs.google.com/spreadsheets/d/1IYY_tgx_IHuhSq3AJ5eI5OnqOPBNLWSHKh2a30DoXe8/edit?usp=sharing"",""ภูเก็ต!J44"")"),0)</f>
        <v>0</v>
      </c>
      <c r="K109" s="231">
        <f t="shared" ca="1" si="57"/>
        <v>0</v>
      </c>
      <c r="L109" s="176"/>
      <c r="M109" s="176"/>
      <c r="N109" s="176"/>
      <c r="O109" s="189"/>
      <c r="P109" s="189"/>
    </row>
    <row r="110" spans="1:16" ht="21.75" customHeight="1" x14ac:dyDescent="0.35">
      <c r="A110" s="183"/>
      <c r="B110" s="184"/>
      <c r="C110" s="184"/>
      <c r="D110" s="201"/>
      <c r="E110" s="206"/>
      <c r="F110" s="203"/>
      <c r="G110" s="232" t="s">
        <v>63</v>
      </c>
      <c r="H110" s="188" t="s">
        <v>37</v>
      </c>
      <c r="I110" s="210">
        <f ca="1">IFERROR(__xludf.DUMMYFUNCTION("IMPORTRANGE(""https://docs.google.com/spreadsheets/d/1IYY_tgx_IHuhSq3AJ5eI5OnqOPBNLWSHKh2a30DoXe8/edit?usp=sharing"",""ภูเก็ต!I45"")"),0)</f>
        <v>0</v>
      </c>
      <c r="J110" s="211">
        <f ca="1">IFERROR(__xludf.DUMMYFUNCTION("IMPORTRANGE(""https://docs.google.com/spreadsheets/d/1IYY_tgx_IHuhSq3AJ5eI5OnqOPBNLWSHKh2a30DoXe8/edit?usp=sharing"",""ภูเก็ต!J45"")"),0)</f>
        <v>0</v>
      </c>
      <c r="K110" s="231">
        <f t="shared" ca="1" si="57"/>
        <v>0</v>
      </c>
      <c r="L110" s="176"/>
      <c r="M110" s="176"/>
      <c r="N110" s="176"/>
      <c r="O110" s="189"/>
      <c r="P110" s="189"/>
    </row>
    <row r="111" spans="1:16" ht="21.75" customHeight="1" x14ac:dyDescent="0.35">
      <c r="A111" s="183"/>
      <c r="B111" s="184"/>
      <c r="C111" s="184"/>
      <c r="D111" s="201"/>
      <c r="E111" s="206"/>
      <c r="F111" s="203"/>
      <c r="G111" s="232" t="s">
        <v>64</v>
      </c>
      <c r="H111" s="188" t="s">
        <v>37</v>
      </c>
      <c r="I111" s="210">
        <f ca="1">IFERROR(__xludf.DUMMYFUNCTION("IMPORTRANGE(""https://docs.google.com/spreadsheets/d/1IYY_tgx_IHuhSq3AJ5eI5OnqOPBNLWSHKh2a30DoXe8/edit?usp=sharing"",""ภูเก็ต!I46"")"),0)</f>
        <v>0</v>
      </c>
      <c r="J111" s="211">
        <f ca="1">IFERROR(__xludf.DUMMYFUNCTION("IMPORTRANGE(""https://docs.google.com/spreadsheets/d/1IYY_tgx_IHuhSq3AJ5eI5OnqOPBNLWSHKh2a30DoXe8/edit?usp=sharing"",""ภูเก็ต!J46"")"),0)</f>
        <v>0</v>
      </c>
      <c r="K111" s="231">
        <f t="shared" ca="1" si="57"/>
        <v>0</v>
      </c>
      <c r="L111" s="176"/>
      <c r="M111" s="176"/>
      <c r="N111" s="176"/>
      <c r="O111" s="189"/>
      <c r="P111" s="189"/>
    </row>
    <row r="112" spans="1:16" ht="21.75" customHeight="1" x14ac:dyDescent="0.35">
      <c r="A112" s="183"/>
      <c r="B112" s="184"/>
      <c r="C112" s="184"/>
      <c r="D112" s="201"/>
      <c r="E112" s="206"/>
      <c r="F112" s="203"/>
      <c r="G112" s="233" t="s">
        <v>65</v>
      </c>
      <c r="H112" s="188" t="s">
        <v>37</v>
      </c>
      <c r="I112" s="210">
        <f ca="1">IFERROR(__xludf.DUMMYFUNCTION("IMPORTRANGE(""https://docs.google.com/spreadsheets/d/1IYY_tgx_IHuhSq3AJ5eI5OnqOPBNLWSHKh2a30DoXe8/edit?usp=sharing"",""ภูเก็ต!I47"")"),0)</f>
        <v>0</v>
      </c>
      <c r="J112" s="211">
        <f ca="1">IFERROR(__xludf.DUMMYFUNCTION("IMPORTRANGE(""https://docs.google.com/spreadsheets/d/1IYY_tgx_IHuhSq3AJ5eI5OnqOPBNLWSHKh2a30DoXe8/edit?usp=sharing"",""ภูเก็ต!J47"")"),0)</f>
        <v>0</v>
      </c>
      <c r="K112" s="231">
        <f t="shared" ca="1" si="57"/>
        <v>0</v>
      </c>
      <c r="L112" s="176"/>
      <c r="M112" s="176"/>
      <c r="N112" s="176"/>
      <c r="O112" s="189"/>
      <c r="P112" s="189"/>
    </row>
    <row r="113" spans="1:16" ht="21.75" customHeight="1" x14ac:dyDescent="0.35">
      <c r="A113" s="183"/>
      <c r="B113" s="184"/>
      <c r="C113" s="184"/>
      <c r="D113" s="201"/>
      <c r="E113" s="206"/>
      <c r="F113" s="203" t="s">
        <v>66</v>
      </c>
      <c r="G113" s="203"/>
      <c r="H113" s="188" t="s">
        <v>59</v>
      </c>
      <c r="I113" s="210">
        <f ca="1">IFERROR(__xludf.DUMMYFUNCTION("IMPORTRANGE(""https://docs.google.com/spreadsheets/d/1IYY_tgx_IHuhSq3AJ5eI5OnqOPBNLWSHKh2a30DoXe8/edit?usp=sharing"",""ภูเก็ต!I48"")"),0)</f>
        <v>0</v>
      </c>
      <c r="J113" s="211">
        <f ca="1">IFERROR(__xludf.DUMMYFUNCTION("IMPORTRANGE(""https://docs.google.com/spreadsheets/d/1IYY_tgx_IHuhSq3AJ5eI5OnqOPBNLWSHKh2a30DoXe8/edit?usp=sharing"",""ภูเก็ต!J48"")"),0)</f>
        <v>0</v>
      </c>
      <c r="K113" s="231">
        <f t="shared" ca="1" si="57"/>
        <v>0</v>
      </c>
      <c r="L113" s="176"/>
      <c r="M113" s="176"/>
      <c r="N113" s="176"/>
      <c r="O113" s="189"/>
      <c r="P113" s="189"/>
    </row>
    <row r="114" spans="1:16" ht="21.75" customHeight="1" x14ac:dyDescent="0.35">
      <c r="A114" s="183"/>
      <c r="B114" s="184"/>
      <c r="C114" s="184"/>
      <c r="D114" s="201"/>
      <c r="E114" s="202" t="s">
        <v>54</v>
      </c>
      <c r="F114" s="203"/>
      <c r="G114" s="204"/>
      <c r="H114" s="194"/>
      <c r="I114" s="195"/>
      <c r="J114" s="195">
        <f ca="1">IFERROR(__xludf.DUMMYFUNCTION("IMPORTRANGE(""https://docs.google.com/spreadsheets/d/1IYY_tgx_IHuhSq3AJ5eI5OnqOPBNLWSHKh2a30DoXe8/edit?usp=sharing"",""ภูเก็ต!J49"")"),0)</f>
        <v>0</v>
      </c>
      <c r="K114" s="231"/>
      <c r="L114" s="176"/>
      <c r="M114" s="176"/>
      <c r="N114" s="176"/>
      <c r="O114" s="189"/>
      <c r="P114" s="189"/>
    </row>
    <row r="115" spans="1:16" ht="21.75" customHeight="1" x14ac:dyDescent="0.35">
      <c r="A115" s="183"/>
      <c r="B115" s="184"/>
      <c r="C115" s="184"/>
      <c r="D115" s="213">
        <v>3</v>
      </c>
      <c r="E115" s="214" t="s">
        <v>55</v>
      </c>
      <c r="F115" s="215"/>
      <c r="G115" s="216"/>
      <c r="H115" s="194"/>
      <c r="I115" s="195"/>
      <c r="J115" s="234">
        <f ca="1">IFERROR(__xludf.DUMMYFUNCTION("IMPORTRANGE(""https://docs.google.com/spreadsheets/d/1IYY_tgx_IHuhSq3AJ5eI5OnqOPBNLWSHKh2a30DoXe8/edit?usp=sharing"",""ภูเก็ต!J50"")"),0)</f>
        <v>0</v>
      </c>
      <c r="K115" s="231"/>
      <c r="L115" s="176"/>
      <c r="M115" s="176"/>
      <c r="N115" s="176"/>
      <c r="O115" s="189"/>
      <c r="P115" s="189"/>
    </row>
    <row r="116" spans="1:16" ht="21.75" customHeight="1" x14ac:dyDescent="0.35">
      <c r="A116" s="218" t="s">
        <v>67</v>
      </c>
      <c r="B116" s="235"/>
      <c r="C116" s="236"/>
      <c r="D116" s="235"/>
      <c r="E116" s="237"/>
      <c r="F116" s="237"/>
      <c r="G116" s="238"/>
      <c r="H116" s="223"/>
      <c r="I116" s="224"/>
      <c r="J116" s="224"/>
      <c r="K116" s="225"/>
      <c r="L116" s="226"/>
      <c r="M116" s="226"/>
      <c r="N116" s="226"/>
      <c r="O116" s="227"/>
      <c r="P116" s="227"/>
    </row>
    <row r="117" spans="1:16" ht="21.75" customHeight="1" x14ac:dyDescent="0.35">
      <c r="A117" s="142"/>
      <c r="B117" s="143" t="s">
        <v>68</v>
      </c>
      <c r="C117" s="239"/>
      <c r="D117" s="144"/>
      <c r="E117" s="143"/>
      <c r="F117" s="143"/>
      <c r="G117" s="228"/>
      <c r="H117" s="145" t="s">
        <v>37</v>
      </c>
      <c r="I117" s="146">
        <f ca="1">IFERROR(__xludf.DUMMYFUNCTION("IMPORTRANGE(""https://docs.google.com/spreadsheets/d/1IYY_tgx_IHuhSq3AJ5eI5OnqOPBNLWSHKh2a30DoXe8/edit?usp=sharing"",""ภูเก็ต!I52"")"),0)</f>
        <v>0</v>
      </c>
      <c r="J117" s="146">
        <f ca="1">IFERROR(__xludf.DUMMYFUNCTION("IMPORTRANGE(""https://docs.google.com/spreadsheets/d/1IYY_tgx_IHuhSq3AJ5eI5OnqOPBNLWSHKh2a30DoXe8/edit?usp=sharing"",""ภูเก็ต!J52"")"),0)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52" t="s">
        <v>17</v>
      </c>
      <c r="E118" s="543"/>
      <c r="F118" s="543"/>
      <c r="G118" s="543"/>
      <c r="H118" s="153" t="s">
        <v>12</v>
      </c>
      <c r="I118" s="168"/>
      <c r="J118" s="168"/>
      <c r="K118" s="169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8"/>
      <c r="J119" s="168"/>
      <c r="K119" s="169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8"/>
      <c r="J120" s="168"/>
      <c r="K120" s="169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5">
      <c r="A121" s="162"/>
      <c r="B121" s="163"/>
      <c r="C121" s="163" t="s">
        <v>16</v>
      </c>
      <c r="D121" s="164" t="s">
        <v>38</v>
      </c>
      <c r="E121" s="165"/>
      <c r="F121" s="165"/>
      <c r="G121" s="166" t="s">
        <v>39</v>
      </c>
      <c r="H121" s="167" t="s">
        <v>12</v>
      </c>
      <c r="I121" s="168" t="s">
        <v>40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 x14ac:dyDescent="0.35">
      <c r="A122" s="162"/>
      <c r="B122" s="163"/>
      <c r="C122" s="163"/>
      <c r="D122" s="172"/>
      <c r="E122" s="165"/>
      <c r="F122" s="165" t="s">
        <v>40</v>
      </c>
      <c r="G122" s="166" t="s">
        <v>41</v>
      </c>
      <c r="H122" s="167" t="s">
        <v>12</v>
      </c>
      <c r="I122" s="168"/>
      <c r="J122" s="168"/>
      <c r="K122" s="169"/>
      <c r="L122" s="173">
        <f ca="1">L123+L124</f>
        <v>0</v>
      </c>
      <c r="M122" s="174">
        <f ca="1">IFERROR(__xludf.DUMMYFUNCTION("IMPORTRANGE(""https://docs.google.com/spreadsheets/d/1Yj_ptqi66GCucihVvJfMjLAmec39IyEx_6qawtMGysU/edit?usp=sharing"",""สบก!BA89"")"),0)</f>
        <v>0</v>
      </c>
      <c r="N122" s="175">
        <f ca="1">IFERROR(__xludf.DUMMYFUNCTION("IMPORTRANGE(""https://docs.google.com/spreadsheets/d/1Yj_ptqi66GCucihVvJfMjLAmec39IyEx_6qawtMGysU/edit?usp=sharing"",""สบก!BB89"")"),0)</f>
        <v>0</v>
      </c>
      <c r="O122" s="176">
        <f ca="1">IF(L122&gt;0,N122*100/L122,0)</f>
        <v>0</v>
      </c>
      <c r="P122" s="176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2"/>
      <c r="E123" s="165"/>
      <c r="F123" s="165"/>
      <c r="G123" s="177" t="s">
        <v>42</v>
      </c>
      <c r="H123" s="167" t="s">
        <v>12</v>
      </c>
      <c r="I123" s="168"/>
      <c r="J123" s="168"/>
      <c r="K123" s="169"/>
      <c r="L123" s="174">
        <f ca="1">IFERROR(__xludf.DUMMYFUNCTION("IMPORTRANGE(""https://docs.google.com/spreadsheets/d/1Yj_ptqi66GCucihVvJfMjLAmec39IyEx_6qawtMGysU/edit?usp=sharing"",""สบก!AW89"")"),0)</f>
        <v>0</v>
      </c>
      <c r="M123" s="173"/>
      <c r="N123" s="173"/>
      <c r="O123" s="176"/>
      <c r="P123" s="176"/>
    </row>
    <row r="124" spans="1:16" ht="21.75" customHeight="1" x14ac:dyDescent="0.35">
      <c r="A124" s="162"/>
      <c r="B124" s="163"/>
      <c r="C124" s="163"/>
      <c r="D124" s="172"/>
      <c r="E124" s="165"/>
      <c r="F124" s="165"/>
      <c r="G124" s="177" t="s">
        <v>43</v>
      </c>
      <c r="H124" s="167" t="s">
        <v>12</v>
      </c>
      <c r="I124" s="168"/>
      <c r="J124" s="195"/>
      <c r="K124" s="231"/>
      <c r="L124" s="174">
        <f ca="1">IFERROR(__xludf.DUMMYFUNCTION("IMPORTRANGE(""https://docs.google.com/spreadsheets/d/1Yj_ptqi66GCucihVvJfMjLAmec39IyEx_6qawtMGysU/edit?usp=sharing"",""สบก!AX89"")"),0)</f>
        <v>0</v>
      </c>
      <c r="M124" s="173"/>
      <c r="N124" s="173"/>
      <c r="O124" s="176"/>
      <c r="P124" s="176"/>
    </row>
    <row r="125" spans="1:16" ht="21.75" customHeight="1" x14ac:dyDescent="0.45">
      <c r="A125" s="178"/>
      <c r="B125" s="81"/>
      <c r="C125" s="82" t="s">
        <v>16</v>
      </c>
      <c r="D125" s="549" t="s">
        <v>23</v>
      </c>
      <c r="E125" s="545"/>
      <c r="F125" s="89"/>
      <c r="G125" s="83" t="s">
        <v>18</v>
      </c>
      <c r="H125" s="179" t="s">
        <v>12</v>
      </c>
      <c r="I125" s="195"/>
      <c r="J125" s="195"/>
      <c r="K125" s="231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80"/>
      <c r="B126" s="95"/>
      <c r="C126" s="95"/>
      <c r="D126" s="181"/>
      <c r="E126" s="96"/>
      <c r="F126" s="96"/>
      <c r="G126" s="97" t="s">
        <v>19</v>
      </c>
      <c r="H126" s="182" t="s">
        <v>12</v>
      </c>
      <c r="I126" s="195"/>
      <c r="J126" s="195"/>
      <c r="K126" s="231"/>
      <c r="L126" s="91">
        <f ca="1">IFERROR(__xludf.DUMMYFUNCTION("IMPORTRANGE(""https://docs.google.com/spreadsheets/d/1Yj_ptqi66GCucihVvJfMjLAmec39IyEx_6qawtMGysU/edit?usp=sharing"",""สบก!AY89"")"),0)</f>
        <v>0</v>
      </c>
      <c r="M126" s="101"/>
      <c r="N126" s="91">
        <f ca="1">IFERROR(__xludf.DUMMYFUNCTION("IMPORTRANGE(""https://docs.google.com/spreadsheets/d/1Yj_ptqi66GCucihVvJfMjLAmec39IyEx_6qawtMGysU/edit?usp=sharing"",""สบก!BC89"")"),0)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3"/>
      <c r="B127" s="184"/>
      <c r="C127" s="163" t="s">
        <v>16</v>
      </c>
      <c r="D127" s="240" t="s">
        <v>257</v>
      </c>
      <c r="E127" s="186"/>
      <c r="F127" s="186"/>
      <c r="G127" s="187"/>
      <c r="H127" s="188"/>
      <c r="I127" s="168"/>
      <c r="J127" s="195"/>
      <c r="K127" s="231"/>
      <c r="L127" s="176"/>
      <c r="M127" s="176"/>
      <c r="N127" s="176"/>
      <c r="O127" s="189"/>
      <c r="P127" s="189"/>
    </row>
    <row r="128" spans="1:16" ht="21.75" customHeight="1" x14ac:dyDescent="0.35">
      <c r="A128" s="183"/>
      <c r="B128" s="184"/>
      <c r="C128" s="184"/>
      <c r="D128" s="190">
        <v>1</v>
      </c>
      <c r="E128" s="191" t="s">
        <v>45</v>
      </c>
      <c r="F128" s="192"/>
      <c r="G128" s="193"/>
      <c r="H128" s="194"/>
      <c r="I128" s="195"/>
      <c r="J128" s="211">
        <f ca="1">IFERROR(__xludf.DUMMYFUNCTION("IMPORTRANGE(""https://docs.google.com/spreadsheets/d/1IYY_tgx_IHuhSq3AJ5eI5OnqOPBNLWSHKh2a30DoXe8/edit?usp=sharing"",""ภูเก็ต!J58"")"),0)</f>
        <v>0</v>
      </c>
      <c r="K128" s="231"/>
      <c r="L128" s="176"/>
      <c r="M128" s="176"/>
      <c r="N128" s="176"/>
      <c r="O128" s="189"/>
      <c r="P128" s="189"/>
    </row>
    <row r="129" spans="1:16" ht="21.75" customHeight="1" x14ac:dyDescent="0.35">
      <c r="A129" s="183"/>
      <c r="B129" s="184"/>
      <c r="C129" s="184"/>
      <c r="D129" s="197">
        <v>2</v>
      </c>
      <c r="E129" s="198" t="s">
        <v>46</v>
      </c>
      <c r="F129" s="199"/>
      <c r="G129" s="200"/>
      <c r="H129" s="194"/>
      <c r="I129" s="195"/>
      <c r="J129" s="195">
        <f ca="1">IFERROR(__xludf.DUMMYFUNCTION("IMPORTRANGE(""https://docs.google.com/spreadsheets/d/1IYY_tgx_IHuhSq3AJ5eI5OnqOPBNLWSHKh2a30DoXe8/edit?usp=sharing"",""ภูเก็ต!J59"")"),0)</f>
        <v>0</v>
      </c>
      <c r="K129" s="231"/>
      <c r="L129" s="176" t="s">
        <v>40</v>
      </c>
      <c r="M129" s="176"/>
      <c r="N129" s="176" t="s">
        <v>40</v>
      </c>
      <c r="O129" s="189"/>
      <c r="P129" s="189"/>
    </row>
    <row r="130" spans="1:16" ht="21.75" customHeight="1" x14ac:dyDescent="0.35">
      <c r="A130" s="183"/>
      <c r="B130" s="184"/>
      <c r="C130" s="184"/>
      <c r="D130" s="201"/>
      <c r="E130" s="202" t="s">
        <v>47</v>
      </c>
      <c r="F130" s="203"/>
      <c r="G130" s="204"/>
      <c r="H130" s="194"/>
      <c r="I130" s="195"/>
      <c r="J130" s="195">
        <f ca="1">IFERROR(__xludf.DUMMYFUNCTION("IMPORTRANGE(""https://docs.google.com/spreadsheets/d/1IYY_tgx_IHuhSq3AJ5eI5OnqOPBNLWSHKh2a30DoXe8/edit?usp=sharing"",""ภูเก็ต!J60"")"),0)</f>
        <v>0</v>
      </c>
      <c r="K130" s="231"/>
      <c r="L130" s="176"/>
      <c r="M130" s="176"/>
      <c r="N130" s="176"/>
      <c r="O130" s="189"/>
      <c r="P130" s="189"/>
    </row>
    <row r="131" spans="1:16" ht="21.75" customHeight="1" x14ac:dyDescent="0.35">
      <c r="A131" s="183"/>
      <c r="B131" s="184"/>
      <c r="C131" s="184"/>
      <c r="D131" s="201"/>
      <c r="E131" s="202" t="s">
        <v>48</v>
      </c>
      <c r="F131" s="203"/>
      <c r="G131" s="204"/>
      <c r="H131" s="194"/>
      <c r="I131" s="195"/>
      <c r="J131" s="195">
        <f ca="1">IFERROR(__xludf.DUMMYFUNCTION("IMPORTRANGE(""https://docs.google.com/spreadsheets/d/1IYY_tgx_IHuhSq3AJ5eI5OnqOPBNLWSHKh2a30DoXe8/edit?usp=sharing"",""ภูเก็ต!J61"")"),0)</f>
        <v>0</v>
      </c>
      <c r="K131" s="231"/>
      <c r="L131" s="176"/>
      <c r="M131" s="176"/>
      <c r="N131" s="176"/>
      <c r="O131" s="189"/>
      <c r="P131" s="189"/>
    </row>
    <row r="132" spans="1:16" ht="21.75" customHeight="1" x14ac:dyDescent="0.35">
      <c r="A132" s="183"/>
      <c r="B132" s="184"/>
      <c r="C132" s="184"/>
      <c r="D132" s="201"/>
      <c r="E132" s="206"/>
      <c r="F132" s="202" t="s">
        <v>70</v>
      </c>
      <c r="G132" s="204"/>
      <c r="H132" s="188" t="s">
        <v>37</v>
      </c>
      <c r="I132" s="195">
        <f ca="1">IFERROR(__xludf.DUMMYFUNCTION("IMPORTRANGE(""https://docs.google.com/spreadsheets/d/1IYY_tgx_IHuhSq3AJ5eI5OnqOPBNLWSHKh2a30DoXe8/edit?usp=sharing"",""ภูเก็ต!I62"")"),0)</f>
        <v>0</v>
      </c>
      <c r="J132" s="211">
        <f ca="1">IFERROR(__xludf.DUMMYFUNCTION("IMPORTRANGE(""https://docs.google.com/spreadsheets/d/1IYY_tgx_IHuhSq3AJ5eI5OnqOPBNLWSHKh2a30DoXe8/edit?usp=sharing"",""ภูเก็ต!J62"")"),0)</f>
        <v>0</v>
      </c>
      <c r="K132" s="231">
        <f t="shared" ref="K132:K133" ca="1" si="63">IF(I132&gt;0,J132*100/I132,0)</f>
        <v>0</v>
      </c>
      <c r="L132" s="176"/>
      <c r="M132" s="176"/>
      <c r="N132" s="176"/>
      <c r="O132" s="189"/>
      <c r="P132" s="189"/>
    </row>
    <row r="133" spans="1:16" ht="21.75" customHeight="1" x14ac:dyDescent="0.35">
      <c r="A133" s="183"/>
      <c r="B133" s="184"/>
      <c r="C133" s="184"/>
      <c r="D133" s="201"/>
      <c r="E133" s="206"/>
      <c r="F133" s="202" t="s">
        <v>71</v>
      </c>
      <c r="G133" s="204"/>
      <c r="H133" s="188" t="s">
        <v>37</v>
      </c>
      <c r="I133" s="195">
        <f ca="1">IFERROR(__xludf.DUMMYFUNCTION("IMPORTRANGE(""https://docs.google.com/spreadsheets/d/1IYY_tgx_IHuhSq3AJ5eI5OnqOPBNLWSHKh2a30DoXe8/edit?usp=sharing"",""ภูเก็ต!I63"")"),0)</f>
        <v>0</v>
      </c>
      <c r="J133" s="211">
        <f ca="1">IFERROR(__xludf.DUMMYFUNCTION("IMPORTRANGE(""https://docs.google.com/spreadsheets/d/1IYY_tgx_IHuhSq3AJ5eI5OnqOPBNLWSHKh2a30DoXe8/edit?usp=sharing"",""ภูเก็ต!J63"")"),0)</f>
        <v>0</v>
      </c>
      <c r="K133" s="231">
        <f t="shared" ca="1" si="63"/>
        <v>0</v>
      </c>
      <c r="L133" s="176"/>
      <c r="M133" s="176"/>
      <c r="N133" s="176"/>
      <c r="O133" s="189"/>
      <c r="P133" s="189"/>
    </row>
    <row r="134" spans="1:16" ht="21.75" customHeight="1" x14ac:dyDescent="0.35">
      <c r="A134" s="183"/>
      <c r="B134" s="184"/>
      <c r="C134" s="184"/>
      <c r="D134" s="201"/>
      <c r="E134" s="202" t="s">
        <v>54</v>
      </c>
      <c r="F134" s="203"/>
      <c r="G134" s="204"/>
      <c r="H134" s="194"/>
      <c r="I134" s="195"/>
      <c r="J134" s="195">
        <f ca="1">IFERROR(__xludf.DUMMYFUNCTION("IMPORTRANGE(""https://docs.google.com/spreadsheets/d/1IYY_tgx_IHuhSq3AJ5eI5OnqOPBNLWSHKh2a30DoXe8/edit?usp=sharing"",""ภูเก็ต!J64"")"),0)</f>
        <v>0</v>
      </c>
      <c r="K134" s="231"/>
      <c r="L134" s="176"/>
      <c r="M134" s="176"/>
      <c r="N134" s="176"/>
      <c r="O134" s="189"/>
      <c r="P134" s="189"/>
    </row>
    <row r="135" spans="1:16" ht="21.75" customHeight="1" x14ac:dyDescent="0.35">
      <c r="A135" s="241"/>
      <c r="B135" s="242"/>
      <c r="C135" s="242"/>
      <c r="D135" s="243">
        <v>3</v>
      </c>
      <c r="E135" s="244" t="s">
        <v>55</v>
      </c>
      <c r="F135" s="245"/>
      <c r="G135" s="246"/>
      <c r="H135" s="247"/>
      <c r="I135" s="248"/>
      <c r="J135" s="249">
        <f ca="1">IFERROR(__xludf.DUMMYFUNCTION("IMPORTRANGE(""https://docs.google.com/spreadsheets/d/1IYY_tgx_IHuhSq3AJ5eI5OnqOPBNLWSHKh2a30DoXe8/edit?usp=sharing"",""ภูเก็ต!J65"")"),0)</f>
        <v>0</v>
      </c>
      <c r="K135" s="250"/>
      <c r="L135" s="251"/>
      <c r="M135" s="251"/>
      <c r="N135" s="251"/>
      <c r="O135" s="252"/>
      <c r="P135" s="252"/>
    </row>
    <row r="136" spans="1:16" ht="21.75" customHeight="1" x14ac:dyDescent="0.35">
      <c r="A136" s="253" t="s">
        <v>72</v>
      </c>
      <c r="B136" s="254"/>
      <c r="C136" s="254"/>
      <c r="D136" s="254"/>
      <c r="E136" s="255"/>
      <c r="F136" s="255"/>
      <c r="G136" s="256"/>
      <c r="H136" s="257"/>
      <c r="I136" s="258"/>
      <c r="J136" s="258"/>
      <c r="K136" s="259"/>
      <c r="L136" s="260"/>
      <c r="M136" s="260"/>
      <c r="N136" s="260"/>
      <c r="O136" s="260"/>
      <c r="P136" s="260"/>
    </row>
    <row r="137" spans="1:16" ht="21.75" customHeight="1" x14ac:dyDescent="0.35">
      <c r="A137" s="261" t="s">
        <v>73</v>
      </c>
      <c r="B137" s="262"/>
      <c r="C137" s="262"/>
      <c r="D137" s="263"/>
      <c r="E137" s="263"/>
      <c r="F137" s="263"/>
      <c r="G137" s="264"/>
      <c r="H137" s="265"/>
      <c r="I137" s="266"/>
      <c r="J137" s="266"/>
      <c r="K137" s="267"/>
      <c r="L137" s="267"/>
      <c r="M137" s="267"/>
      <c r="N137" s="267"/>
      <c r="O137" s="268"/>
      <c r="P137" s="268"/>
    </row>
    <row r="138" spans="1:16" ht="21.75" customHeight="1" x14ac:dyDescent="0.35">
      <c r="A138" s="269"/>
      <c r="B138" s="270" t="s">
        <v>74</v>
      </c>
      <c r="C138" s="271"/>
      <c r="D138" s="270"/>
      <c r="E138" s="270"/>
      <c r="F138" s="270"/>
      <c r="G138" s="272"/>
      <c r="H138" s="273" t="s">
        <v>37</v>
      </c>
      <c r="I138" s="274">
        <f ca="1">IFERROR(__xludf.DUMMYFUNCTION("IMPORTRANGE(""https://docs.google.com/spreadsheets/d/1IYY_tgx_IHuhSq3AJ5eI5OnqOPBNLWSHKh2a30DoXe8/edit?usp=sharing"",""ภูเก็ต!I68"")"),0)</f>
        <v>0</v>
      </c>
      <c r="J138" s="274">
        <f ca="1">IFERROR(__xludf.DUMMYFUNCTION("IMPORTRANGE(""https://docs.google.com/spreadsheets/d/1IYY_tgx_IHuhSq3AJ5eI5OnqOPBNLWSHKh2a30DoXe8/edit?usp=sharing"",""ภูเก็ต!J68"")"),0)</f>
        <v>0</v>
      </c>
      <c r="K138" s="275">
        <f ca="1">IF(I138&gt;0,J138*100/I138,0)</f>
        <v>0</v>
      </c>
      <c r="L138" s="276"/>
      <c r="M138" s="276"/>
      <c r="N138" s="276"/>
      <c r="O138" s="275"/>
      <c r="P138" s="275"/>
    </row>
    <row r="139" spans="1:16" ht="21.75" customHeight="1" x14ac:dyDescent="0.35">
      <c r="A139" s="269"/>
      <c r="B139" s="270" t="s">
        <v>75</v>
      </c>
      <c r="C139" s="271"/>
      <c r="D139" s="270"/>
      <c r="E139" s="270"/>
      <c r="F139" s="270"/>
      <c r="G139" s="272"/>
      <c r="H139" s="273"/>
      <c r="I139" s="274"/>
      <c r="J139" s="274"/>
      <c r="K139" s="275"/>
      <c r="L139" s="276"/>
      <c r="M139" s="276"/>
      <c r="N139" s="276"/>
      <c r="O139" s="275"/>
      <c r="P139" s="275"/>
    </row>
    <row r="140" spans="1:16" ht="21.75" customHeight="1" x14ac:dyDescent="0.45">
      <c r="A140" s="150"/>
      <c r="B140" s="151"/>
      <c r="C140" s="152" t="s">
        <v>16</v>
      </c>
      <c r="D140" s="552" t="s">
        <v>17</v>
      </c>
      <c r="E140" s="543"/>
      <c r="F140" s="543"/>
      <c r="G140" s="543"/>
      <c r="H140" s="153" t="s">
        <v>12</v>
      </c>
      <c r="I140" s="168"/>
      <c r="J140" s="168"/>
      <c r="K140" s="169"/>
      <c r="L140" s="156">
        <f t="shared" ref="L140:N140" ca="1" si="64">L141+L142</f>
        <v>21500</v>
      </c>
      <c r="M140" s="156">
        <f t="shared" ca="1" si="64"/>
        <v>25750</v>
      </c>
      <c r="N140" s="156">
        <f t="shared" ca="1" si="64"/>
        <v>22767</v>
      </c>
      <c r="O140" s="155">
        <f t="shared" ref="O140:O142" ca="1" si="65">IF(L140&gt;0,N140*100/L140,0)</f>
        <v>105.89302325581396</v>
      </c>
      <c r="P140" s="155">
        <f t="shared" ref="P140:P142" ca="1" si="66">IF(M140&gt;0,N140*100/M140,0)</f>
        <v>88.415533980582524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8"/>
      <c r="J141" s="168"/>
      <c r="K141" s="169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8"/>
      <c r="J142" s="168"/>
      <c r="K142" s="169"/>
      <c r="L142" s="161">
        <f t="shared" ref="L142:N142" ca="1" si="68">L144+L148</f>
        <v>21500</v>
      </c>
      <c r="M142" s="161">
        <f t="shared" ca="1" si="68"/>
        <v>25750</v>
      </c>
      <c r="N142" s="161">
        <f t="shared" ca="1" si="68"/>
        <v>22767</v>
      </c>
      <c r="O142" s="160">
        <f t="shared" ca="1" si="65"/>
        <v>105.89302325581396</v>
      </c>
      <c r="P142" s="160">
        <f t="shared" ca="1" si="66"/>
        <v>88.415533980582524</v>
      </c>
    </row>
    <row r="143" spans="1:16" ht="21.75" customHeight="1" x14ac:dyDescent="0.35">
      <c r="A143" s="162"/>
      <c r="B143" s="163"/>
      <c r="C143" s="163" t="s">
        <v>16</v>
      </c>
      <c r="D143" s="164" t="s">
        <v>38</v>
      </c>
      <c r="E143" s="165"/>
      <c r="F143" s="165"/>
      <c r="G143" s="166" t="s">
        <v>39</v>
      </c>
      <c r="H143" s="167" t="s">
        <v>12</v>
      </c>
      <c r="I143" s="168" t="s">
        <v>40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 x14ac:dyDescent="0.35">
      <c r="A144" s="162"/>
      <c r="B144" s="163"/>
      <c r="C144" s="163"/>
      <c r="D144" s="172"/>
      <c r="E144" s="165"/>
      <c r="F144" s="165" t="s">
        <v>40</v>
      </c>
      <c r="G144" s="166" t="s">
        <v>41</v>
      </c>
      <c r="H144" s="167" t="s">
        <v>12</v>
      </c>
      <c r="I144" s="168"/>
      <c r="J144" s="168"/>
      <c r="K144" s="169"/>
      <c r="L144" s="173">
        <f ca="1">L145+L146</f>
        <v>21500</v>
      </c>
      <c r="M144" s="174">
        <f ca="1">IFERROR(__xludf.DUMMYFUNCTION("IMPORTRANGE(""https://docs.google.com/spreadsheets/d/1Yj_ptqi66GCucihVvJfMjLAmec39IyEx_6qawtMGysU/edit?usp=sharing"",""สบก!BJ89"")"),25750)</f>
        <v>25750</v>
      </c>
      <c r="N144" s="175">
        <f ca="1">IFERROR(__xludf.DUMMYFUNCTION("IMPORTRANGE(""https://docs.google.com/spreadsheets/d/1Yj_ptqi66GCucihVvJfMjLAmec39IyEx_6qawtMGysU/edit?usp=sharing"",""สบก!BK89"")"),22767)</f>
        <v>22767</v>
      </c>
      <c r="O144" s="176">
        <f ca="1">IF(L144&gt;0,N144*100/L144,0)</f>
        <v>105.89302325581396</v>
      </c>
      <c r="P144" s="176">
        <f ca="1">IF(M144&gt;0,N144*100/M144,0)</f>
        <v>88.415533980582524</v>
      </c>
    </row>
    <row r="145" spans="1:16" ht="21.75" customHeight="1" x14ac:dyDescent="0.35">
      <c r="A145" s="162"/>
      <c r="B145" s="163"/>
      <c r="C145" s="163"/>
      <c r="D145" s="172"/>
      <c r="E145" s="165"/>
      <c r="F145" s="165"/>
      <c r="G145" s="177" t="s">
        <v>42</v>
      </c>
      <c r="H145" s="167" t="s">
        <v>12</v>
      </c>
      <c r="I145" s="168"/>
      <c r="J145" s="168"/>
      <c r="K145" s="169"/>
      <c r="L145" s="174">
        <f ca="1">IFERROR(__xludf.DUMMYFUNCTION("IMPORTRANGE(""https://docs.google.com/spreadsheets/d/1Yj_ptqi66GCucihVvJfMjLAmec39IyEx_6qawtMGysU/edit?usp=sharing"",""สบก!BF89"")"),0)</f>
        <v>0</v>
      </c>
      <c r="M145" s="173"/>
      <c r="N145" s="173"/>
      <c r="O145" s="176"/>
      <c r="P145" s="176"/>
    </row>
    <row r="146" spans="1:16" ht="21.75" customHeight="1" x14ac:dyDescent="0.35">
      <c r="A146" s="162"/>
      <c r="B146" s="163"/>
      <c r="C146" s="163"/>
      <c r="D146" s="172"/>
      <c r="E146" s="165"/>
      <c r="F146" s="165"/>
      <c r="G146" s="177" t="s">
        <v>43</v>
      </c>
      <c r="H146" s="167" t="s">
        <v>12</v>
      </c>
      <c r="I146" s="168"/>
      <c r="J146" s="168"/>
      <c r="K146" s="169"/>
      <c r="L146" s="174">
        <f ca="1">IFERROR(__xludf.DUMMYFUNCTION("IMPORTRANGE(""https://docs.google.com/spreadsheets/d/1Yj_ptqi66GCucihVvJfMjLAmec39IyEx_6qawtMGysU/edit?usp=sharing"",""สบก!BG89"")"),21500)</f>
        <v>21500</v>
      </c>
      <c r="M146" s="173"/>
      <c r="N146" s="173"/>
      <c r="O146" s="176"/>
      <c r="P146" s="176"/>
    </row>
    <row r="147" spans="1:16" ht="21.75" customHeight="1" x14ac:dyDescent="0.45">
      <c r="A147" s="178"/>
      <c r="B147" s="81"/>
      <c r="C147" s="82" t="s">
        <v>16</v>
      </c>
      <c r="D147" s="549" t="s">
        <v>23</v>
      </c>
      <c r="E147" s="545"/>
      <c r="F147" s="89"/>
      <c r="G147" s="83" t="s">
        <v>18</v>
      </c>
      <c r="H147" s="179" t="s">
        <v>12</v>
      </c>
      <c r="I147" s="195"/>
      <c r="J147" s="195"/>
      <c r="K147" s="231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80"/>
      <c r="B148" s="95"/>
      <c r="C148" s="95"/>
      <c r="D148" s="181"/>
      <c r="E148" s="96"/>
      <c r="F148" s="96"/>
      <c r="G148" s="97" t="s">
        <v>19</v>
      </c>
      <c r="H148" s="182" t="s">
        <v>12</v>
      </c>
      <c r="I148" s="195"/>
      <c r="J148" s="195"/>
      <c r="K148" s="231"/>
      <c r="L148" s="91">
        <f ca="1">IFERROR(__xludf.DUMMYFUNCTION("IMPORTRANGE(""https://docs.google.com/spreadsheets/d/1Yj_ptqi66GCucihVvJfMjLAmec39IyEx_6qawtMGysU/edit?usp=sharing"",""สบก!BH89"")"),0)</f>
        <v>0</v>
      </c>
      <c r="M148" s="101"/>
      <c r="N148" s="91">
        <f ca="1">IFERROR(__xludf.DUMMYFUNCTION("IMPORTRANGE(""https://docs.google.com/spreadsheets/d/1Yj_ptqi66GCucihVvJfMjLAmec39IyEx_6qawtMGysU/edit?usp=sharing"",""สบก!BL89"")"),0)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7"/>
      <c r="B149" s="278"/>
      <c r="C149" s="279" t="s">
        <v>76</v>
      </c>
      <c r="D149" s="279"/>
      <c r="E149" s="279"/>
      <c r="F149" s="279"/>
      <c r="G149" s="280"/>
      <c r="H149" s="281" t="s">
        <v>77</v>
      </c>
      <c r="I149" s="282">
        <f ca="1">IFERROR(__xludf.DUMMYFUNCTION("IMPORTRANGE(""https://docs.google.com/spreadsheets/d/1IYY_tgx_IHuhSq3AJ5eI5OnqOPBNLWSHKh2a30DoXe8/edit?usp=sharing"",""ภูเก็ต!I74"")"),4)</f>
        <v>4</v>
      </c>
      <c r="J149" s="282">
        <f ca="1">IFERROR(__xludf.DUMMYFUNCTION("IMPORTRANGE(""https://docs.google.com/spreadsheets/d/1IYY_tgx_IHuhSq3AJ5eI5OnqOPBNLWSHKh2a30DoXe8/edit?usp=sharing"",""ภูเก็ต!J74"")"),1)</f>
        <v>1</v>
      </c>
      <c r="K149" s="283">
        <f ca="1">IF(I149&gt;0,J149*100/I149,0)</f>
        <v>25</v>
      </c>
      <c r="L149" s="284"/>
      <c r="M149" s="284"/>
      <c r="N149" s="284"/>
      <c r="O149" s="284"/>
      <c r="P149" s="284"/>
    </row>
    <row r="150" spans="1:16" ht="21.75" customHeight="1" x14ac:dyDescent="0.35">
      <c r="A150" s="162"/>
      <c r="B150" s="163"/>
      <c r="C150" s="163" t="s">
        <v>16</v>
      </c>
      <c r="D150" s="164" t="s">
        <v>38</v>
      </c>
      <c r="E150" s="165"/>
      <c r="F150" s="165"/>
      <c r="G150" s="166" t="s">
        <v>39</v>
      </c>
      <c r="H150" s="167" t="s">
        <v>12</v>
      </c>
      <c r="I150" s="168" t="s">
        <v>40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 x14ac:dyDescent="0.35">
      <c r="A151" s="162"/>
      <c r="B151" s="163"/>
      <c r="C151" s="163"/>
      <c r="D151" s="172"/>
      <c r="E151" s="165"/>
      <c r="F151" s="165" t="s">
        <v>40</v>
      </c>
      <c r="G151" s="166" t="s">
        <v>41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 x14ac:dyDescent="0.35">
      <c r="A152" s="162"/>
      <c r="B152" s="163"/>
      <c r="C152" s="163"/>
      <c r="D152" s="172"/>
      <c r="E152" s="165"/>
      <c r="F152" s="165"/>
      <c r="G152" s="177" t="s">
        <v>43</v>
      </c>
      <c r="H152" s="167" t="s">
        <v>12</v>
      </c>
      <c r="I152" s="168"/>
      <c r="J152" s="168"/>
      <c r="K152" s="169"/>
      <c r="L152" s="176"/>
      <c r="M152" s="176"/>
      <c r="N152" s="173"/>
      <c r="O152" s="176"/>
      <c r="P152" s="176"/>
    </row>
    <row r="153" spans="1:16" ht="21.75" customHeight="1" x14ac:dyDescent="0.35">
      <c r="A153" s="183"/>
      <c r="B153" s="184"/>
      <c r="C153" s="163" t="s">
        <v>16</v>
      </c>
      <c r="D153" s="185" t="s">
        <v>44</v>
      </c>
      <c r="E153" s="186"/>
      <c r="F153" s="186"/>
      <c r="G153" s="187"/>
      <c r="H153" s="188"/>
      <c r="I153" s="168"/>
      <c r="J153" s="168"/>
      <c r="K153" s="169"/>
      <c r="L153" s="189"/>
      <c r="M153" s="189"/>
      <c r="N153" s="189"/>
      <c r="O153" s="189"/>
      <c r="P153" s="189"/>
    </row>
    <row r="154" spans="1:16" ht="21.75" customHeight="1" x14ac:dyDescent="0.35">
      <c r="A154" s="183"/>
      <c r="B154" s="184"/>
      <c r="C154" s="184"/>
      <c r="D154" s="190">
        <v>1</v>
      </c>
      <c r="E154" s="191" t="s">
        <v>45</v>
      </c>
      <c r="F154" s="192"/>
      <c r="G154" s="193"/>
      <c r="H154" s="194"/>
      <c r="I154" s="195"/>
      <c r="J154" s="196">
        <f ca="1">IFERROR(__xludf.DUMMYFUNCTION("IMPORTRANGE(""https://docs.google.com/spreadsheets/d/1IYY_tgx_IHuhSq3AJ5eI5OnqOPBNLWSHKh2a30DoXe8/edit?usp=sharing"",""ภูเก็ต!J79"")"),0)</f>
        <v>0</v>
      </c>
      <c r="K154" s="169"/>
      <c r="L154" s="189"/>
      <c r="M154" s="189"/>
      <c r="N154" s="189"/>
      <c r="O154" s="189"/>
      <c r="P154" s="189"/>
    </row>
    <row r="155" spans="1:16" ht="21.75" customHeight="1" x14ac:dyDescent="0.35">
      <c r="A155" s="183"/>
      <c r="B155" s="184"/>
      <c r="C155" s="184"/>
      <c r="D155" s="197">
        <v>2</v>
      </c>
      <c r="E155" s="198" t="s">
        <v>46</v>
      </c>
      <c r="F155" s="199"/>
      <c r="G155" s="200"/>
      <c r="H155" s="194"/>
      <c r="I155" s="195"/>
      <c r="J155" s="205">
        <f ca="1">IFERROR(__xludf.DUMMYFUNCTION("IMPORTRANGE(""https://docs.google.com/spreadsheets/d/1IYY_tgx_IHuhSq3AJ5eI5OnqOPBNLWSHKh2a30DoXe8/edit?usp=sharing"",""ภูเก็ต!J80"")"),1)</f>
        <v>1</v>
      </c>
      <c r="K155" s="169"/>
      <c r="L155" s="189"/>
      <c r="M155" s="189"/>
      <c r="N155" s="189"/>
      <c r="O155" s="189"/>
      <c r="P155" s="189"/>
    </row>
    <row r="156" spans="1:16" ht="21.75" customHeight="1" x14ac:dyDescent="0.35">
      <c r="A156" s="183"/>
      <c r="B156" s="184"/>
      <c r="C156" s="184"/>
      <c r="D156" s="201"/>
      <c r="E156" s="202" t="s">
        <v>47</v>
      </c>
      <c r="F156" s="203"/>
      <c r="G156" s="204"/>
      <c r="H156" s="194"/>
      <c r="I156" s="195"/>
      <c r="J156" s="205">
        <f ca="1">IFERROR(__xludf.DUMMYFUNCTION("IMPORTRANGE(""https://docs.google.com/spreadsheets/d/1IYY_tgx_IHuhSq3AJ5eI5OnqOPBNLWSHKh2a30DoXe8/edit?usp=sharing"",""ภูเก็ต!J81"")"),1)</f>
        <v>1</v>
      </c>
      <c r="K156" s="169"/>
      <c r="L156" s="189"/>
      <c r="M156" s="189"/>
      <c r="N156" s="189"/>
      <c r="O156" s="189"/>
      <c r="P156" s="189"/>
    </row>
    <row r="157" spans="1:16" ht="21.75" customHeight="1" x14ac:dyDescent="0.35">
      <c r="A157" s="183"/>
      <c r="B157" s="184"/>
      <c r="C157" s="184"/>
      <c r="D157" s="201"/>
      <c r="E157" s="202" t="s">
        <v>48</v>
      </c>
      <c r="F157" s="203"/>
      <c r="G157" s="204"/>
      <c r="H157" s="194"/>
      <c r="I157" s="195"/>
      <c r="J157" s="205">
        <f ca="1">IFERROR(__xludf.DUMMYFUNCTION("IMPORTRANGE(""https://docs.google.com/spreadsheets/d/1IYY_tgx_IHuhSq3AJ5eI5OnqOPBNLWSHKh2a30DoXe8/edit?usp=sharing"",""ภูเก็ต!J82"")"),1)</f>
        <v>1</v>
      </c>
      <c r="K157" s="169"/>
      <c r="L157" s="189"/>
      <c r="M157" s="189"/>
      <c r="N157" s="189"/>
      <c r="O157" s="189"/>
      <c r="P157" s="189"/>
    </row>
    <row r="158" spans="1:16" ht="21.75" customHeight="1" x14ac:dyDescent="0.35">
      <c r="A158" s="183"/>
      <c r="B158" s="184"/>
      <c r="C158" s="184"/>
      <c r="D158" s="201"/>
      <c r="E158" s="206"/>
      <c r="F158" s="202" t="s">
        <v>78</v>
      </c>
      <c r="G158" s="204"/>
      <c r="H158" s="188" t="s">
        <v>77</v>
      </c>
      <c r="I158" s="195">
        <f ca="1">IFERROR(__xludf.DUMMYFUNCTION("IMPORTRANGE(""https://docs.google.com/spreadsheets/d/1IYY_tgx_IHuhSq3AJ5eI5OnqOPBNLWSHKh2a30DoXe8/edit?usp=sharing"",""ภูเก็ต!I83"")"),4)</f>
        <v>4</v>
      </c>
      <c r="J158" s="196">
        <f ca="1">IFERROR(__xludf.DUMMYFUNCTION("IMPORTRANGE(""https://docs.google.com/spreadsheets/d/1IYY_tgx_IHuhSq3AJ5eI5OnqOPBNLWSHKh2a30DoXe8/edit?usp=sharing"",""ภูเก็ต!J83"")"),1)</f>
        <v>1</v>
      </c>
      <c r="K158" s="169">
        <f ca="1">IF(I158&gt;0,J158*100/I158,0)</f>
        <v>25</v>
      </c>
      <c r="L158" s="189"/>
      <c r="M158" s="189"/>
      <c r="N158" s="189"/>
      <c r="O158" s="189"/>
      <c r="P158" s="189"/>
    </row>
    <row r="159" spans="1:16" ht="21.75" customHeight="1" x14ac:dyDescent="0.35">
      <c r="A159" s="183"/>
      <c r="B159" s="184"/>
      <c r="C159" s="184"/>
      <c r="D159" s="201"/>
      <c r="E159" s="203"/>
      <c r="F159" s="285" t="s">
        <v>79</v>
      </c>
      <c r="G159" s="204"/>
      <c r="H159" s="286" t="s">
        <v>37</v>
      </c>
      <c r="I159" s="195"/>
      <c r="J159" s="211">
        <f ca="1">IFERROR(__xludf.DUMMYFUNCTION("IMPORTRANGE(""https://docs.google.com/spreadsheets/d/1IYY_tgx_IHuhSq3AJ5eI5OnqOPBNLWSHKh2a30DoXe8/edit?usp=sharing"",""ภูเก็ต!J84"")"),0)</f>
        <v>0</v>
      </c>
      <c r="K159" s="169"/>
      <c r="L159" s="189"/>
      <c r="M159" s="189"/>
      <c r="N159" s="189"/>
      <c r="O159" s="189"/>
      <c r="P159" s="189"/>
    </row>
    <row r="160" spans="1:16" ht="21.75" customHeight="1" x14ac:dyDescent="0.45">
      <c r="A160" s="183"/>
      <c r="B160" s="184"/>
      <c r="C160" s="184"/>
      <c r="D160" s="201"/>
      <c r="E160" s="203"/>
      <c r="F160" s="203"/>
      <c r="G160" s="287" t="s">
        <v>80</v>
      </c>
      <c r="H160" s="286" t="s">
        <v>37</v>
      </c>
      <c r="I160" s="195"/>
      <c r="J160" s="288">
        <f ca="1">IFERROR(__xludf.DUMMYFUNCTION("IMPORTRANGE(""https://docs.google.com/spreadsheets/d/1IYY_tgx_IHuhSq3AJ5eI5OnqOPBNLWSHKh2a30DoXe8/edit?usp=sharing"",""ภูเก็ต!J85"")"),0)</f>
        <v>0</v>
      </c>
      <c r="K160" s="169"/>
      <c r="L160" s="189"/>
      <c r="M160" s="189"/>
      <c r="N160" s="189"/>
      <c r="O160" s="189"/>
      <c r="P160" s="189"/>
    </row>
    <row r="161" spans="1:16" ht="21.75" customHeight="1" x14ac:dyDescent="0.45">
      <c r="A161" s="183"/>
      <c r="B161" s="184"/>
      <c r="C161" s="184"/>
      <c r="D161" s="201"/>
      <c r="E161" s="203"/>
      <c r="F161" s="203"/>
      <c r="G161" s="287" t="s">
        <v>81</v>
      </c>
      <c r="H161" s="286" t="s">
        <v>37</v>
      </c>
      <c r="I161" s="195"/>
      <c r="J161" s="288">
        <f ca="1">IFERROR(__xludf.DUMMYFUNCTION("IMPORTRANGE(""https://docs.google.com/spreadsheets/d/1IYY_tgx_IHuhSq3AJ5eI5OnqOPBNLWSHKh2a30DoXe8/edit?usp=sharing"",""ภูเก็ต!J86"")"),0)</f>
        <v>0</v>
      </c>
      <c r="K161" s="169"/>
      <c r="L161" s="189"/>
      <c r="M161" s="189"/>
      <c r="N161" s="189"/>
      <c r="O161" s="189"/>
      <c r="P161" s="189"/>
    </row>
    <row r="162" spans="1:16" ht="21.75" customHeight="1" x14ac:dyDescent="0.35">
      <c r="A162" s="183"/>
      <c r="B162" s="184"/>
      <c r="C162" s="184"/>
      <c r="D162" s="201"/>
      <c r="E162" s="202" t="s">
        <v>54</v>
      </c>
      <c r="F162" s="203"/>
      <c r="G162" s="204"/>
      <c r="H162" s="194"/>
      <c r="I162" s="195"/>
      <c r="J162" s="205">
        <f ca="1">IFERROR(__xludf.DUMMYFUNCTION("IMPORTRANGE(""https://docs.google.com/spreadsheets/d/1IYY_tgx_IHuhSq3AJ5eI5OnqOPBNLWSHKh2a30DoXe8/edit?usp=sharing"",""ภูเก็ต!J87"")"),0)</f>
        <v>0</v>
      </c>
      <c r="K162" s="169"/>
      <c r="L162" s="189"/>
      <c r="M162" s="189"/>
      <c r="N162" s="189"/>
      <c r="O162" s="189"/>
      <c r="P162" s="189"/>
    </row>
    <row r="163" spans="1:16" ht="21.75" customHeight="1" x14ac:dyDescent="0.35">
      <c r="A163" s="183"/>
      <c r="B163" s="184"/>
      <c r="C163" s="184"/>
      <c r="D163" s="213">
        <v>3</v>
      </c>
      <c r="E163" s="214" t="s">
        <v>55</v>
      </c>
      <c r="F163" s="215"/>
      <c r="G163" s="216"/>
      <c r="H163" s="194"/>
      <c r="I163" s="195"/>
      <c r="J163" s="217">
        <f ca="1">IFERROR(__xludf.DUMMYFUNCTION("IMPORTRANGE(""https://docs.google.com/spreadsheets/d/1IYY_tgx_IHuhSq3AJ5eI5OnqOPBNLWSHKh2a30DoXe8/edit?usp=sharing"",""ภูเก็ต!J88"")"),0)</f>
        <v>0</v>
      </c>
      <c r="K163" s="169"/>
      <c r="L163" s="189"/>
      <c r="M163" s="189"/>
      <c r="N163" s="189"/>
      <c r="O163" s="189"/>
      <c r="P163" s="189"/>
    </row>
    <row r="164" spans="1:16" ht="21.75" customHeight="1" x14ac:dyDescent="0.35">
      <c r="A164" s="277"/>
      <c r="B164" s="278"/>
      <c r="C164" s="279" t="s">
        <v>82</v>
      </c>
      <c r="D164" s="279"/>
      <c r="E164" s="279"/>
      <c r="F164" s="279"/>
      <c r="G164" s="280"/>
      <c r="H164" s="289" t="s">
        <v>83</v>
      </c>
      <c r="I164" s="290">
        <f ca="1">IFERROR(__xludf.DUMMYFUNCTION("IMPORTRANGE(""https://docs.google.com/spreadsheets/d/1IYY_tgx_IHuhSq3AJ5eI5OnqOPBNLWSHKh2a30DoXe8/edit?usp=sharing"",""ภูเก็ต!I89"")"),1)</f>
        <v>1</v>
      </c>
      <c r="J164" s="290">
        <f ca="1">IFERROR(__xludf.DUMMYFUNCTION("IMPORTRANGE(""https://docs.google.com/spreadsheets/d/1IYY_tgx_IHuhSq3AJ5eI5OnqOPBNLWSHKh2a30DoXe8/edit?usp=sharing"",""ภูเก็ต!J89"")"),0)</f>
        <v>0</v>
      </c>
      <c r="K164" s="291">
        <f ca="1">IF(I164&gt;0,J164*100/I164,0)</f>
        <v>0</v>
      </c>
      <c r="L164" s="284"/>
      <c r="M164" s="284"/>
      <c r="N164" s="284"/>
      <c r="O164" s="284"/>
      <c r="P164" s="284"/>
    </row>
    <row r="165" spans="1:16" ht="21.75" customHeight="1" x14ac:dyDescent="0.35">
      <c r="A165" s="162"/>
      <c r="B165" s="163"/>
      <c r="C165" s="163" t="s">
        <v>16</v>
      </c>
      <c r="D165" s="164" t="s">
        <v>38</v>
      </c>
      <c r="E165" s="165"/>
      <c r="F165" s="165"/>
      <c r="G165" s="166" t="s">
        <v>39</v>
      </c>
      <c r="H165" s="167" t="s">
        <v>12</v>
      </c>
      <c r="I165" s="168" t="s">
        <v>40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 x14ac:dyDescent="0.35">
      <c r="A166" s="162"/>
      <c r="B166" s="163"/>
      <c r="C166" s="163"/>
      <c r="D166" s="172"/>
      <c r="E166" s="165"/>
      <c r="F166" s="165" t="s">
        <v>40</v>
      </c>
      <c r="G166" s="166" t="s">
        <v>41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 x14ac:dyDescent="0.35">
      <c r="A167" s="162"/>
      <c r="B167" s="163"/>
      <c r="C167" s="163"/>
      <c r="D167" s="172"/>
      <c r="E167" s="165"/>
      <c r="F167" s="165"/>
      <c r="G167" s="177" t="s">
        <v>43</v>
      </c>
      <c r="H167" s="167" t="s">
        <v>12</v>
      </c>
      <c r="I167" s="168"/>
      <c r="J167" s="168"/>
      <c r="K167" s="169"/>
      <c r="L167" s="176"/>
      <c r="M167" s="176"/>
      <c r="N167" s="173"/>
      <c r="O167" s="176"/>
      <c r="P167" s="176"/>
    </row>
    <row r="168" spans="1:16" ht="21.75" customHeight="1" x14ac:dyDescent="0.35">
      <c r="A168" s="183"/>
      <c r="B168" s="184"/>
      <c r="C168" s="163" t="s">
        <v>16</v>
      </c>
      <c r="D168" s="185" t="s">
        <v>44</v>
      </c>
      <c r="E168" s="186"/>
      <c r="F168" s="186"/>
      <c r="G168" s="187"/>
      <c r="H168" s="188"/>
      <c r="I168" s="168"/>
      <c r="J168" s="168"/>
      <c r="K168" s="169"/>
      <c r="L168" s="189"/>
      <c r="M168" s="189"/>
      <c r="N168" s="189"/>
      <c r="O168" s="189"/>
      <c r="P168" s="189"/>
    </row>
    <row r="169" spans="1:16" ht="21.75" customHeight="1" x14ac:dyDescent="0.35">
      <c r="A169" s="183"/>
      <c r="B169" s="184"/>
      <c r="C169" s="184"/>
      <c r="D169" s="190">
        <v>1</v>
      </c>
      <c r="E169" s="191" t="s">
        <v>45</v>
      </c>
      <c r="F169" s="192"/>
      <c r="G169" s="193"/>
      <c r="H169" s="194"/>
      <c r="I169" s="195"/>
      <c r="J169" s="196">
        <f ca="1">IFERROR(__xludf.DUMMYFUNCTION("IMPORTRANGE(""https://docs.google.com/spreadsheets/d/1IYY_tgx_IHuhSq3AJ5eI5OnqOPBNLWSHKh2a30DoXe8/edit?usp=sharing"",""ภูเก็ต!J94"")"),0)</f>
        <v>0</v>
      </c>
      <c r="K169" s="169"/>
      <c r="L169" s="189"/>
      <c r="M169" s="189"/>
      <c r="N169" s="189"/>
      <c r="O169" s="189"/>
      <c r="P169" s="189"/>
    </row>
    <row r="170" spans="1:16" ht="21.75" customHeight="1" x14ac:dyDescent="0.35">
      <c r="A170" s="183"/>
      <c r="B170" s="184"/>
      <c r="C170" s="184"/>
      <c r="D170" s="197">
        <v>2</v>
      </c>
      <c r="E170" s="198" t="s">
        <v>46</v>
      </c>
      <c r="F170" s="199"/>
      <c r="G170" s="200"/>
      <c r="H170" s="194"/>
      <c r="I170" s="195"/>
      <c r="J170" s="205">
        <f ca="1">IFERROR(__xludf.DUMMYFUNCTION("IMPORTRANGE(""https://docs.google.com/spreadsheets/d/1IYY_tgx_IHuhSq3AJ5eI5OnqOPBNLWSHKh2a30DoXe8/edit?usp=sharing"",""ภูเก็ต!J95"")"),1)</f>
        <v>1</v>
      </c>
      <c r="K170" s="169"/>
      <c r="L170" s="189"/>
      <c r="M170" s="189"/>
      <c r="N170" s="189"/>
      <c r="O170" s="189"/>
      <c r="P170" s="189"/>
    </row>
    <row r="171" spans="1:16" ht="21.75" customHeight="1" x14ac:dyDescent="0.35">
      <c r="A171" s="183"/>
      <c r="B171" s="184"/>
      <c r="C171" s="184"/>
      <c r="D171" s="201"/>
      <c r="E171" s="202" t="s">
        <v>47</v>
      </c>
      <c r="F171" s="203"/>
      <c r="G171" s="204"/>
      <c r="H171" s="194"/>
      <c r="I171" s="195"/>
      <c r="J171" s="205">
        <f ca="1">IFERROR(__xludf.DUMMYFUNCTION("IMPORTRANGE(""https://docs.google.com/spreadsheets/d/1IYY_tgx_IHuhSq3AJ5eI5OnqOPBNLWSHKh2a30DoXe8/edit?usp=sharing"",""ภูเก็ต!J96"")"),1)</f>
        <v>1</v>
      </c>
      <c r="K171" s="169"/>
      <c r="L171" s="189"/>
      <c r="M171" s="189"/>
      <c r="N171" s="189"/>
      <c r="O171" s="189"/>
      <c r="P171" s="189"/>
    </row>
    <row r="172" spans="1:16" ht="21.75" customHeight="1" x14ac:dyDescent="0.35">
      <c r="A172" s="183"/>
      <c r="B172" s="184"/>
      <c r="C172" s="184"/>
      <c r="D172" s="201"/>
      <c r="E172" s="202" t="s">
        <v>48</v>
      </c>
      <c r="F172" s="203"/>
      <c r="G172" s="204"/>
      <c r="H172" s="194"/>
      <c r="I172" s="195"/>
      <c r="J172" s="205">
        <f ca="1">IFERROR(__xludf.DUMMYFUNCTION("IMPORTRANGE(""https://docs.google.com/spreadsheets/d/1IYY_tgx_IHuhSq3AJ5eI5OnqOPBNLWSHKh2a30DoXe8/edit?usp=sharing"",""ภูเก็ต!J97"")"),1)</f>
        <v>1</v>
      </c>
      <c r="K172" s="169"/>
      <c r="L172" s="189"/>
      <c r="M172" s="189"/>
      <c r="N172" s="189"/>
      <c r="O172" s="189"/>
      <c r="P172" s="189"/>
    </row>
    <row r="173" spans="1:16" ht="21.75" customHeight="1" x14ac:dyDescent="0.35">
      <c r="A173" s="183"/>
      <c r="B173" s="184"/>
      <c r="C173" s="184"/>
      <c r="D173" s="201"/>
      <c r="E173" s="206"/>
      <c r="F173" s="212" t="s">
        <v>84</v>
      </c>
      <c r="G173" s="204"/>
      <c r="H173" s="188" t="s">
        <v>83</v>
      </c>
      <c r="I173" s="195">
        <f ca="1">IFERROR(__xludf.DUMMYFUNCTION("IMPORTRANGE(""https://docs.google.com/spreadsheets/d/1IYY_tgx_IHuhSq3AJ5eI5OnqOPBNLWSHKh2a30DoXe8/edit?usp=sharing"",""ภูเก็ต!I98"")"),1)</f>
        <v>1</v>
      </c>
      <c r="J173" s="196">
        <f ca="1">IFERROR(__xludf.DUMMYFUNCTION("IMPORTRANGE(""https://docs.google.com/spreadsheets/d/1IYY_tgx_IHuhSq3AJ5eI5OnqOPBNLWSHKh2a30DoXe8/edit?usp=sharing"",""ภูเก็ต!J98"")"),0)</f>
        <v>0</v>
      </c>
      <c r="K173" s="169">
        <f ca="1">IF(I173&gt;0,J173*100/I173,0)</f>
        <v>0</v>
      </c>
      <c r="L173" s="176"/>
      <c r="M173" s="176"/>
      <c r="N173" s="173"/>
      <c r="O173" s="176"/>
      <c r="P173" s="176"/>
    </row>
    <row r="174" spans="1:16" ht="21.75" customHeight="1" x14ac:dyDescent="0.35">
      <c r="A174" s="183"/>
      <c r="B174" s="184"/>
      <c r="C174" s="184"/>
      <c r="D174" s="201"/>
      <c r="E174" s="202" t="s">
        <v>54</v>
      </c>
      <c r="F174" s="203"/>
      <c r="G174" s="204"/>
      <c r="H174" s="194"/>
      <c r="I174" s="195"/>
      <c r="J174" s="205">
        <f ca="1">IFERROR(__xludf.DUMMYFUNCTION("IMPORTRANGE(""https://docs.google.com/spreadsheets/d/1IYY_tgx_IHuhSq3AJ5eI5OnqOPBNLWSHKh2a30DoXe8/edit?usp=sharing"",""ภูเก็ต!J99"")"),0)</f>
        <v>0</v>
      </c>
      <c r="K174" s="169"/>
      <c r="L174" s="189"/>
      <c r="M174" s="189"/>
      <c r="N174" s="189"/>
      <c r="O174" s="189"/>
      <c r="P174" s="189"/>
    </row>
    <row r="175" spans="1:16" ht="21.75" customHeight="1" x14ac:dyDescent="0.35">
      <c r="A175" s="183"/>
      <c r="B175" s="184"/>
      <c r="C175" s="184"/>
      <c r="D175" s="213">
        <v>3</v>
      </c>
      <c r="E175" s="214" t="s">
        <v>55</v>
      </c>
      <c r="F175" s="215"/>
      <c r="G175" s="216"/>
      <c r="H175" s="194"/>
      <c r="I175" s="195"/>
      <c r="J175" s="217">
        <f ca="1">IFERROR(__xludf.DUMMYFUNCTION("IMPORTRANGE(""https://docs.google.com/spreadsheets/d/1IYY_tgx_IHuhSq3AJ5eI5OnqOPBNLWSHKh2a30DoXe8/edit?usp=sharing"",""ภูเก็ต!J100"")"),0)</f>
        <v>0</v>
      </c>
      <c r="K175" s="169"/>
      <c r="L175" s="189"/>
      <c r="M175" s="189"/>
      <c r="N175" s="189"/>
      <c r="O175" s="189"/>
      <c r="P175" s="189"/>
    </row>
    <row r="176" spans="1:16" ht="21.75" customHeight="1" x14ac:dyDescent="0.35">
      <c r="A176" s="277"/>
      <c r="B176" s="278"/>
      <c r="C176" s="279" t="s">
        <v>85</v>
      </c>
      <c r="D176" s="279"/>
      <c r="E176" s="279"/>
      <c r="F176" s="279"/>
      <c r="G176" s="280"/>
      <c r="H176" s="289" t="s">
        <v>83</v>
      </c>
      <c r="I176" s="290">
        <f ca="1">IFERROR(__xludf.DUMMYFUNCTION("IMPORTRANGE(""https://docs.google.com/spreadsheets/d/1IYY_tgx_IHuhSq3AJ5eI5OnqOPBNLWSHKh2a30DoXe8/edit?usp=sharing"",""ภูเก็ต!I101"")"),0)</f>
        <v>0</v>
      </c>
      <c r="J176" s="290">
        <f ca="1">IFERROR(__xludf.DUMMYFUNCTION("IMPORTRANGE(""https://docs.google.com/spreadsheets/d/1IYY_tgx_IHuhSq3AJ5eI5OnqOPBNLWSHKh2a30DoXe8/edit?usp=sharing"",""ภูเก็ต!J101"")"),0)</f>
        <v>0</v>
      </c>
      <c r="K176" s="291">
        <f ca="1">IF(I176&gt;0,J176*100/I176,0)</f>
        <v>0</v>
      </c>
      <c r="L176" s="284"/>
      <c r="M176" s="284"/>
      <c r="N176" s="284"/>
      <c r="O176" s="284"/>
      <c r="P176" s="284"/>
    </row>
    <row r="177" spans="1:16" ht="21.75" customHeight="1" x14ac:dyDescent="0.35">
      <c r="A177" s="162"/>
      <c r="B177" s="163"/>
      <c r="C177" s="163" t="s">
        <v>16</v>
      </c>
      <c r="D177" s="164" t="s">
        <v>38</v>
      </c>
      <c r="E177" s="165"/>
      <c r="F177" s="165"/>
      <c r="G177" s="166" t="s">
        <v>39</v>
      </c>
      <c r="H177" s="167" t="s">
        <v>12</v>
      </c>
      <c r="I177" s="168" t="s">
        <v>40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 x14ac:dyDescent="0.35">
      <c r="A178" s="162"/>
      <c r="B178" s="163"/>
      <c r="C178" s="163"/>
      <c r="D178" s="172"/>
      <c r="E178" s="165"/>
      <c r="F178" s="165" t="s">
        <v>40</v>
      </c>
      <c r="G178" s="166" t="s">
        <v>41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 x14ac:dyDescent="0.35">
      <c r="A179" s="162"/>
      <c r="B179" s="163"/>
      <c r="C179" s="163"/>
      <c r="D179" s="172"/>
      <c r="E179" s="165"/>
      <c r="F179" s="165"/>
      <c r="G179" s="177" t="s">
        <v>43</v>
      </c>
      <c r="H179" s="167" t="s">
        <v>12</v>
      </c>
      <c r="I179" s="168"/>
      <c r="J179" s="195"/>
      <c r="K179" s="231"/>
      <c r="L179" s="176"/>
      <c r="M179" s="176"/>
      <c r="N179" s="173"/>
      <c r="O179" s="176"/>
      <c r="P179" s="176"/>
    </row>
    <row r="180" spans="1:16" ht="21.75" customHeight="1" x14ac:dyDescent="0.35">
      <c r="A180" s="183"/>
      <c r="B180" s="184"/>
      <c r="C180" s="163" t="s">
        <v>16</v>
      </c>
      <c r="D180" s="185" t="s">
        <v>44</v>
      </c>
      <c r="E180" s="186"/>
      <c r="F180" s="186"/>
      <c r="G180" s="187"/>
      <c r="H180" s="188"/>
      <c r="I180" s="168"/>
      <c r="J180" s="195"/>
      <c r="K180" s="231"/>
      <c r="L180" s="176"/>
      <c r="M180" s="176"/>
      <c r="N180" s="176"/>
      <c r="O180" s="189"/>
      <c r="P180" s="189"/>
    </row>
    <row r="181" spans="1:16" ht="21.75" customHeight="1" x14ac:dyDescent="0.35">
      <c r="A181" s="183"/>
      <c r="B181" s="184"/>
      <c r="C181" s="184"/>
      <c r="D181" s="190">
        <v>1</v>
      </c>
      <c r="E181" s="191" t="s">
        <v>45</v>
      </c>
      <c r="F181" s="192"/>
      <c r="G181" s="193"/>
      <c r="H181" s="194"/>
      <c r="I181" s="195"/>
      <c r="J181" s="195">
        <f ca="1">IFERROR(__xludf.DUMMYFUNCTION("IMPORTRANGE(""https://docs.google.com/spreadsheets/d/1IYY_tgx_IHuhSq3AJ5eI5OnqOPBNLWSHKh2a30DoXe8/edit?usp=sharing"",""ภูเก็ต!J106"")"),0)</f>
        <v>0</v>
      </c>
      <c r="K181" s="231"/>
      <c r="L181" s="176"/>
      <c r="M181" s="176"/>
      <c r="N181" s="176"/>
      <c r="O181" s="189"/>
      <c r="P181" s="189"/>
    </row>
    <row r="182" spans="1:16" ht="21.75" customHeight="1" x14ac:dyDescent="0.35">
      <c r="A182" s="183"/>
      <c r="B182" s="184"/>
      <c r="C182" s="184"/>
      <c r="D182" s="197">
        <v>2</v>
      </c>
      <c r="E182" s="198" t="s">
        <v>46</v>
      </c>
      <c r="F182" s="199"/>
      <c r="G182" s="200"/>
      <c r="H182" s="194"/>
      <c r="I182" s="195"/>
      <c r="J182" s="195">
        <f ca="1">IFERROR(__xludf.DUMMYFUNCTION("IMPORTRANGE(""https://docs.google.com/spreadsheets/d/1IYY_tgx_IHuhSq3AJ5eI5OnqOPBNLWSHKh2a30DoXe8/edit?usp=sharing"",""ภูเก็ต!J107"")"),0)</f>
        <v>0</v>
      </c>
      <c r="K182" s="231"/>
      <c r="L182" s="176"/>
      <c r="M182" s="176"/>
      <c r="N182" s="176"/>
      <c r="O182" s="189"/>
      <c r="P182" s="189"/>
    </row>
    <row r="183" spans="1:16" ht="21.75" customHeight="1" x14ac:dyDescent="0.35">
      <c r="A183" s="183"/>
      <c r="B183" s="184"/>
      <c r="C183" s="184"/>
      <c r="D183" s="201"/>
      <c r="E183" s="202" t="s">
        <v>47</v>
      </c>
      <c r="F183" s="203"/>
      <c r="G183" s="204"/>
      <c r="H183" s="194"/>
      <c r="I183" s="195"/>
      <c r="J183" s="195">
        <f ca="1">IFERROR(__xludf.DUMMYFUNCTION("IMPORTRANGE(""https://docs.google.com/spreadsheets/d/1IYY_tgx_IHuhSq3AJ5eI5OnqOPBNLWSHKh2a30DoXe8/edit?usp=sharing"",""ภูเก็ต!J108"")"),0)</f>
        <v>0</v>
      </c>
      <c r="K183" s="231"/>
      <c r="L183" s="176"/>
      <c r="M183" s="176"/>
      <c r="N183" s="176"/>
      <c r="O183" s="189"/>
      <c r="P183" s="189"/>
    </row>
    <row r="184" spans="1:16" ht="21.75" customHeight="1" x14ac:dyDescent="0.35">
      <c r="A184" s="183"/>
      <c r="B184" s="184"/>
      <c r="C184" s="184"/>
      <c r="D184" s="201"/>
      <c r="E184" s="202" t="s">
        <v>48</v>
      </c>
      <c r="F184" s="203"/>
      <c r="G184" s="204"/>
      <c r="H184" s="194"/>
      <c r="I184" s="195"/>
      <c r="J184" s="195">
        <f ca="1">IFERROR(__xludf.DUMMYFUNCTION("IMPORTRANGE(""https://docs.google.com/spreadsheets/d/1IYY_tgx_IHuhSq3AJ5eI5OnqOPBNLWSHKh2a30DoXe8/edit?usp=sharing"",""ภูเก็ต!J109"")"),0)</f>
        <v>0</v>
      </c>
      <c r="K184" s="231"/>
      <c r="L184" s="176"/>
      <c r="M184" s="176"/>
      <c r="N184" s="176"/>
      <c r="O184" s="189"/>
      <c r="P184" s="189"/>
    </row>
    <row r="185" spans="1:16" ht="21.75" customHeight="1" x14ac:dyDescent="0.35">
      <c r="A185" s="183"/>
      <c r="B185" s="184"/>
      <c r="C185" s="184"/>
      <c r="D185" s="201"/>
      <c r="E185" s="206"/>
      <c r="F185" s="202" t="s">
        <v>86</v>
      </c>
      <c r="G185" s="204"/>
      <c r="H185" s="188" t="s">
        <v>83</v>
      </c>
      <c r="I185" s="195">
        <f ca="1">IFERROR(__xludf.DUMMYFUNCTION("IMPORTRANGE(""https://docs.google.com/spreadsheets/d/1IYY_tgx_IHuhSq3AJ5eI5OnqOPBNLWSHKh2a30DoXe8/edit?usp=sharing"",""ภูเก็ต!I110"")"),0)</f>
        <v>0</v>
      </c>
      <c r="J185" s="211">
        <f ca="1">IFERROR(__xludf.DUMMYFUNCTION("IMPORTRANGE(""https://docs.google.com/spreadsheets/d/1IYY_tgx_IHuhSq3AJ5eI5OnqOPBNLWSHKh2a30DoXe8/edit?usp=sharing"",""ภูเก็ต!J110"")"),0)</f>
        <v>0</v>
      </c>
      <c r="K185" s="231">
        <f t="shared" ref="K185:K186" ca="1" si="69">IF(I185&gt;0,J185*100/I185,0)</f>
        <v>0</v>
      </c>
      <c r="L185" s="176"/>
      <c r="M185" s="176"/>
      <c r="N185" s="173"/>
      <c r="O185" s="176"/>
      <c r="P185" s="176"/>
    </row>
    <row r="186" spans="1:16" ht="21.75" customHeight="1" x14ac:dyDescent="0.35">
      <c r="A186" s="183"/>
      <c r="B186" s="184"/>
      <c r="C186" s="184"/>
      <c r="D186" s="201"/>
      <c r="E186" s="206"/>
      <c r="F186" s="202" t="s">
        <v>87</v>
      </c>
      <c r="G186" s="204"/>
      <c r="H186" s="188" t="s">
        <v>83</v>
      </c>
      <c r="I186" s="195">
        <f ca="1">IFERROR(__xludf.DUMMYFUNCTION("IMPORTRANGE(""https://docs.google.com/spreadsheets/d/1IYY_tgx_IHuhSq3AJ5eI5OnqOPBNLWSHKh2a30DoXe8/edit?usp=sharing"",""ภูเก็ต!I111"")"),0)</f>
        <v>0</v>
      </c>
      <c r="J186" s="211">
        <f ca="1">IFERROR(__xludf.DUMMYFUNCTION("IMPORTRANGE(""https://docs.google.com/spreadsheets/d/1IYY_tgx_IHuhSq3AJ5eI5OnqOPBNLWSHKh2a30DoXe8/edit?usp=sharing"",""ภูเก็ต!J111"")"),0)</f>
        <v>0</v>
      </c>
      <c r="K186" s="231">
        <f t="shared" ca="1" si="69"/>
        <v>0</v>
      </c>
      <c r="L186" s="176"/>
      <c r="M186" s="176"/>
      <c r="N186" s="173"/>
      <c r="O186" s="176"/>
      <c r="P186" s="176"/>
    </row>
    <row r="187" spans="1:16" ht="21.75" customHeight="1" x14ac:dyDescent="0.35">
      <c r="A187" s="183"/>
      <c r="B187" s="184"/>
      <c r="C187" s="184"/>
      <c r="D187" s="201"/>
      <c r="E187" s="202" t="s">
        <v>54</v>
      </c>
      <c r="F187" s="203"/>
      <c r="G187" s="204"/>
      <c r="H187" s="194"/>
      <c r="I187" s="195"/>
      <c r="J187" s="195">
        <f ca="1">IFERROR(__xludf.DUMMYFUNCTION("IMPORTRANGE(""https://docs.google.com/spreadsheets/d/1IYY_tgx_IHuhSq3AJ5eI5OnqOPBNLWSHKh2a30DoXe8/edit?usp=sharing"",""ภูเก็ต!J112"")"),0)</f>
        <v>0</v>
      </c>
      <c r="K187" s="231"/>
      <c r="L187" s="176"/>
      <c r="M187" s="176"/>
      <c r="N187" s="176"/>
      <c r="O187" s="189"/>
      <c r="P187" s="189"/>
    </row>
    <row r="188" spans="1:16" ht="21.75" customHeight="1" x14ac:dyDescent="0.35">
      <c r="A188" s="183"/>
      <c r="B188" s="184"/>
      <c r="C188" s="184"/>
      <c r="D188" s="213">
        <v>3</v>
      </c>
      <c r="E188" s="214" t="s">
        <v>55</v>
      </c>
      <c r="F188" s="215"/>
      <c r="G188" s="216"/>
      <c r="H188" s="194"/>
      <c r="I188" s="195"/>
      <c r="J188" s="234">
        <f ca="1">IFERROR(__xludf.DUMMYFUNCTION("IMPORTRANGE(""https://docs.google.com/spreadsheets/d/1IYY_tgx_IHuhSq3AJ5eI5OnqOPBNLWSHKh2a30DoXe8/edit?usp=sharing"",""ภูเก็ต!J113"")"),0)</f>
        <v>0</v>
      </c>
      <c r="K188" s="231"/>
      <c r="L188" s="176"/>
      <c r="M188" s="176"/>
      <c r="N188" s="176"/>
      <c r="O188" s="189"/>
      <c r="P188" s="189"/>
    </row>
    <row r="189" spans="1:16" ht="21.75" customHeight="1" x14ac:dyDescent="0.35">
      <c r="A189" s="277"/>
      <c r="B189" s="278"/>
      <c r="C189" s="279" t="s">
        <v>88</v>
      </c>
      <c r="D189" s="279"/>
      <c r="E189" s="279"/>
      <c r="F189" s="279"/>
      <c r="G189" s="280"/>
      <c r="H189" s="292" t="s">
        <v>89</v>
      </c>
      <c r="I189" s="290">
        <f ca="1">IFERROR(__xludf.DUMMYFUNCTION("IMPORTRANGE(""https://docs.google.com/spreadsheets/d/1IYY_tgx_IHuhSq3AJ5eI5OnqOPBNLWSHKh2a30DoXe8/edit?usp=sharing"",""ภูเก็ต!I114"")"),0)</f>
        <v>0</v>
      </c>
      <c r="J189" s="290">
        <f ca="1">IFERROR(__xludf.DUMMYFUNCTION("IMPORTRANGE(""https://docs.google.com/spreadsheets/d/1IYY_tgx_IHuhSq3AJ5eI5OnqOPBNLWSHKh2a30DoXe8/edit?usp=sharing"",""ภูเก็ต!J114"")"),0)</f>
        <v>0</v>
      </c>
      <c r="K189" s="291">
        <f ca="1">IF(I189&gt;0,J189*100/I189,0)</f>
        <v>0</v>
      </c>
      <c r="L189" s="284"/>
      <c r="M189" s="284"/>
      <c r="N189" s="284"/>
      <c r="O189" s="284"/>
      <c r="P189" s="284"/>
    </row>
    <row r="190" spans="1:16" ht="21.75" customHeight="1" x14ac:dyDescent="0.35">
      <c r="A190" s="162"/>
      <c r="B190" s="163"/>
      <c r="C190" s="163" t="s">
        <v>16</v>
      </c>
      <c r="D190" s="164" t="s">
        <v>38</v>
      </c>
      <c r="E190" s="165"/>
      <c r="F190" s="165"/>
      <c r="G190" s="166" t="s">
        <v>39</v>
      </c>
      <c r="H190" s="167" t="s">
        <v>12</v>
      </c>
      <c r="I190" s="168" t="s">
        <v>40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 x14ac:dyDescent="0.35">
      <c r="A191" s="162"/>
      <c r="B191" s="163"/>
      <c r="C191" s="163"/>
      <c r="D191" s="172"/>
      <c r="E191" s="165"/>
      <c r="F191" s="165" t="s">
        <v>40</v>
      </c>
      <c r="G191" s="166" t="s">
        <v>41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 x14ac:dyDescent="0.35">
      <c r="A192" s="162"/>
      <c r="B192" s="163"/>
      <c r="C192" s="163"/>
      <c r="D192" s="172"/>
      <c r="E192" s="165"/>
      <c r="F192" s="165"/>
      <c r="G192" s="177" t="s">
        <v>43</v>
      </c>
      <c r="H192" s="167" t="s">
        <v>12</v>
      </c>
      <c r="I192" s="168"/>
      <c r="J192" s="168"/>
      <c r="K192" s="169"/>
      <c r="L192" s="176"/>
      <c r="M192" s="176"/>
      <c r="N192" s="173"/>
      <c r="O192" s="176"/>
      <c r="P192" s="176"/>
    </row>
    <row r="193" spans="1:16" ht="21.75" customHeight="1" x14ac:dyDescent="0.35">
      <c r="A193" s="183"/>
      <c r="B193" s="184"/>
      <c r="C193" s="163" t="s">
        <v>16</v>
      </c>
      <c r="D193" s="185" t="s">
        <v>44</v>
      </c>
      <c r="E193" s="186"/>
      <c r="F193" s="186"/>
      <c r="G193" s="187"/>
      <c r="H193" s="188"/>
      <c r="I193" s="168"/>
      <c r="J193" s="168"/>
      <c r="K193" s="169"/>
      <c r="L193" s="189"/>
      <c r="M193" s="189"/>
      <c r="N193" s="189"/>
      <c r="O193" s="189"/>
      <c r="P193" s="189"/>
    </row>
    <row r="194" spans="1:16" ht="21.75" customHeight="1" x14ac:dyDescent="0.35">
      <c r="A194" s="183"/>
      <c r="B194" s="184"/>
      <c r="C194" s="184"/>
      <c r="D194" s="190">
        <v>1</v>
      </c>
      <c r="E194" s="191" t="s">
        <v>45</v>
      </c>
      <c r="F194" s="192"/>
      <c r="G194" s="193"/>
      <c r="H194" s="194"/>
      <c r="I194" s="195"/>
      <c r="J194" s="205">
        <f ca="1">IFERROR(__xludf.DUMMYFUNCTION("IMPORTRANGE(""https://docs.google.com/spreadsheets/d/1IYY_tgx_IHuhSq3AJ5eI5OnqOPBNLWSHKh2a30DoXe8/edit?usp=sharing"",""ภูเก็ต!J119"")"),0)</f>
        <v>0</v>
      </c>
      <c r="K194" s="169"/>
      <c r="L194" s="189"/>
      <c r="M194" s="189"/>
      <c r="N194" s="189"/>
      <c r="O194" s="189"/>
      <c r="P194" s="189"/>
    </row>
    <row r="195" spans="1:16" ht="21.75" customHeight="1" x14ac:dyDescent="0.35">
      <c r="A195" s="183"/>
      <c r="B195" s="184"/>
      <c r="C195" s="184"/>
      <c r="D195" s="197">
        <v>2</v>
      </c>
      <c r="E195" s="198" t="s">
        <v>46</v>
      </c>
      <c r="F195" s="199"/>
      <c r="G195" s="200"/>
      <c r="H195" s="194"/>
      <c r="I195" s="195"/>
      <c r="J195" s="196">
        <f ca="1">IFERROR(__xludf.DUMMYFUNCTION("IMPORTRANGE(""https://docs.google.com/spreadsheets/d/1IYY_tgx_IHuhSq3AJ5eI5OnqOPBNLWSHKh2a30DoXe8/edit?usp=sharing"",""ภูเก็ต!J120"")"),0)</f>
        <v>0</v>
      </c>
      <c r="K195" s="169"/>
      <c r="L195" s="189"/>
      <c r="M195" s="189"/>
      <c r="N195" s="189"/>
      <c r="O195" s="189"/>
      <c r="P195" s="189"/>
    </row>
    <row r="196" spans="1:16" ht="21.75" customHeight="1" x14ac:dyDescent="0.35">
      <c r="A196" s="183"/>
      <c r="B196" s="184"/>
      <c r="C196" s="184"/>
      <c r="D196" s="201"/>
      <c r="E196" s="202" t="s">
        <v>47</v>
      </c>
      <c r="F196" s="203"/>
      <c r="G196" s="204"/>
      <c r="H196" s="194"/>
      <c r="I196" s="195"/>
      <c r="J196" s="196">
        <f ca="1">IFERROR(__xludf.DUMMYFUNCTION("IMPORTRANGE(""https://docs.google.com/spreadsheets/d/1IYY_tgx_IHuhSq3AJ5eI5OnqOPBNLWSHKh2a30DoXe8/edit?usp=sharing"",""ภูเก็ต!J121"")"),0)</f>
        <v>0</v>
      </c>
      <c r="K196" s="169"/>
      <c r="L196" s="189"/>
      <c r="M196" s="189"/>
      <c r="N196" s="189"/>
      <c r="O196" s="189"/>
      <c r="P196" s="189"/>
    </row>
    <row r="197" spans="1:16" ht="21.75" customHeight="1" x14ac:dyDescent="0.35">
      <c r="A197" s="183"/>
      <c r="B197" s="184"/>
      <c r="C197" s="184"/>
      <c r="D197" s="201"/>
      <c r="E197" s="202" t="s">
        <v>48</v>
      </c>
      <c r="F197" s="203"/>
      <c r="G197" s="204"/>
      <c r="H197" s="194"/>
      <c r="I197" s="195"/>
      <c r="J197" s="205">
        <f ca="1">IFERROR(__xludf.DUMMYFUNCTION("IMPORTRANGE(""https://docs.google.com/spreadsheets/d/1IYY_tgx_IHuhSq3AJ5eI5OnqOPBNLWSHKh2a30DoXe8/edit?usp=sharing"",""ภูเก็ต!J122"")"),0)</f>
        <v>0</v>
      </c>
      <c r="K197" s="169"/>
      <c r="L197" s="189"/>
      <c r="M197" s="189"/>
      <c r="N197" s="189"/>
      <c r="O197" s="189"/>
      <c r="P197" s="189"/>
    </row>
    <row r="198" spans="1:16" ht="21.75" customHeight="1" x14ac:dyDescent="0.35">
      <c r="A198" s="183"/>
      <c r="B198" s="184"/>
      <c r="C198" s="184"/>
      <c r="D198" s="201"/>
      <c r="E198" s="203"/>
      <c r="F198" s="203" t="s">
        <v>90</v>
      </c>
      <c r="G198" s="204"/>
      <c r="H198" s="188"/>
      <c r="I198" s="195"/>
      <c r="J198" s="195"/>
      <c r="K198" s="169"/>
      <c r="L198" s="189"/>
      <c r="M198" s="189"/>
      <c r="N198" s="189"/>
      <c r="O198" s="189"/>
      <c r="P198" s="189"/>
    </row>
    <row r="199" spans="1:16" ht="21.75" customHeight="1" x14ac:dyDescent="0.35">
      <c r="A199" s="183"/>
      <c r="B199" s="184"/>
      <c r="C199" s="184"/>
      <c r="D199" s="201"/>
      <c r="E199" s="206"/>
      <c r="F199" s="203"/>
      <c r="G199" s="202" t="s">
        <v>91</v>
      </c>
      <c r="H199" s="188" t="s">
        <v>89</v>
      </c>
      <c r="I199" s="195">
        <f ca="1">IFERROR(__xludf.DUMMYFUNCTION("IMPORTRANGE(""https://docs.google.com/spreadsheets/d/1IYY_tgx_IHuhSq3AJ5eI5OnqOPBNLWSHKh2a30DoXe8/edit?usp=sharing"",""ภูเก็ต!I124"")"),0)</f>
        <v>0</v>
      </c>
      <c r="J199" s="196">
        <f ca="1">IFERROR(__xludf.DUMMYFUNCTION("IMPORTRANGE(""https://docs.google.com/spreadsheets/d/1IYY_tgx_IHuhSq3AJ5eI5OnqOPBNLWSHKh2a30DoXe8/edit?usp=sharing"",""ภูเก็ต!J124"")"),0)</f>
        <v>0</v>
      </c>
      <c r="K199" s="169">
        <f t="shared" ref="K199:K201" ca="1" si="70">IF(I199&gt;0,J199*100/I199,0)</f>
        <v>0</v>
      </c>
      <c r="L199" s="189"/>
      <c r="M199" s="189"/>
      <c r="N199" s="189"/>
      <c r="O199" s="189"/>
      <c r="P199" s="189"/>
    </row>
    <row r="200" spans="1:16" ht="21.75" customHeight="1" x14ac:dyDescent="0.35">
      <c r="A200" s="183"/>
      <c r="B200" s="184"/>
      <c r="C200" s="184"/>
      <c r="D200" s="201"/>
      <c r="E200" s="206"/>
      <c r="F200" s="203"/>
      <c r="G200" s="202" t="s">
        <v>92</v>
      </c>
      <c r="H200" s="188" t="s">
        <v>89</v>
      </c>
      <c r="I200" s="195">
        <f ca="1">IFERROR(__xludf.DUMMYFUNCTION("IMPORTRANGE(""https://docs.google.com/spreadsheets/d/1IYY_tgx_IHuhSq3AJ5eI5OnqOPBNLWSHKh2a30DoXe8/edit?usp=sharing"",""ภูเก็ต!I125"")"),0)</f>
        <v>0</v>
      </c>
      <c r="J200" s="196">
        <f ca="1">IFERROR(__xludf.DUMMYFUNCTION("IMPORTRANGE(""https://docs.google.com/spreadsheets/d/1IYY_tgx_IHuhSq3AJ5eI5OnqOPBNLWSHKh2a30DoXe8/edit?usp=sharing"",""ภูเก็ต!J125"")"),0)</f>
        <v>0</v>
      </c>
      <c r="K200" s="169">
        <f t="shared" ca="1" si="70"/>
        <v>0</v>
      </c>
      <c r="L200" s="176"/>
      <c r="M200" s="176"/>
      <c r="N200" s="173"/>
      <c r="O200" s="176"/>
      <c r="P200" s="176"/>
    </row>
    <row r="201" spans="1:16" ht="21.75" customHeight="1" x14ac:dyDescent="0.35">
      <c r="A201" s="183"/>
      <c r="B201" s="184"/>
      <c r="C201" s="184"/>
      <c r="D201" s="201"/>
      <c r="E201" s="206"/>
      <c r="F201" s="203" t="s">
        <v>93</v>
      </c>
      <c r="G201" s="204"/>
      <c r="H201" s="188" t="s">
        <v>37</v>
      </c>
      <c r="I201" s="195">
        <f ca="1">IFERROR(__xludf.DUMMYFUNCTION("IMPORTRANGE(""https://docs.google.com/spreadsheets/d/1IYY_tgx_IHuhSq3AJ5eI5OnqOPBNLWSHKh2a30DoXe8/edit?usp=sharing"",""ภูเก็ต!I126"")"),0)</f>
        <v>0</v>
      </c>
      <c r="J201" s="196">
        <f ca="1">IFERROR(__xludf.DUMMYFUNCTION("IMPORTRANGE(""https://docs.google.com/spreadsheets/d/1IYY_tgx_IHuhSq3AJ5eI5OnqOPBNLWSHKh2a30DoXe8/edit?usp=sharing"",""ภูเก็ต!J126"")"),0)</f>
        <v>0</v>
      </c>
      <c r="K201" s="169">
        <f t="shared" ca="1" si="70"/>
        <v>0</v>
      </c>
      <c r="L201" s="176"/>
      <c r="M201" s="176"/>
      <c r="N201" s="173"/>
      <c r="O201" s="176"/>
      <c r="P201" s="176"/>
    </row>
    <row r="202" spans="1:16" ht="21.75" customHeight="1" x14ac:dyDescent="0.35">
      <c r="A202" s="183"/>
      <c r="B202" s="184"/>
      <c r="C202" s="184"/>
      <c r="D202" s="201"/>
      <c r="E202" s="202" t="s">
        <v>54</v>
      </c>
      <c r="F202" s="203"/>
      <c r="G202" s="204"/>
      <c r="H202" s="194"/>
      <c r="I202" s="195"/>
      <c r="J202" s="205">
        <f ca="1">IFERROR(__xludf.DUMMYFUNCTION("IMPORTRANGE(""https://docs.google.com/spreadsheets/d/1IYY_tgx_IHuhSq3AJ5eI5OnqOPBNLWSHKh2a30DoXe8/edit?usp=sharing"",""ภูเก็ต!J127"")"),0)</f>
        <v>0</v>
      </c>
      <c r="K202" s="169"/>
      <c r="L202" s="189"/>
      <c r="M202" s="189"/>
      <c r="N202" s="189"/>
      <c r="O202" s="189"/>
      <c r="P202" s="189"/>
    </row>
    <row r="203" spans="1:16" ht="21.75" customHeight="1" x14ac:dyDescent="0.35">
      <c r="A203" s="241"/>
      <c r="B203" s="242"/>
      <c r="C203" s="242"/>
      <c r="D203" s="243">
        <v>3</v>
      </c>
      <c r="E203" s="244" t="s">
        <v>55</v>
      </c>
      <c r="F203" s="245"/>
      <c r="G203" s="246"/>
      <c r="H203" s="247"/>
      <c r="I203" s="248"/>
      <c r="J203" s="293">
        <f ca="1">IFERROR(__xludf.DUMMYFUNCTION("IMPORTRANGE(""https://docs.google.com/spreadsheets/d/1IYY_tgx_IHuhSq3AJ5eI5OnqOPBNLWSHKh2a30DoXe8/edit?usp=sharing"",""ภูเก็ต!J128"")"),0)</f>
        <v>0</v>
      </c>
      <c r="K203" s="294"/>
      <c r="L203" s="252"/>
      <c r="M203" s="252"/>
      <c r="N203" s="252"/>
      <c r="O203" s="252"/>
      <c r="P203" s="252"/>
    </row>
    <row r="204" spans="1:16" ht="21.75" customHeight="1" x14ac:dyDescent="0.35">
      <c r="A204" s="277"/>
      <c r="B204" s="278"/>
      <c r="C204" s="295" t="s">
        <v>94</v>
      </c>
      <c r="D204" s="279"/>
      <c r="E204" s="279"/>
      <c r="F204" s="279"/>
      <c r="G204" s="280"/>
      <c r="H204" s="292" t="s">
        <v>37</v>
      </c>
      <c r="I204" s="290">
        <f ca="1">IFERROR(__xludf.DUMMYFUNCTION("IMPORTRANGE(""https://docs.google.com/spreadsheets/d/1IYY_tgx_IHuhSq3AJ5eI5OnqOPBNLWSHKh2a30DoXe8/edit?usp=sharing"",""ภูเก็ต!I129"")"),0)</f>
        <v>0</v>
      </c>
      <c r="J204" s="290">
        <f ca="1">IFERROR(__xludf.DUMMYFUNCTION("IMPORTRANGE(""https://docs.google.com/spreadsheets/d/1IYY_tgx_IHuhSq3AJ5eI5OnqOPBNLWSHKh2a30DoXe8/edit?usp=sharing"",""ภูเก็ต!J129"")"),0)</f>
        <v>0</v>
      </c>
      <c r="K204" s="291">
        <f ca="1">IF(I204&gt;0,J204*100/I204,0)</f>
        <v>0</v>
      </c>
      <c r="L204" s="284"/>
      <c r="M204" s="284"/>
      <c r="N204" s="284"/>
      <c r="O204" s="284"/>
      <c r="P204" s="284"/>
    </row>
    <row r="205" spans="1:16" ht="21.75" customHeight="1" x14ac:dyDescent="0.35">
      <c r="A205" s="162"/>
      <c r="B205" s="163"/>
      <c r="C205" s="163" t="s">
        <v>16</v>
      </c>
      <c r="D205" s="164" t="s">
        <v>38</v>
      </c>
      <c r="E205" s="165"/>
      <c r="F205" s="165"/>
      <c r="G205" s="166" t="s">
        <v>39</v>
      </c>
      <c r="H205" s="167" t="s">
        <v>12</v>
      </c>
      <c r="I205" s="168" t="s">
        <v>40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 x14ac:dyDescent="0.35">
      <c r="A206" s="162"/>
      <c r="B206" s="163"/>
      <c r="C206" s="163"/>
      <c r="D206" s="172"/>
      <c r="E206" s="165"/>
      <c r="F206" s="165" t="s">
        <v>40</v>
      </c>
      <c r="G206" s="166" t="s">
        <v>41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 x14ac:dyDescent="0.35">
      <c r="A207" s="162"/>
      <c r="B207" s="163"/>
      <c r="C207" s="163"/>
      <c r="D207" s="172"/>
      <c r="E207" s="165"/>
      <c r="F207" s="165"/>
      <c r="G207" s="177" t="s">
        <v>43</v>
      </c>
      <c r="H207" s="167" t="s">
        <v>12</v>
      </c>
      <c r="I207" s="168"/>
      <c r="J207" s="195"/>
      <c r="K207" s="231"/>
      <c r="L207" s="176"/>
      <c r="M207" s="176"/>
      <c r="N207" s="173"/>
      <c r="O207" s="176"/>
      <c r="P207" s="176"/>
    </row>
    <row r="208" spans="1:16" ht="21.75" customHeight="1" x14ac:dyDescent="0.35">
      <c r="A208" s="183"/>
      <c r="B208" s="184"/>
      <c r="C208" s="163" t="s">
        <v>16</v>
      </c>
      <c r="D208" s="185" t="s">
        <v>44</v>
      </c>
      <c r="E208" s="186"/>
      <c r="F208" s="186"/>
      <c r="G208" s="187"/>
      <c r="H208" s="188"/>
      <c r="I208" s="168"/>
      <c r="J208" s="195"/>
      <c r="K208" s="231"/>
      <c r="L208" s="176"/>
      <c r="M208" s="176"/>
      <c r="N208" s="176"/>
      <c r="O208" s="189"/>
      <c r="P208" s="189"/>
    </row>
    <row r="209" spans="1:16" ht="21.75" customHeight="1" x14ac:dyDescent="0.35">
      <c r="A209" s="183"/>
      <c r="B209" s="184"/>
      <c r="C209" s="184"/>
      <c r="D209" s="190">
        <v>1</v>
      </c>
      <c r="E209" s="191" t="s">
        <v>45</v>
      </c>
      <c r="F209" s="192"/>
      <c r="G209" s="193"/>
      <c r="H209" s="194"/>
      <c r="I209" s="195"/>
      <c r="J209" s="195">
        <f ca="1">IFERROR(__xludf.DUMMYFUNCTION("IMPORTRANGE(""https://docs.google.com/spreadsheets/d/1IYY_tgx_IHuhSq3AJ5eI5OnqOPBNLWSHKh2a30DoXe8/edit?usp=sharing"",""ภูเก็ต!J134"")"),0)</f>
        <v>0</v>
      </c>
      <c r="K209" s="231"/>
      <c r="L209" s="176"/>
      <c r="M209" s="176"/>
      <c r="N209" s="176"/>
      <c r="O209" s="189"/>
      <c r="P209" s="189"/>
    </row>
    <row r="210" spans="1:16" ht="21.75" customHeight="1" x14ac:dyDescent="0.35">
      <c r="A210" s="183"/>
      <c r="B210" s="184"/>
      <c r="C210" s="184"/>
      <c r="D210" s="197">
        <v>2</v>
      </c>
      <c r="E210" s="198" t="s">
        <v>46</v>
      </c>
      <c r="F210" s="199"/>
      <c r="G210" s="200"/>
      <c r="H210" s="194"/>
      <c r="I210" s="195"/>
      <c r="J210" s="195">
        <f ca="1">IFERROR(__xludf.DUMMYFUNCTION("IMPORTRANGE(""https://docs.google.com/spreadsheets/d/1IYY_tgx_IHuhSq3AJ5eI5OnqOPBNLWSHKh2a30DoXe8/edit?usp=sharing"",""ภูเก็ต!J135"")"),0)</f>
        <v>0</v>
      </c>
      <c r="K210" s="231"/>
      <c r="L210" s="176"/>
      <c r="M210" s="176"/>
      <c r="N210" s="176"/>
      <c r="O210" s="189"/>
      <c r="P210" s="189"/>
    </row>
    <row r="211" spans="1:16" ht="21.75" customHeight="1" x14ac:dyDescent="0.35">
      <c r="A211" s="183"/>
      <c r="B211" s="184"/>
      <c r="C211" s="184"/>
      <c r="D211" s="201"/>
      <c r="E211" s="202" t="s">
        <v>47</v>
      </c>
      <c r="F211" s="203"/>
      <c r="G211" s="204"/>
      <c r="H211" s="194"/>
      <c r="I211" s="195"/>
      <c r="J211" s="195">
        <f ca="1">IFERROR(__xludf.DUMMYFUNCTION("IMPORTRANGE(""https://docs.google.com/spreadsheets/d/1IYY_tgx_IHuhSq3AJ5eI5OnqOPBNLWSHKh2a30DoXe8/edit?usp=sharing"",""ภูเก็ต!J136"")"),0)</f>
        <v>0</v>
      </c>
      <c r="K211" s="231"/>
      <c r="L211" s="176"/>
      <c r="M211" s="176"/>
      <c r="N211" s="176"/>
      <c r="O211" s="189"/>
      <c r="P211" s="189"/>
    </row>
    <row r="212" spans="1:16" ht="21.75" customHeight="1" x14ac:dyDescent="0.35">
      <c r="A212" s="183"/>
      <c r="B212" s="184"/>
      <c r="C212" s="184"/>
      <c r="D212" s="201"/>
      <c r="E212" s="202" t="s">
        <v>48</v>
      </c>
      <c r="F212" s="203"/>
      <c r="G212" s="204"/>
      <c r="H212" s="194"/>
      <c r="I212" s="195"/>
      <c r="J212" s="195">
        <f ca="1">IFERROR(__xludf.DUMMYFUNCTION("IMPORTRANGE(""https://docs.google.com/spreadsheets/d/1IYY_tgx_IHuhSq3AJ5eI5OnqOPBNLWSHKh2a30DoXe8/edit?usp=sharing"",""ภูเก็ต!J137"")"),0)</f>
        <v>0</v>
      </c>
      <c r="K212" s="231"/>
      <c r="L212" s="176"/>
      <c r="M212" s="176"/>
      <c r="N212" s="176"/>
      <c r="O212" s="189"/>
      <c r="P212" s="189"/>
    </row>
    <row r="213" spans="1:16" ht="21.75" customHeight="1" x14ac:dyDescent="0.35">
      <c r="A213" s="183"/>
      <c r="B213" s="184"/>
      <c r="C213" s="184"/>
      <c r="D213" s="201"/>
      <c r="E213" s="206"/>
      <c r="F213" s="203" t="s">
        <v>95</v>
      </c>
      <c r="G213" s="204"/>
      <c r="H213" s="188" t="s">
        <v>37</v>
      </c>
      <c r="I213" s="195">
        <f ca="1">IFERROR(__xludf.DUMMYFUNCTION("IMPORTRANGE(""https://docs.google.com/spreadsheets/d/1IYY_tgx_IHuhSq3AJ5eI5OnqOPBNLWSHKh2a30DoXe8/edit?usp=sharing"",""ภูเก็ต!I138"")"),0)</f>
        <v>0</v>
      </c>
      <c r="J213" s="211">
        <f ca="1">IFERROR(__xludf.DUMMYFUNCTION("IMPORTRANGE(""https://docs.google.com/spreadsheets/d/1IYY_tgx_IHuhSq3AJ5eI5OnqOPBNLWSHKh2a30DoXe8/edit?usp=sharing"",""ภูเก็ต!J138"")"),0)</f>
        <v>0</v>
      </c>
      <c r="K213" s="231">
        <f ca="1">IF(I213&gt;0,J213*100/I213,0)</f>
        <v>0</v>
      </c>
      <c r="L213" s="176"/>
      <c r="M213" s="176"/>
      <c r="N213" s="173"/>
      <c r="O213" s="176"/>
      <c r="P213" s="176"/>
    </row>
    <row r="214" spans="1:16" ht="21.75" customHeight="1" x14ac:dyDescent="0.35">
      <c r="A214" s="183"/>
      <c r="B214" s="184"/>
      <c r="C214" s="184"/>
      <c r="D214" s="201"/>
      <c r="E214" s="206"/>
      <c r="F214" s="202" t="s">
        <v>53</v>
      </c>
      <c r="G214" s="204"/>
      <c r="H214" s="188"/>
      <c r="I214" s="195"/>
      <c r="J214" s="195"/>
      <c r="K214" s="231"/>
      <c r="L214" s="176"/>
      <c r="M214" s="176"/>
      <c r="N214" s="176"/>
      <c r="O214" s="189"/>
      <c r="P214" s="189"/>
    </row>
    <row r="215" spans="1:16" ht="21.75" customHeight="1" x14ac:dyDescent="0.35">
      <c r="A215" s="183"/>
      <c r="B215" s="184"/>
      <c r="C215" s="184"/>
      <c r="D215" s="201"/>
      <c r="E215" s="206"/>
      <c r="F215" s="203"/>
      <c r="G215" s="233" t="s">
        <v>96</v>
      </c>
      <c r="H215" s="188" t="s">
        <v>37</v>
      </c>
      <c r="I215" s="195">
        <f ca="1">IFERROR(__xludf.DUMMYFUNCTION("IMPORTRANGE(""https://docs.google.com/spreadsheets/d/1IYY_tgx_IHuhSq3AJ5eI5OnqOPBNLWSHKh2a30DoXe8/edit?usp=sharing"",""ภูเก็ต!I140"")"),0)</f>
        <v>0</v>
      </c>
      <c r="J215" s="211">
        <f ca="1">IFERROR(__xludf.DUMMYFUNCTION("IMPORTRANGE(""https://docs.google.com/spreadsheets/d/1IYY_tgx_IHuhSq3AJ5eI5OnqOPBNLWSHKh2a30DoXe8/edit?usp=sharing"",""ภูเก็ต!J140"")"),0)</f>
        <v>0</v>
      </c>
      <c r="K215" s="231">
        <f t="shared" ref="K215:K216" ca="1" si="71">IF(I215&gt;0,J215*100/I215,0)</f>
        <v>0</v>
      </c>
      <c r="L215" s="176"/>
      <c r="M215" s="176"/>
      <c r="N215" s="173"/>
      <c r="O215" s="176"/>
      <c r="P215" s="176"/>
    </row>
    <row r="216" spans="1:16" ht="21.75" customHeight="1" x14ac:dyDescent="0.35">
      <c r="A216" s="183"/>
      <c r="B216" s="184"/>
      <c r="C216" s="184"/>
      <c r="D216" s="201"/>
      <c r="E216" s="206"/>
      <c r="F216" s="203"/>
      <c r="G216" s="233" t="s">
        <v>97</v>
      </c>
      <c r="H216" s="188" t="s">
        <v>59</v>
      </c>
      <c r="I216" s="195">
        <f ca="1">IFERROR(__xludf.DUMMYFUNCTION("IMPORTRANGE(""https://docs.google.com/spreadsheets/d/1IYY_tgx_IHuhSq3AJ5eI5OnqOPBNLWSHKh2a30DoXe8/edit?usp=sharing"",""ภูเก็ต!I141"")"),0)</f>
        <v>0</v>
      </c>
      <c r="J216" s="211">
        <f ca="1">IFERROR(__xludf.DUMMYFUNCTION("IMPORTRANGE(""https://docs.google.com/spreadsheets/d/1IYY_tgx_IHuhSq3AJ5eI5OnqOPBNLWSHKh2a30DoXe8/edit?usp=sharing"",""ภูเก็ต!J141"")"),0)</f>
        <v>0</v>
      </c>
      <c r="K216" s="231">
        <f t="shared" ca="1" si="71"/>
        <v>0</v>
      </c>
      <c r="L216" s="176"/>
      <c r="M216" s="176"/>
      <c r="N216" s="173"/>
      <c r="O216" s="176"/>
      <c r="P216" s="176"/>
    </row>
    <row r="217" spans="1:16" ht="21.75" customHeight="1" x14ac:dyDescent="0.35">
      <c r="A217" s="183"/>
      <c r="B217" s="184"/>
      <c r="C217" s="184"/>
      <c r="D217" s="201"/>
      <c r="E217" s="202" t="s">
        <v>54</v>
      </c>
      <c r="F217" s="203"/>
      <c r="G217" s="204"/>
      <c r="H217" s="194"/>
      <c r="I217" s="195"/>
      <c r="J217" s="195">
        <f ca="1">IFERROR(__xludf.DUMMYFUNCTION("IMPORTRANGE(""https://docs.google.com/spreadsheets/d/1IYY_tgx_IHuhSq3AJ5eI5OnqOPBNLWSHKh2a30DoXe8/edit?usp=sharing"",""ภูเก็ต!J142"")"),0)</f>
        <v>0</v>
      </c>
      <c r="K217" s="231"/>
      <c r="L217" s="176"/>
      <c r="M217" s="176"/>
      <c r="N217" s="176"/>
      <c r="O217" s="189"/>
      <c r="P217" s="189"/>
    </row>
    <row r="218" spans="1:16" ht="21.75" customHeight="1" x14ac:dyDescent="0.35">
      <c r="A218" s="241"/>
      <c r="B218" s="242"/>
      <c r="C218" s="242"/>
      <c r="D218" s="243">
        <v>3</v>
      </c>
      <c r="E218" s="244" t="s">
        <v>55</v>
      </c>
      <c r="F218" s="245"/>
      <c r="G218" s="246"/>
      <c r="H218" s="247"/>
      <c r="I218" s="248"/>
      <c r="J218" s="249">
        <f ca="1">IFERROR(__xludf.DUMMYFUNCTION("IMPORTRANGE(""https://docs.google.com/spreadsheets/d/1IYY_tgx_IHuhSq3AJ5eI5OnqOPBNLWSHKh2a30DoXe8/edit?usp=sharing"",""ภูเก็ต!J143"")"),0)</f>
        <v>0</v>
      </c>
      <c r="K218" s="250"/>
      <c r="L218" s="251"/>
      <c r="M218" s="251"/>
      <c r="N218" s="251"/>
      <c r="O218" s="252"/>
      <c r="P218" s="252"/>
    </row>
    <row r="219" spans="1:16" ht="21.75" customHeight="1" x14ac:dyDescent="0.35">
      <c r="A219" s="269"/>
      <c r="B219" s="270" t="s">
        <v>98</v>
      </c>
      <c r="C219" s="271"/>
      <c r="D219" s="270"/>
      <c r="E219" s="270"/>
      <c r="F219" s="270"/>
      <c r="G219" s="272"/>
      <c r="H219" s="273" t="s">
        <v>37</v>
      </c>
      <c r="I219" s="274">
        <f ca="1">IFERROR(__xludf.DUMMYFUNCTION("IMPORTRANGE(""https://docs.google.com/spreadsheets/d/1IYY_tgx_IHuhSq3AJ5eI5OnqOPBNLWSHKh2a30DoXe8/edit?usp=sharing"",""ภูเก็ต!I144"")"),13)</f>
        <v>13</v>
      </c>
      <c r="J219" s="274">
        <f ca="1">IFERROR(__xludf.DUMMYFUNCTION("IMPORTRANGE(""https://docs.google.com/spreadsheets/d/1IYY_tgx_IHuhSq3AJ5eI5OnqOPBNLWSHKh2a30DoXe8/edit?usp=sharing"",""ภูเก็ต!J144"")"),0)</f>
        <v>0</v>
      </c>
      <c r="K219" s="275">
        <f ca="1">IF(I219&gt;0,J219*100/I219,0)</f>
        <v>0</v>
      </c>
      <c r="L219" s="276"/>
      <c r="M219" s="276"/>
      <c r="N219" s="276"/>
      <c r="O219" s="275"/>
      <c r="P219" s="275"/>
    </row>
    <row r="220" spans="1:16" ht="21.75" customHeight="1" x14ac:dyDescent="0.45">
      <c r="A220" s="150"/>
      <c r="B220" s="151"/>
      <c r="C220" s="152" t="s">
        <v>16</v>
      </c>
      <c r="D220" s="552" t="s">
        <v>17</v>
      </c>
      <c r="E220" s="543"/>
      <c r="F220" s="543"/>
      <c r="G220" s="543"/>
      <c r="H220" s="153" t="s">
        <v>12</v>
      </c>
      <c r="I220" s="168"/>
      <c r="J220" s="168"/>
      <c r="K220" s="169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0</v>
      </c>
      <c r="O220" s="155">
        <f t="shared" ref="O220:O222" ca="1" si="73">IF(L220&gt;0,N220*100/L220,0)</f>
        <v>0</v>
      </c>
      <c r="P220" s="155">
        <f t="shared" ref="P220:P222" ca="1" si="74">IF(M220&gt;0,N220*100/M220,0)</f>
        <v>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8"/>
      <c r="J221" s="168"/>
      <c r="K221" s="169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8"/>
      <c r="J222" s="168"/>
      <c r="K222" s="169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0</v>
      </c>
      <c r="O222" s="160">
        <f t="shared" ca="1" si="73"/>
        <v>0</v>
      </c>
      <c r="P222" s="160">
        <f t="shared" ca="1" si="74"/>
        <v>0</v>
      </c>
    </row>
    <row r="223" spans="1:16" ht="21.75" customHeight="1" x14ac:dyDescent="0.35">
      <c r="A223" s="162"/>
      <c r="B223" s="163"/>
      <c r="C223" s="163" t="s">
        <v>16</v>
      </c>
      <c r="D223" s="164" t="s">
        <v>38</v>
      </c>
      <c r="E223" s="165"/>
      <c r="F223" s="165"/>
      <c r="G223" s="166" t="s">
        <v>39</v>
      </c>
      <c r="H223" s="167" t="s">
        <v>12</v>
      </c>
      <c r="I223" s="168" t="s">
        <v>40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 x14ac:dyDescent="0.35">
      <c r="A224" s="162"/>
      <c r="B224" s="163"/>
      <c r="C224" s="163"/>
      <c r="D224" s="172"/>
      <c r="E224" s="165"/>
      <c r="F224" s="165" t="s">
        <v>40</v>
      </c>
      <c r="G224" s="166" t="s">
        <v>41</v>
      </c>
      <c r="H224" s="167" t="s">
        <v>12</v>
      </c>
      <c r="I224" s="168"/>
      <c r="J224" s="168"/>
      <c r="K224" s="169"/>
      <c r="L224" s="173">
        <f ca="1">L225+L226</f>
        <v>19295</v>
      </c>
      <c r="M224" s="174">
        <f ca="1">IFERROR(__xludf.DUMMYFUNCTION("IMPORTRANGE(""https://docs.google.com/spreadsheets/d/1Yj_ptqi66GCucihVvJfMjLAmec39IyEx_6qawtMGysU/edit?usp=sharing"",""สบก!BS89"")"),19295)</f>
        <v>19295</v>
      </c>
      <c r="N224" s="175">
        <f ca="1">IFERROR(__xludf.DUMMYFUNCTION("IMPORTRANGE(""https://docs.google.com/spreadsheets/d/1Yj_ptqi66GCucihVvJfMjLAmec39IyEx_6qawtMGysU/edit?usp=sharing"",""สบก!BT89"")"),0)</f>
        <v>0</v>
      </c>
      <c r="O224" s="176">
        <f ca="1">IF(L224&gt;0,N224*100/L224,0)</f>
        <v>0</v>
      </c>
      <c r="P224" s="176">
        <f ca="1">IF(M224&gt;0,N224*100/M224,0)</f>
        <v>0</v>
      </c>
    </row>
    <row r="225" spans="1:16" ht="21.75" customHeight="1" x14ac:dyDescent="0.35">
      <c r="A225" s="162"/>
      <c r="B225" s="163"/>
      <c r="C225" s="163"/>
      <c r="D225" s="172"/>
      <c r="E225" s="165"/>
      <c r="F225" s="165"/>
      <c r="G225" s="177" t="s">
        <v>42</v>
      </c>
      <c r="H225" s="167" t="s">
        <v>12</v>
      </c>
      <c r="I225" s="168"/>
      <c r="J225" s="168"/>
      <c r="K225" s="169"/>
      <c r="L225" s="174">
        <f ca="1">IFERROR(__xludf.DUMMYFUNCTION("IMPORTRANGE(""https://docs.google.com/spreadsheets/d/1Yj_ptqi66GCucihVvJfMjLAmec39IyEx_6qawtMGysU/edit?usp=sharing"",""สบก!BO89"")"),0)</f>
        <v>0</v>
      </c>
      <c r="M225" s="173"/>
      <c r="N225" s="173"/>
      <c r="O225" s="176"/>
      <c r="P225" s="176"/>
    </row>
    <row r="226" spans="1:16" ht="21.75" customHeight="1" x14ac:dyDescent="0.35">
      <c r="A226" s="162"/>
      <c r="B226" s="163"/>
      <c r="C226" s="163"/>
      <c r="D226" s="172"/>
      <c r="E226" s="165"/>
      <c r="F226" s="165"/>
      <c r="G226" s="177" t="s">
        <v>43</v>
      </c>
      <c r="H226" s="167" t="s">
        <v>12</v>
      </c>
      <c r="I226" s="168"/>
      <c r="J226" s="168"/>
      <c r="K226" s="169"/>
      <c r="L226" s="174">
        <f ca="1">IFERROR(__xludf.DUMMYFUNCTION("IMPORTRANGE(""https://docs.google.com/spreadsheets/d/1Yj_ptqi66GCucihVvJfMjLAmec39IyEx_6qawtMGysU/edit?usp=sharing"",""สบก!BP89"")"),19295)</f>
        <v>19295</v>
      </c>
      <c r="M226" s="173"/>
      <c r="N226" s="173"/>
      <c r="O226" s="176"/>
      <c r="P226" s="176"/>
    </row>
    <row r="227" spans="1:16" ht="21.75" customHeight="1" x14ac:dyDescent="0.45">
      <c r="A227" s="178"/>
      <c r="B227" s="81"/>
      <c r="C227" s="82" t="s">
        <v>16</v>
      </c>
      <c r="D227" s="549" t="s">
        <v>23</v>
      </c>
      <c r="E227" s="545"/>
      <c r="F227" s="89"/>
      <c r="G227" s="83" t="s">
        <v>18</v>
      </c>
      <c r="H227" s="179" t="s">
        <v>12</v>
      </c>
      <c r="I227" s="208"/>
      <c r="J227" s="208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80"/>
      <c r="B228" s="95"/>
      <c r="C228" s="95"/>
      <c r="D228" s="181"/>
      <c r="E228" s="96"/>
      <c r="F228" s="96"/>
      <c r="G228" s="97" t="s">
        <v>19</v>
      </c>
      <c r="H228" s="182" t="s">
        <v>12</v>
      </c>
      <c r="I228" s="208"/>
      <c r="J228" s="208"/>
      <c r="K228" s="296"/>
      <c r="L228" s="91">
        <f ca="1">IFERROR(__xludf.DUMMYFUNCTION("IMPORTRANGE(""https://docs.google.com/spreadsheets/d/1Yj_ptqi66GCucihVvJfMjLAmec39IyEx_6qawtMGysU/edit?usp=sharing"",""สบก!BQ89"")"),0)</f>
        <v>0</v>
      </c>
      <c r="M228" s="101"/>
      <c r="N228" s="91">
        <f ca="1">IFERROR(__xludf.DUMMYFUNCTION("IMPORTRANGE(""https://docs.google.com/spreadsheets/d/1Yj_ptqi66GCucihVvJfMjLAmec39IyEx_6qawtMGysU/edit?usp=sharing"",""สบก!BU89"")"),0)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3"/>
      <c r="B229" s="297"/>
      <c r="C229" s="271" t="s">
        <v>99</v>
      </c>
      <c r="D229" s="270"/>
      <c r="E229" s="270"/>
      <c r="F229" s="270"/>
      <c r="G229" s="272"/>
      <c r="H229" s="273" t="s">
        <v>37</v>
      </c>
      <c r="I229" s="274">
        <f ca="1">IFERROR(__xludf.DUMMYFUNCTION("IMPORTRANGE(""https://docs.google.com/spreadsheets/d/1IYY_tgx_IHuhSq3AJ5eI5OnqOPBNLWSHKh2a30DoXe8/edit?usp=sharing"",""ภูเก็ต!I149"")"),13)</f>
        <v>13</v>
      </c>
      <c r="J229" s="274">
        <f ca="1">IFERROR(__xludf.DUMMYFUNCTION("IMPORTRANGE(""https://docs.google.com/spreadsheets/d/1IYY_tgx_IHuhSq3AJ5eI5OnqOPBNLWSHKh2a30DoXe8/edit?usp=sharing"",""ภูเก็ต!J149"")"),0)</f>
        <v>0</v>
      </c>
      <c r="K229" s="275">
        <f ca="1">IF(I229&gt;0,J229*100/I229,0)</f>
        <v>0</v>
      </c>
      <c r="L229" s="298"/>
      <c r="M229" s="298"/>
      <c r="N229" s="298"/>
      <c r="O229" s="298"/>
      <c r="P229" s="298"/>
    </row>
    <row r="230" spans="1:16" ht="21.75" customHeight="1" x14ac:dyDescent="0.35">
      <c r="A230" s="183"/>
      <c r="B230" s="184"/>
      <c r="C230" s="163" t="s">
        <v>16</v>
      </c>
      <c r="D230" s="185" t="s">
        <v>44</v>
      </c>
      <c r="E230" s="186"/>
      <c r="F230" s="186"/>
      <c r="G230" s="187"/>
      <c r="H230" s="188"/>
      <c r="I230" s="168"/>
      <c r="J230" s="168"/>
      <c r="K230" s="169"/>
      <c r="L230" s="189"/>
      <c r="M230" s="189"/>
      <c r="N230" s="189"/>
      <c r="O230" s="189"/>
      <c r="P230" s="189"/>
    </row>
    <row r="231" spans="1:16" ht="21.75" customHeight="1" x14ac:dyDescent="0.35">
      <c r="A231" s="183"/>
      <c r="B231" s="184"/>
      <c r="C231" s="184"/>
      <c r="D231" s="190">
        <v>1</v>
      </c>
      <c r="E231" s="191" t="s">
        <v>45</v>
      </c>
      <c r="F231" s="192"/>
      <c r="G231" s="193"/>
      <c r="H231" s="194"/>
      <c r="I231" s="195"/>
      <c r="J231" s="205">
        <f ca="1">IFERROR(__xludf.DUMMYFUNCTION("IMPORTRANGE(""https://docs.google.com/spreadsheets/d/1IYY_tgx_IHuhSq3AJ5eI5OnqOPBNLWSHKh2a30DoXe8/edit?usp=sharing"",""ภูเก็ต!J151"")"),0)</f>
        <v>0</v>
      </c>
      <c r="K231" s="169"/>
      <c r="L231" s="189"/>
      <c r="M231" s="189"/>
      <c r="N231" s="189"/>
      <c r="O231" s="189"/>
      <c r="P231" s="189"/>
    </row>
    <row r="232" spans="1:16" ht="21.75" customHeight="1" x14ac:dyDescent="0.35">
      <c r="A232" s="183"/>
      <c r="B232" s="184"/>
      <c r="C232" s="184"/>
      <c r="D232" s="197">
        <v>2</v>
      </c>
      <c r="E232" s="198" t="s">
        <v>46</v>
      </c>
      <c r="F232" s="199"/>
      <c r="G232" s="200"/>
      <c r="H232" s="194"/>
      <c r="I232" s="195"/>
      <c r="J232" s="196">
        <f ca="1">IFERROR(__xludf.DUMMYFUNCTION("IMPORTRANGE(""https://docs.google.com/spreadsheets/d/1IYY_tgx_IHuhSq3AJ5eI5OnqOPBNLWSHKh2a30DoXe8/edit?usp=sharing"",""ภูเก็ต!J152"")"),1)</f>
        <v>1</v>
      </c>
      <c r="K232" s="169"/>
      <c r="L232" s="189" t="s">
        <v>40</v>
      </c>
      <c r="M232" s="189"/>
      <c r="N232" s="189" t="s">
        <v>40</v>
      </c>
      <c r="O232" s="189"/>
      <c r="P232" s="189"/>
    </row>
    <row r="233" spans="1:16" ht="21.75" customHeight="1" x14ac:dyDescent="0.35">
      <c r="A233" s="183"/>
      <c r="B233" s="184"/>
      <c r="C233" s="184"/>
      <c r="D233" s="201"/>
      <c r="E233" s="202" t="s">
        <v>47</v>
      </c>
      <c r="F233" s="203"/>
      <c r="G233" s="204"/>
      <c r="H233" s="194"/>
      <c r="I233" s="195"/>
      <c r="J233" s="196">
        <f ca="1">IFERROR(__xludf.DUMMYFUNCTION("IMPORTRANGE(""https://docs.google.com/spreadsheets/d/1IYY_tgx_IHuhSq3AJ5eI5OnqOPBNLWSHKh2a30DoXe8/edit?usp=sharing"",""ภูเก็ต!J153"")"),1)</f>
        <v>1</v>
      </c>
      <c r="K233" s="169"/>
      <c r="L233" s="189"/>
      <c r="M233" s="189"/>
      <c r="N233" s="189"/>
      <c r="O233" s="189"/>
      <c r="P233" s="189"/>
    </row>
    <row r="234" spans="1:16" ht="21.75" customHeight="1" x14ac:dyDescent="0.35">
      <c r="A234" s="183"/>
      <c r="B234" s="184"/>
      <c r="C234" s="184"/>
      <c r="D234" s="201"/>
      <c r="E234" s="202" t="s">
        <v>48</v>
      </c>
      <c r="F234" s="203"/>
      <c r="G234" s="204"/>
      <c r="H234" s="194"/>
      <c r="I234" s="195"/>
      <c r="J234" s="205">
        <f ca="1">IFERROR(__xludf.DUMMYFUNCTION("IMPORTRANGE(""https://docs.google.com/spreadsheets/d/1IYY_tgx_IHuhSq3AJ5eI5OnqOPBNLWSHKh2a30DoXe8/edit?usp=sharing"",""ภูเก็ต!J154"")"),1)</f>
        <v>1</v>
      </c>
      <c r="K234" s="169"/>
      <c r="L234" s="189"/>
      <c r="M234" s="189"/>
      <c r="N234" s="189"/>
      <c r="O234" s="189"/>
      <c r="P234" s="189"/>
    </row>
    <row r="235" spans="1:16" ht="21.75" customHeight="1" x14ac:dyDescent="0.35">
      <c r="A235" s="183"/>
      <c r="B235" s="184"/>
      <c r="C235" s="184"/>
      <c r="D235" s="201"/>
      <c r="E235" s="206"/>
      <c r="F235" s="203"/>
      <c r="G235" s="299" t="s">
        <v>70</v>
      </c>
      <c r="H235" s="194" t="s">
        <v>37</v>
      </c>
      <c r="I235" s="195">
        <f ca="1">IFERROR(__xludf.DUMMYFUNCTION("IMPORTRANGE(""https://docs.google.com/spreadsheets/d/1IYY_tgx_IHuhSq3AJ5eI5OnqOPBNLWSHKh2a30DoXe8/edit?usp=sharing"",""ภูเก็ต!I155"")"),13)</f>
        <v>13</v>
      </c>
      <c r="J235" s="196">
        <f ca="1">IFERROR(__xludf.DUMMYFUNCTION("IMPORTRANGE(""https://docs.google.com/spreadsheets/d/1IYY_tgx_IHuhSq3AJ5eI5OnqOPBNLWSHKh2a30DoXe8/edit?usp=sharing"",""ภูเก็ต!J155"")"),0)</f>
        <v>0</v>
      </c>
      <c r="K235" s="169">
        <f ca="1">IF(I235&gt;0,J235*100/I235,0)</f>
        <v>0</v>
      </c>
      <c r="L235" s="189"/>
      <c r="M235" s="189"/>
      <c r="N235" s="189"/>
      <c r="O235" s="189"/>
      <c r="P235" s="189"/>
    </row>
    <row r="236" spans="1:16" ht="21.75" customHeight="1" x14ac:dyDescent="0.35">
      <c r="A236" s="183"/>
      <c r="B236" s="184"/>
      <c r="C236" s="184"/>
      <c r="D236" s="201"/>
      <c r="E236" s="202" t="s">
        <v>54</v>
      </c>
      <c r="F236" s="203"/>
      <c r="G236" s="204"/>
      <c r="H236" s="194"/>
      <c r="I236" s="195"/>
      <c r="J236" s="205">
        <f ca="1">IFERROR(__xludf.DUMMYFUNCTION("IMPORTRANGE(""https://docs.google.com/spreadsheets/d/1IYY_tgx_IHuhSq3AJ5eI5OnqOPBNLWSHKh2a30DoXe8/edit?usp=sharing"",""ภูเก็ต!J156"")"),0)</f>
        <v>0</v>
      </c>
      <c r="K236" s="169"/>
      <c r="L236" s="189"/>
      <c r="M236" s="189"/>
      <c r="N236" s="189"/>
      <c r="O236" s="189"/>
      <c r="P236" s="189"/>
    </row>
    <row r="237" spans="1:16" ht="21.75" customHeight="1" x14ac:dyDescent="0.35">
      <c r="A237" s="183"/>
      <c r="B237" s="184"/>
      <c r="C237" s="184"/>
      <c r="D237" s="213">
        <v>3</v>
      </c>
      <c r="E237" s="214" t="s">
        <v>55</v>
      </c>
      <c r="F237" s="215"/>
      <c r="G237" s="216"/>
      <c r="H237" s="194"/>
      <c r="I237" s="195"/>
      <c r="J237" s="217">
        <f ca="1">IFERROR(__xludf.DUMMYFUNCTION("IMPORTRANGE(""https://docs.google.com/spreadsheets/d/1IYY_tgx_IHuhSq3AJ5eI5OnqOPBNLWSHKh2a30DoXe8/edit?usp=sharing"",""ภูเก็ต!J157"")"),0)</f>
        <v>0</v>
      </c>
      <c r="K237" s="169"/>
      <c r="L237" s="189"/>
      <c r="M237" s="189"/>
      <c r="N237" s="189"/>
      <c r="O237" s="189"/>
      <c r="P237" s="189"/>
    </row>
    <row r="238" spans="1:16" ht="21.75" customHeight="1" x14ac:dyDescent="0.35">
      <c r="A238" s="183"/>
      <c r="B238" s="184"/>
      <c r="C238" s="271" t="s">
        <v>100</v>
      </c>
      <c r="D238" s="300"/>
      <c r="E238" s="270"/>
      <c r="F238" s="270"/>
      <c r="G238" s="272"/>
      <c r="H238" s="273" t="s">
        <v>37</v>
      </c>
      <c r="I238" s="274">
        <f ca="1">IFERROR(__xludf.DUMMYFUNCTION("IMPORTRANGE(""https://docs.google.com/spreadsheets/d/1IYY_tgx_IHuhSq3AJ5eI5OnqOPBNLWSHKh2a30DoXe8/edit?usp=sharing"",""ภูเก็ต!I158"")"),0)</f>
        <v>0</v>
      </c>
      <c r="J238" s="274">
        <f ca="1">IFERROR(__xludf.DUMMYFUNCTION("IMPORTRANGE(""https://docs.google.com/spreadsheets/d/1IYY_tgx_IHuhSq3AJ5eI5OnqOPBNLWSHKh2a30DoXe8/edit?usp=sharing"",""ภูเก็ต!J158"")"),0)</f>
        <v>0</v>
      </c>
      <c r="K238" s="275">
        <f ca="1">IF(I238&gt;0,J238*100/I238,0)</f>
        <v>0</v>
      </c>
      <c r="L238" s="189"/>
      <c r="M238" s="189"/>
      <c r="N238" s="189"/>
      <c r="O238" s="189"/>
      <c r="P238" s="189"/>
    </row>
    <row r="239" spans="1:16" ht="21.75" customHeight="1" x14ac:dyDescent="0.35">
      <c r="A239" s="183"/>
      <c r="B239" s="184"/>
      <c r="C239" s="163" t="s">
        <v>16</v>
      </c>
      <c r="D239" s="185" t="s">
        <v>44</v>
      </c>
      <c r="E239" s="186"/>
      <c r="F239" s="186"/>
      <c r="G239" s="187"/>
      <c r="H239" s="188"/>
      <c r="I239" s="168"/>
      <c r="J239" s="168"/>
      <c r="K239" s="169"/>
      <c r="L239" s="189"/>
      <c r="M239" s="189"/>
      <c r="N239" s="189"/>
      <c r="O239" s="189"/>
      <c r="P239" s="189"/>
    </row>
    <row r="240" spans="1:16" ht="21.75" customHeight="1" x14ac:dyDescent="0.35">
      <c r="A240" s="183"/>
      <c r="B240" s="184"/>
      <c r="C240" s="184"/>
      <c r="D240" s="190">
        <v>1</v>
      </c>
      <c r="E240" s="191" t="s">
        <v>45</v>
      </c>
      <c r="F240" s="192"/>
      <c r="G240" s="193"/>
      <c r="H240" s="194"/>
      <c r="I240" s="195"/>
      <c r="J240" s="195" t="str">
        <f ca="1">IFERROR(__xludf.DUMMYFUNCTION("IMPORTRANGE(""https://docs.google.com/spreadsheets/d/1IYY_tgx_IHuhSq3AJ5eI5OnqOPBNLWSHKh2a30DoXe8/edit?usp=sharing"",""ภูเก็ต!J159"")"),"")</f>
        <v/>
      </c>
      <c r="K240" s="169"/>
      <c r="L240" s="189"/>
      <c r="M240" s="189"/>
      <c r="N240" s="189"/>
      <c r="O240" s="189"/>
      <c r="P240" s="189"/>
    </row>
    <row r="241" spans="1:16" ht="21.75" customHeight="1" x14ac:dyDescent="0.35">
      <c r="A241" s="183"/>
      <c r="B241" s="184"/>
      <c r="C241" s="184"/>
      <c r="D241" s="197">
        <v>2</v>
      </c>
      <c r="E241" s="198" t="s">
        <v>46</v>
      </c>
      <c r="F241" s="199"/>
      <c r="G241" s="200"/>
      <c r="H241" s="194"/>
      <c r="I241" s="195"/>
      <c r="J241" s="195">
        <f ca="1">IFERROR(__xludf.DUMMYFUNCTION("IMPORTRANGE(""https://docs.google.com/spreadsheets/d/1IYY_tgx_IHuhSq3AJ5eI5OnqOPBNLWSHKh2a30DoXe8/edit?usp=sharing"",""ภูเก็ต!J161"")"),0)</f>
        <v>0</v>
      </c>
      <c r="K241" s="169"/>
      <c r="L241" s="189" t="s">
        <v>40</v>
      </c>
      <c r="M241" s="189"/>
      <c r="N241" s="189" t="s">
        <v>40</v>
      </c>
      <c r="O241" s="189"/>
      <c r="P241" s="189"/>
    </row>
    <row r="242" spans="1:16" ht="21.75" customHeight="1" x14ac:dyDescent="0.35">
      <c r="A242" s="183"/>
      <c r="B242" s="184"/>
      <c r="C242" s="184"/>
      <c r="D242" s="201"/>
      <c r="E242" s="202" t="s">
        <v>47</v>
      </c>
      <c r="F242" s="203"/>
      <c r="G242" s="204"/>
      <c r="H242" s="194"/>
      <c r="I242" s="195"/>
      <c r="J242" s="195">
        <f ca="1">IFERROR(__xludf.DUMMYFUNCTION("IMPORTRANGE(""https://docs.google.com/spreadsheets/d/1IYY_tgx_IHuhSq3AJ5eI5OnqOPBNLWSHKh2a30DoXe8/edit?usp=sharing"",""ภูเก็ต!J162"")"),0)</f>
        <v>0</v>
      </c>
      <c r="K242" s="169"/>
      <c r="L242" s="189"/>
      <c r="M242" s="189"/>
      <c r="N242" s="189"/>
      <c r="O242" s="189"/>
      <c r="P242" s="189"/>
    </row>
    <row r="243" spans="1:16" ht="21.75" customHeight="1" x14ac:dyDescent="0.35">
      <c r="A243" s="183"/>
      <c r="B243" s="184"/>
      <c r="C243" s="184"/>
      <c r="D243" s="201"/>
      <c r="E243" s="202" t="s">
        <v>48</v>
      </c>
      <c r="F243" s="203"/>
      <c r="G243" s="204"/>
      <c r="H243" s="194"/>
      <c r="I243" s="195"/>
      <c r="J243" s="195">
        <f ca="1">IFERROR(__xludf.DUMMYFUNCTION("IMPORTRANGE(""https://docs.google.com/spreadsheets/d/1IYY_tgx_IHuhSq3AJ5eI5OnqOPBNLWSHKh2a30DoXe8/edit?usp=sharing"",""ภูเก็ต!J163"")"),0)</f>
        <v>0</v>
      </c>
      <c r="K243" s="169"/>
      <c r="L243" s="189"/>
      <c r="M243" s="189"/>
      <c r="N243" s="189"/>
      <c r="O243" s="189"/>
      <c r="P243" s="189"/>
    </row>
    <row r="244" spans="1:16" ht="21.75" customHeight="1" x14ac:dyDescent="0.35">
      <c r="A244" s="183"/>
      <c r="B244" s="184"/>
      <c r="C244" s="184"/>
      <c r="D244" s="201"/>
      <c r="E244" s="203"/>
      <c r="F244" s="202" t="s">
        <v>101</v>
      </c>
      <c r="G244" s="203"/>
      <c r="H244" s="194" t="s">
        <v>37</v>
      </c>
      <c r="I244" s="211">
        <f ca="1">IFERROR(__xludf.DUMMYFUNCTION("IMPORTRANGE(""https://docs.google.com/spreadsheets/d/1IYY_tgx_IHuhSq3AJ5eI5OnqOPBNLWSHKh2a30DoXe8/edit?usp=sharing"",""ภูเก็ต!I164"")"),0)</f>
        <v>0</v>
      </c>
      <c r="J244" s="195">
        <f ca="1">IFERROR(__xludf.DUMMYFUNCTION("IMPORTRANGE(""https://docs.google.com/spreadsheets/d/1IYY_tgx_IHuhSq3AJ5eI5OnqOPBNLWSHKh2a30DoXe8/edit?usp=sharing"",""ภูเก็ต!J164"")"),0)</f>
        <v>0</v>
      </c>
      <c r="K244" s="169">
        <f ca="1">IF(I244&gt;0,J244*100/I244,0)</f>
        <v>0</v>
      </c>
      <c r="L244" s="189"/>
      <c r="M244" s="189"/>
      <c r="N244" s="189"/>
      <c r="O244" s="189"/>
      <c r="P244" s="189"/>
    </row>
    <row r="245" spans="1:16" ht="21.75" customHeight="1" x14ac:dyDescent="0.35">
      <c r="A245" s="183"/>
      <c r="B245" s="184"/>
      <c r="C245" s="184"/>
      <c r="D245" s="201"/>
      <c r="E245" s="202" t="s">
        <v>54</v>
      </c>
      <c r="F245" s="203"/>
      <c r="G245" s="204"/>
      <c r="H245" s="194"/>
      <c r="I245" s="195"/>
      <c r="J245" s="195">
        <f ca="1">IFERROR(__xludf.DUMMYFUNCTION("IMPORTRANGE(""https://docs.google.com/spreadsheets/d/1IYY_tgx_IHuhSq3AJ5eI5OnqOPBNLWSHKh2a30DoXe8/edit?usp=sharing"",""ภูเก็ต!J165"")"),0)</f>
        <v>0</v>
      </c>
      <c r="K245" s="169"/>
      <c r="L245" s="189"/>
      <c r="M245" s="189"/>
      <c r="N245" s="189"/>
      <c r="O245" s="189"/>
      <c r="P245" s="189"/>
    </row>
    <row r="246" spans="1:16" ht="21.75" customHeight="1" x14ac:dyDescent="0.35">
      <c r="A246" s="241"/>
      <c r="B246" s="242"/>
      <c r="C246" s="242"/>
      <c r="D246" s="243">
        <v>3</v>
      </c>
      <c r="E246" s="244" t="s">
        <v>55</v>
      </c>
      <c r="F246" s="245"/>
      <c r="G246" s="246"/>
      <c r="H246" s="247"/>
      <c r="I246" s="248"/>
      <c r="J246" s="249">
        <f ca="1">IFERROR(__xludf.DUMMYFUNCTION("IMPORTRANGE(""https://docs.google.com/spreadsheets/d/1IYY_tgx_IHuhSq3AJ5eI5OnqOPBNLWSHKh2a30DoXe8/edit?usp=sharing"",""ภูเก็ต!J166"")"),0)</f>
        <v>0</v>
      </c>
      <c r="K246" s="294"/>
      <c r="L246" s="252"/>
      <c r="M246" s="252"/>
      <c r="N246" s="252"/>
      <c r="O246" s="252"/>
      <c r="P246" s="252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IFERROR(__xludf.DUMMYFUNCTION("IMPORTRANGE(""https://docs.google.com/spreadsheets/d/1IYY_tgx_IHuhSq3AJ5eI5OnqOPBNLWSHKh2a30DoXe8/edit?usp=sharing"",""ภูเก็ต!I169"")"),0)</f>
        <v>0</v>
      </c>
      <c r="J249" s="322">
        <f ca="1">IFERROR(__xludf.DUMMYFUNCTION("IMPORTRANGE(""https://docs.google.com/spreadsheets/d/1IYY_tgx_IHuhSq3AJ5eI5OnqOPBNLWSHKh2a30DoXe8/edit?usp=sharing"",""ภูเก็ต!J169"")"),0)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52" t="s">
        <v>17</v>
      </c>
      <c r="E250" s="543"/>
      <c r="F250" s="543"/>
      <c r="G250" s="543"/>
      <c r="H250" s="153" t="s">
        <v>12</v>
      </c>
      <c r="I250" s="168"/>
      <c r="J250" s="168"/>
      <c r="K250" s="169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8"/>
      <c r="J251" s="168"/>
      <c r="K251" s="169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8"/>
      <c r="J252" s="168"/>
      <c r="K252" s="169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5">
      <c r="A253" s="162"/>
      <c r="B253" s="163"/>
      <c r="C253" s="163" t="s">
        <v>16</v>
      </c>
      <c r="D253" s="164" t="s">
        <v>38</v>
      </c>
      <c r="E253" s="165"/>
      <c r="F253" s="165"/>
      <c r="G253" s="166" t="s">
        <v>39</v>
      </c>
      <c r="H253" s="167" t="s">
        <v>12</v>
      </c>
      <c r="I253" s="168" t="s">
        <v>40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 x14ac:dyDescent="0.35">
      <c r="A254" s="162"/>
      <c r="B254" s="163"/>
      <c r="C254" s="163"/>
      <c r="D254" s="172"/>
      <c r="E254" s="165"/>
      <c r="F254" s="165" t="s">
        <v>40</v>
      </c>
      <c r="G254" s="166" t="s">
        <v>41</v>
      </c>
      <c r="H254" s="167" t="s">
        <v>12</v>
      </c>
      <c r="I254" s="168"/>
      <c r="J254" s="168"/>
      <c r="K254" s="169"/>
      <c r="L254" s="173">
        <f ca="1">L255+L256</f>
        <v>0</v>
      </c>
      <c r="M254" s="174">
        <f ca="1">IFERROR(__xludf.DUMMYFUNCTION("IMPORTRANGE(""https://docs.google.com/spreadsheets/d/1Yj_ptqi66GCucihVvJfMjLAmec39IyEx_6qawtMGysU/edit?usp=sharing"",""สบก!CB89"")"),0)</f>
        <v>0</v>
      </c>
      <c r="N254" s="175">
        <f ca="1">IFERROR(__xludf.DUMMYFUNCTION("IMPORTRANGE(""https://docs.google.com/spreadsheets/d/1Yj_ptqi66GCucihVvJfMjLAmec39IyEx_6qawtMGysU/edit?usp=sharing"",""สบก!CC89"")"),0)</f>
        <v>0</v>
      </c>
      <c r="O254" s="176">
        <f ca="1">IF(L254&gt;0,N254*100/L254,0)</f>
        <v>0</v>
      </c>
      <c r="P254" s="176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2"/>
      <c r="E255" s="165"/>
      <c r="F255" s="165"/>
      <c r="G255" s="177" t="s">
        <v>42</v>
      </c>
      <c r="H255" s="167" t="s">
        <v>12</v>
      </c>
      <c r="I255" s="168"/>
      <c r="J255" s="168"/>
      <c r="K255" s="169"/>
      <c r="L255" s="174">
        <f ca="1">IFERROR(__xludf.DUMMYFUNCTION("IMPORTRANGE(""https://docs.google.com/spreadsheets/d/1Yj_ptqi66GCucihVvJfMjLAmec39IyEx_6qawtMGysU/edit?usp=sharing"",""สบก!BX89"")"),0)</f>
        <v>0</v>
      </c>
      <c r="M255" s="173"/>
      <c r="N255" s="173"/>
      <c r="O255" s="176"/>
      <c r="P255" s="176"/>
    </row>
    <row r="256" spans="1:16" ht="21.75" customHeight="1" x14ac:dyDescent="0.35">
      <c r="A256" s="162"/>
      <c r="B256" s="163"/>
      <c r="C256" s="163"/>
      <c r="D256" s="172"/>
      <c r="E256" s="165"/>
      <c r="F256" s="165"/>
      <c r="G256" s="177" t="s">
        <v>43</v>
      </c>
      <c r="H256" s="167" t="s">
        <v>12</v>
      </c>
      <c r="I256" s="168"/>
      <c r="J256" s="168"/>
      <c r="K256" s="169"/>
      <c r="L256" s="174">
        <f ca="1">IFERROR(__xludf.DUMMYFUNCTION("IMPORTRANGE(""https://docs.google.com/spreadsheets/d/1Yj_ptqi66GCucihVvJfMjLAmec39IyEx_6qawtMGysU/edit?usp=sharing"",""สบก!BY89"")"),0)</f>
        <v>0</v>
      </c>
      <c r="M256" s="173"/>
      <c r="N256" s="173"/>
      <c r="O256" s="176"/>
      <c r="P256" s="176"/>
    </row>
    <row r="257" spans="1:16" ht="21.75" customHeight="1" x14ac:dyDescent="0.45">
      <c r="A257" s="178"/>
      <c r="B257" s="81"/>
      <c r="C257" s="82" t="s">
        <v>16</v>
      </c>
      <c r="D257" s="549" t="s">
        <v>23</v>
      </c>
      <c r="E257" s="545"/>
      <c r="F257" s="89"/>
      <c r="G257" s="83" t="s">
        <v>18</v>
      </c>
      <c r="H257" s="179" t="s">
        <v>12</v>
      </c>
      <c r="I257" s="168"/>
      <c r="J257" s="168"/>
      <c r="K257" s="169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80"/>
      <c r="B258" s="95"/>
      <c r="C258" s="95"/>
      <c r="D258" s="181"/>
      <c r="E258" s="96"/>
      <c r="F258" s="96"/>
      <c r="G258" s="97" t="s">
        <v>19</v>
      </c>
      <c r="H258" s="182" t="s">
        <v>12</v>
      </c>
      <c r="I258" s="168"/>
      <c r="J258" s="168"/>
      <c r="K258" s="169"/>
      <c r="L258" s="91">
        <f ca="1">IFERROR(__xludf.DUMMYFUNCTION("IMPORTRANGE(""https://docs.google.com/spreadsheets/d/1Yj_ptqi66GCucihVvJfMjLAmec39IyEx_6qawtMGysU/edit?usp=sharing"",""สบก!BZ89"")"),0)</f>
        <v>0</v>
      </c>
      <c r="M258" s="101"/>
      <c r="N258" s="91">
        <f ca="1">IFERROR(__xludf.DUMMYFUNCTION("IMPORTRANGE(""https://docs.google.com/spreadsheets/d/1Yj_ptqi66GCucihVvJfMjLAmec39IyEx_6qawtMGysU/edit?usp=sharing"",""สบก!CD89"")"),0)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3"/>
      <c r="B259" s="184"/>
      <c r="C259" s="163" t="s">
        <v>16</v>
      </c>
      <c r="D259" s="185" t="s">
        <v>44</v>
      </c>
      <c r="E259" s="186"/>
      <c r="F259" s="186"/>
      <c r="G259" s="187"/>
      <c r="H259" s="188"/>
      <c r="I259" s="168"/>
      <c r="J259" s="168"/>
      <c r="K259" s="169"/>
      <c r="L259" s="189"/>
      <c r="M259" s="189"/>
      <c r="N259" s="189"/>
      <c r="O259" s="189"/>
      <c r="P259" s="189"/>
    </row>
    <row r="260" spans="1:16" ht="21.75" customHeight="1" x14ac:dyDescent="0.35">
      <c r="A260" s="183"/>
      <c r="B260" s="184"/>
      <c r="C260" s="184"/>
      <c r="D260" s="190">
        <v>1</v>
      </c>
      <c r="E260" s="191" t="s">
        <v>45</v>
      </c>
      <c r="F260" s="192"/>
      <c r="G260" s="193"/>
      <c r="H260" s="194"/>
      <c r="I260" s="195"/>
      <c r="J260" s="196">
        <f ca="1">IFERROR(__xludf.DUMMYFUNCTION("IMPORTRANGE(""https://docs.google.com/spreadsheets/d/1IYY_tgx_IHuhSq3AJ5eI5OnqOPBNLWSHKh2a30DoXe8/edit?usp=sharing"",""ภูเก็ต!J175"")"),0)</f>
        <v>0</v>
      </c>
      <c r="K260" s="169"/>
      <c r="L260" s="189"/>
      <c r="M260" s="189"/>
      <c r="N260" s="189"/>
      <c r="O260" s="189"/>
      <c r="P260" s="189"/>
    </row>
    <row r="261" spans="1:16" ht="21.75" customHeight="1" x14ac:dyDescent="0.35">
      <c r="A261" s="183"/>
      <c r="B261" s="184"/>
      <c r="C261" s="184"/>
      <c r="D261" s="197">
        <v>2</v>
      </c>
      <c r="E261" s="198" t="s">
        <v>46</v>
      </c>
      <c r="F261" s="199"/>
      <c r="G261" s="200"/>
      <c r="H261" s="194"/>
      <c r="I261" s="195"/>
      <c r="J261" s="205">
        <f ca="1">IFERROR(__xludf.DUMMYFUNCTION("IMPORTRANGE(""https://docs.google.com/spreadsheets/d/1IYY_tgx_IHuhSq3AJ5eI5OnqOPBNLWSHKh2a30DoXe8/edit?usp=sharing"",""ภูเก็ต!J176"")"),0)</f>
        <v>0</v>
      </c>
      <c r="K261" s="169"/>
      <c r="L261" s="189" t="s">
        <v>40</v>
      </c>
      <c r="M261" s="189"/>
      <c r="N261" s="189" t="s">
        <v>40</v>
      </c>
      <c r="O261" s="189"/>
      <c r="P261" s="189"/>
    </row>
    <row r="262" spans="1:16" ht="21.75" customHeight="1" x14ac:dyDescent="0.35">
      <c r="A262" s="183"/>
      <c r="B262" s="184"/>
      <c r="C262" s="184"/>
      <c r="D262" s="201"/>
      <c r="E262" s="202" t="s">
        <v>47</v>
      </c>
      <c r="F262" s="203"/>
      <c r="G262" s="204"/>
      <c r="H262" s="194"/>
      <c r="I262" s="195"/>
      <c r="J262" s="205">
        <f ca="1">IFERROR(__xludf.DUMMYFUNCTION("IMPORTRANGE(""https://docs.google.com/spreadsheets/d/1IYY_tgx_IHuhSq3AJ5eI5OnqOPBNLWSHKh2a30DoXe8/edit?usp=sharing"",""ภูเก็ต!J177"")"),0)</f>
        <v>0</v>
      </c>
      <c r="K262" s="169"/>
      <c r="L262" s="189"/>
      <c r="M262" s="189"/>
      <c r="N262" s="189"/>
      <c r="O262" s="189"/>
      <c r="P262" s="189"/>
    </row>
    <row r="263" spans="1:16" ht="21.75" customHeight="1" x14ac:dyDescent="0.35">
      <c r="A263" s="183"/>
      <c r="B263" s="184"/>
      <c r="C263" s="184"/>
      <c r="D263" s="201"/>
      <c r="E263" s="202" t="s">
        <v>48</v>
      </c>
      <c r="F263" s="203"/>
      <c r="G263" s="204"/>
      <c r="H263" s="194"/>
      <c r="I263" s="195"/>
      <c r="J263" s="205">
        <f ca="1">IFERROR(__xludf.DUMMYFUNCTION("IMPORTRANGE(""https://docs.google.com/spreadsheets/d/1IYY_tgx_IHuhSq3AJ5eI5OnqOPBNLWSHKh2a30DoXe8/edit?usp=sharing"",""ภูเก็ต!J178"")"),0)</f>
        <v>0</v>
      </c>
      <c r="K263" s="169"/>
      <c r="L263" s="189"/>
      <c r="M263" s="189"/>
      <c r="N263" s="189"/>
      <c r="O263" s="189"/>
      <c r="P263" s="189"/>
    </row>
    <row r="264" spans="1:16" ht="21.75" customHeight="1" x14ac:dyDescent="0.35">
      <c r="A264" s="183"/>
      <c r="B264" s="184"/>
      <c r="C264" s="184"/>
      <c r="D264" s="201"/>
      <c r="E264" s="206"/>
      <c r="F264" s="202" t="s">
        <v>105</v>
      </c>
      <c r="G264" s="204"/>
      <c r="H264" s="188" t="s">
        <v>59</v>
      </c>
      <c r="I264" s="195">
        <f ca="1">IFERROR(__xludf.DUMMYFUNCTION("IMPORTRANGE(""https://docs.google.com/spreadsheets/d/1IYY_tgx_IHuhSq3AJ5eI5OnqOPBNLWSHKh2a30DoXe8/edit?usp=sharing"",""ภูเก็ต!I179"")"),0)</f>
        <v>0</v>
      </c>
      <c r="J264" s="196">
        <f ca="1">IFERROR(__xludf.DUMMYFUNCTION("IMPORTRANGE(""https://docs.google.com/spreadsheets/d/1IYY_tgx_IHuhSq3AJ5eI5OnqOPBNLWSHKh2a30DoXe8/edit?usp=sharing"",""ภูเก็ต!J179"")"),0)</f>
        <v>0</v>
      </c>
      <c r="K264" s="169">
        <f t="shared" ref="K264:K267" ca="1" si="82">IF(I264&gt;0,J264*100/I264,0)</f>
        <v>0</v>
      </c>
      <c r="L264" s="189"/>
      <c r="M264" s="189"/>
      <c r="N264" s="189"/>
      <c r="O264" s="189"/>
      <c r="P264" s="189"/>
    </row>
    <row r="265" spans="1:16" ht="21.75" customHeight="1" x14ac:dyDescent="0.35">
      <c r="A265" s="183"/>
      <c r="B265" s="184"/>
      <c r="C265" s="184"/>
      <c r="D265" s="201"/>
      <c r="E265" s="206"/>
      <c r="F265" s="202" t="s">
        <v>106</v>
      </c>
      <c r="G265" s="204"/>
      <c r="H265" s="188" t="s">
        <v>37</v>
      </c>
      <c r="I265" s="195">
        <f ca="1">IFERROR(__xludf.DUMMYFUNCTION("IMPORTRANGE(""https://docs.google.com/spreadsheets/d/1IYY_tgx_IHuhSq3AJ5eI5OnqOPBNLWSHKh2a30DoXe8/edit?usp=sharing"",""ภูเก็ต!I180"")"),0)</f>
        <v>0</v>
      </c>
      <c r="J265" s="196">
        <f ca="1">IFERROR(__xludf.DUMMYFUNCTION("IMPORTRANGE(""https://docs.google.com/spreadsheets/d/1IYY_tgx_IHuhSq3AJ5eI5OnqOPBNLWSHKh2a30DoXe8/edit?usp=sharing"",""ภูเก็ต!J180"")"),0)</f>
        <v>0</v>
      </c>
      <c r="K265" s="169">
        <f t="shared" ca="1" si="82"/>
        <v>0</v>
      </c>
      <c r="L265" s="189"/>
      <c r="M265" s="189"/>
      <c r="N265" s="189"/>
      <c r="O265" s="189"/>
      <c r="P265" s="189"/>
    </row>
    <row r="266" spans="1:16" ht="21.75" customHeight="1" x14ac:dyDescent="0.35">
      <c r="A266" s="183"/>
      <c r="B266" s="184"/>
      <c r="C266" s="184"/>
      <c r="D266" s="201"/>
      <c r="E266" s="206"/>
      <c r="F266" s="202" t="s">
        <v>107</v>
      </c>
      <c r="G266" s="204"/>
      <c r="H266" s="188" t="s">
        <v>37</v>
      </c>
      <c r="I266" s="195">
        <f ca="1">IFERROR(__xludf.DUMMYFUNCTION("IMPORTRANGE(""https://docs.google.com/spreadsheets/d/1IYY_tgx_IHuhSq3AJ5eI5OnqOPBNLWSHKh2a30DoXe8/edit?usp=sharing"",""ภูเก็ต!I181"")"),0)</f>
        <v>0</v>
      </c>
      <c r="J266" s="196">
        <f ca="1">IFERROR(__xludf.DUMMYFUNCTION("IMPORTRANGE(""https://docs.google.com/spreadsheets/d/1IYY_tgx_IHuhSq3AJ5eI5OnqOPBNLWSHKh2a30DoXe8/edit?usp=sharing"",""ภูเก็ต!J181"")"),0)</f>
        <v>0</v>
      </c>
      <c r="K266" s="169">
        <f t="shared" ca="1" si="82"/>
        <v>0</v>
      </c>
      <c r="L266" s="189"/>
      <c r="M266" s="189"/>
      <c r="N266" s="189"/>
      <c r="O266" s="189"/>
      <c r="P266" s="189"/>
    </row>
    <row r="267" spans="1:16" ht="21.75" customHeight="1" x14ac:dyDescent="0.35">
      <c r="A267" s="183"/>
      <c r="B267" s="184"/>
      <c r="C267" s="184"/>
      <c r="D267" s="201"/>
      <c r="E267" s="206"/>
      <c r="F267" s="202" t="s">
        <v>108</v>
      </c>
      <c r="G267" s="204"/>
      <c r="H267" s="188" t="s">
        <v>37</v>
      </c>
      <c r="I267" s="195">
        <f ca="1">IFERROR(__xludf.DUMMYFUNCTION("IMPORTRANGE(""https://docs.google.com/spreadsheets/d/1IYY_tgx_IHuhSq3AJ5eI5OnqOPBNLWSHKh2a30DoXe8/edit?usp=sharing"",""ภูเก็ต!I182"")"),0)</f>
        <v>0</v>
      </c>
      <c r="J267" s="196">
        <f ca="1">IFERROR(__xludf.DUMMYFUNCTION("IMPORTRANGE(""https://docs.google.com/spreadsheets/d/1IYY_tgx_IHuhSq3AJ5eI5OnqOPBNLWSHKh2a30DoXe8/edit?usp=sharing"",""ภูเก็ต!J182"")"),0)</f>
        <v>0</v>
      </c>
      <c r="K267" s="169">
        <f t="shared" ca="1" si="82"/>
        <v>0</v>
      </c>
      <c r="L267" s="189"/>
      <c r="M267" s="189"/>
      <c r="N267" s="189"/>
      <c r="O267" s="189"/>
      <c r="P267" s="189"/>
    </row>
    <row r="268" spans="1:16" ht="21.75" customHeight="1" x14ac:dyDescent="0.35">
      <c r="A268" s="183"/>
      <c r="B268" s="184"/>
      <c r="C268" s="184"/>
      <c r="D268" s="201"/>
      <c r="E268" s="202" t="s">
        <v>54</v>
      </c>
      <c r="F268" s="203"/>
      <c r="G268" s="204"/>
      <c r="H268" s="194"/>
      <c r="I268" s="195"/>
      <c r="J268" s="205">
        <f ca="1">IFERROR(__xludf.DUMMYFUNCTION("IMPORTRANGE(""https://docs.google.com/spreadsheets/d/1IYY_tgx_IHuhSq3AJ5eI5OnqOPBNLWSHKh2a30DoXe8/edit?usp=sharing"",""ภูเก็ต!J183"")"),0)</f>
        <v>0</v>
      </c>
      <c r="K268" s="169"/>
      <c r="L268" s="189"/>
      <c r="M268" s="189"/>
      <c r="N268" s="189"/>
      <c r="O268" s="189"/>
      <c r="P268" s="189"/>
    </row>
    <row r="269" spans="1:16" ht="21.75" customHeight="1" x14ac:dyDescent="0.35">
      <c r="A269" s="241"/>
      <c r="B269" s="242"/>
      <c r="C269" s="242"/>
      <c r="D269" s="243">
        <v>3</v>
      </c>
      <c r="E269" s="244" t="s">
        <v>55</v>
      </c>
      <c r="F269" s="245"/>
      <c r="G269" s="246"/>
      <c r="H269" s="247"/>
      <c r="I269" s="248"/>
      <c r="J269" s="293">
        <f ca="1">IFERROR(__xludf.DUMMYFUNCTION("IMPORTRANGE(""https://docs.google.com/spreadsheets/d/1IYY_tgx_IHuhSq3AJ5eI5OnqOPBNLWSHKh2a30DoXe8/edit?usp=sharing"",""ภูเก็ต!J184"")"),0)</f>
        <v>0</v>
      </c>
      <c r="K269" s="294"/>
      <c r="L269" s="252"/>
      <c r="M269" s="252"/>
      <c r="N269" s="252"/>
      <c r="O269" s="252"/>
      <c r="P269" s="252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IFERROR(__xludf.DUMMYFUNCTION("IMPORTRANGE(""https://docs.google.com/spreadsheets/d/1IYY_tgx_IHuhSq3AJ5eI5OnqOPBNLWSHKh2a30DoXe8/edit?usp=sharing"",""ภูเก็ต!I185"")"),0)</f>
        <v>0</v>
      </c>
      <c r="J270" s="322">
        <f ca="1">IFERROR(__xludf.DUMMYFUNCTION("IMPORTRANGE(""https://docs.google.com/spreadsheets/d/1IYY_tgx_IHuhSq3AJ5eI5OnqOPBNLWSHKh2a30DoXe8/edit?usp=sharing"",""ภูเก็ต!J185"")"),0)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52" t="s">
        <v>17</v>
      </c>
      <c r="E271" s="543"/>
      <c r="F271" s="543"/>
      <c r="G271" s="543"/>
      <c r="H271" s="153" t="s">
        <v>12</v>
      </c>
      <c r="I271" s="168"/>
      <c r="J271" s="168"/>
      <c r="K271" s="169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8"/>
      <c r="J272" s="168"/>
      <c r="K272" s="169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8"/>
      <c r="J273" s="168"/>
      <c r="K273" s="169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5">
      <c r="A274" s="162"/>
      <c r="B274" s="163"/>
      <c r="C274" s="163" t="s">
        <v>16</v>
      </c>
      <c r="D274" s="164" t="s">
        <v>38</v>
      </c>
      <c r="E274" s="165"/>
      <c r="F274" s="165"/>
      <c r="G274" s="166" t="s">
        <v>39</v>
      </c>
      <c r="H274" s="167" t="s">
        <v>12</v>
      </c>
      <c r="I274" s="168" t="s">
        <v>40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 x14ac:dyDescent="0.35">
      <c r="A275" s="162"/>
      <c r="B275" s="163"/>
      <c r="C275" s="163"/>
      <c r="D275" s="172"/>
      <c r="E275" s="165"/>
      <c r="F275" s="165" t="s">
        <v>40</v>
      </c>
      <c r="G275" s="166" t="s">
        <v>41</v>
      </c>
      <c r="H275" s="167" t="s">
        <v>12</v>
      </c>
      <c r="I275" s="168"/>
      <c r="J275" s="168"/>
      <c r="K275" s="169"/>
      <c r="L275" s="173">
        <f ca="1">L276+L277</f>
        <v>0</v>
      </c>
      <c r="M275" s="174">
        <f ca="1">IFERROR(__xludf.DUMMYFUNCTION("IMPORTRANGE(""https://docs.google.com/spreadsheets/d/1Yj_ptqi66GCucihVvJfMjLAmec39IyEx_6qawtMGysU/edit?usp=sharing"",""สบก!CK89"")"),0)</f>
        <v>0</v>
      </c>
      <c r="N275" s="175">
        <f ca="1">IFERROR(__xludf.DUMMYFUNCTION("IMPORTRANGE(""https://docs.google.com/spreadsheets/d/1Yj_ptqi66GCucihVvJfMjLAmec39IyEx_6qawtMGysU/edit?usp=sharing"",""สบก!CL89"")"),0)</f>
        <v>0</v>
      </c>
      <c r="O275" s="176">
        <f ca="1">IF(L275&gt;0,N275*100/L275,0)</f>
        <v>0</v>
      </c>
      <c r="P275" s="176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2"/>
      <c r="E276" s="165"/>
      <c r="F276" s="165"/>
      <c r="G276" s="177" t="s">
        <v>42</v>
      </c>
      <c r="H276" s="167" t="s">
        <v>12</v>
      </c>
      <c r="I276" s="168"/>
      <c r="J276" s="168"/>
      <c r="K276" s="169"/>
      <c r="L276" s="174">
        <f ca="1">IFERROR(__xludf.DUMMYFUNCTION("IMPORTRANGE(""https://docs.google.com/spreadsheets/d/1Yj_ptqi66GCucihVvJfMjLAmec39IyEx_6qawtMGysU/edit?usp=sharing"",""สบก!CG89"")"),0)</f>
        <v>0</v>
      </c>
      <c r="M276" s="173"/>
      <c r="N276" s="173"/>
      <c r="O276" s="176"/>
      <c r="P276" s="176"/>
    </row>
    <row r="277" spans="1:16" ht="21.75" customHeight="1" x14ac:dyDescent="0.35">
      <c r="A277" s="162"/>
      <c r="B277" s="163"/>
      <c r="C277" s="163"/>
      <c r="D277" s="172"/>
      <c r="E277" s="165"/>
      <c r="F277" s="165"/>
      <c r="G277" s="177" t="s">
        <v>43</v>
      </c>
      <c r="H277" s="167" t="s">
        <v>12</v>
      </c>
      <c r="I277" s="168"/>
      <c r="J277" s="168"/>
      <c r="K277" s="169"/>
      <c r="L277" s="174">
        <f ca="1">IFERROR(__xludf.DUMMYFUNCTION("IMPORTRANGE(""https://docs.google.com/spreadsheets/d/1Yj_ptqi66GCucihVvJfMjLAmec39IyEx_6qawtMGysU/edit?usp=sharing"",""สบก!CH89"")"),0)</f>
        <v>0</v>
      </c>
      <c r="M277" s="173"/>
      <c r="N277" s="173"/>
      <c r="O277" s="176"/>
      <c r="P277" s="176"/>
    </row>
    <row r="278" spans="1:16" ht="21.75" customHeight="1" x14ac:dyDescent="0.45">
      <c r="A278" s="178"/>
      <c r="B278" s="81"/>
      <c r="C278" s="82" t="s">
        <v>16</v>
      </c>
      <c r="D278" s="549" t="s">
        <v>23</v>
      </c>
      <c r="E278" s="545"/>
      <c r="F278" s="89"/>
      <c r="G278" s="83" t="s">
        <v>18</v>
      </c>
      <c r="H278" s="179" t="s">
        <v>12</v>
      </c>
      <c r="I278" s="168"/>
      <c r="J278" s="168"/>
      <c r="K278" s="169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80"/>
      <c r="B279" s="95"/>
      <c r="C279" s="95"/>
      <c r="D279" s="181"/>
      <c r="E279" s="96"/>
      <c r="F279" s="96"/>
      <c r="G279" s="97" t="s">
        <v>19</v>
      </c>
      <c r="H279" s="182" t="s">
        <v>12</v>
      </c>
      <c r="I279" s="168"/>
      <c r="J279" s="168"/>
      <c r="K279" s="169"/>
      <c r="L279" s="91">
        <f ca="1">IFERROR(__xludf.DUMMYFUNCTION("IMPORTRANGE(""https://docs.google.com/spreadsheets/d/1Yj_ptqi66GCucihVvJfMjLAmec39IyEx_6qawtMGysU/edit?usp=sharing"",""สบก!CI89"")"),0)</f>
        <v>0</v>
      </c>
      <c r="M279" s="101"/>
      <c r="N279" s="91">
        <f ca="1">IFERROR(__xludf.DUMMYFUNCTION("IMPORTRANGE(""https://docs.google.com/spreadsheets/d/1Yj_ptqi66GCucihVvJfMjLAmec39IyEx_6qawtMGysU/edit?usp=sharing"",""สบก!CM89"")"),0)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3"/>
      <c r="B280" s="184"/>
      <c r="C280" s="163" t="s">
        <v>16</v>
      </c>
      <c r="D280" s="185" t="s">
        <v>44</v>
      </c>
      <c r="E280" s="186"/>
      <c r="F280" s="186"/>
      <c r="G280" s="187"/>
      <c r="H280" s="188"/>
      <c r="I280" s="168"/>
      <c r="J280" s="168"/>
      <c r="K280" s="169"/>
      <c r="L280" s="189"/>
      <c r="M280" s="189"/>
      <c r="N280" s="189"/>
      <c r="O280" s="189"/>
      <c r="P280" s="189"/>
    </row>
    <row r="281" spans="1:16" ht="21.75" customHeight="1" x14ac:dyDescent="0.35">
      <c r="A281" s="183"/>
      <c r="B281" s="184"/>
      <c r="C281" s="184"/>
      <c r="D281" s="190">
        <v>1</v>
      </c>
      <c r="E281" s="191" t="s">
        <v>45</v>
      </c>
      <c r="F281" s="192"/>
      <c r="G281" s="193"/>
      <c r="H281" s="194"/>
      <c r="I281" s="195"/>
      <c r="J281" s="196">
        <f ca="1">IFERROR(__xludf.DUMMYFUNCTION("IMPORTRANGE(""https://docs.google.com/spreadsheets/d/1IYY_tgx_IHuhSq3AJ5eI5OnqOPBNLWSHKh2a30DoXe8/edit?usp=sharing"",""ภูเก็ต!J191"")"),0)</f>
        <v>0</v>
      </c>
      <c r="K281" s="169"/>
      <c r="L281" s="189"/>
      <c r="M281" s="189"/>
      <c r="N281" s="189"/>
      <c r="O281" s="189"/>
      <c r="P281" s="189"/>
    </row>
    <row r="282" spans="1:16" ht="21.75" customHeight="1" x14ac:dyDescent="0.35">
      <c r="A282" s="183"/>
      <c r="B282" s="184"/>
      <c r="C282" s="184"/>
      <c r="D282" s="197">
        <v>2</v>
      </c>
      <c r="E282" s="198" t="s">
        <v>46</v>
      </c>
      <c r="F282" s="199"/>
      <c r="G282" s="200"/>
      <c r="H282" s="194"/>
      <c r="I282" s="195"/>
      <c r="J282" s="205">
        <f ca="1">IFERROR(__xludf.DUMMYFUNCTION("IMPORTRANGE(""https://docs.google.com/spreadsheets/d/1IYY_tgx_IHuhSq3AJ5eI5OnqOPBNLWSHKh2a30DoXe8/edit?usp=sharing"",""ภูเก็ต!J192"")"),0)</f>
        <v>0</v>
      </c>
      <c r="K282" s="169"/>
      <c r="L282" s="189"/>
      <c r="M282" s="189"/>
      <c r="N282" s="189"/>
      <c r="O282" s="189"/>
      <c r="P282" s="189"/>
    </row>
    <row r="283" spans="1:16" ht="21.75" customHeight="1" x14ac:dyDescent="0.35">
      <c r="A283" s="183"/>
      <c r="B283" s="184"/>
      <c r="C283" s="184"/>
      <c r="D283" s="201"/>
      <c r="E283" s="202" t="s">
        <v>47</v>
      </c>
      <c r="F283" s="203"/>
      <c r="G283" s="204"/>
      <c r="H283" s="194"/>
      <c r="I283" s="195"/>
      <c r="J283" s="205">
        <f ca="1">IFERROR(__xludf.DUMMYFUNCTION("IMPORTRANGE(""https://docs.google.com/spreadsheets/d/1IYY_tgx_IHuhSq3AJ5eI5OnqOPBNLWSHKh2a30DoXe8/edit?usp=sharing"",""ภูเก็ต!J193"")"),0)</f>
        <v>0</v>
      </c>
      <c r="K283" s="169"/>
      <c r="L283" s="189"/>
      <c r="M283" s="189"/>
      <c r="N283" s="189"/>
      <c r="O283" s="189"/>
      <c r="P283" s="189"/>
    </row>
    <row r="284" spans="1:16" ht="21.75" customHeight="1" x14ac:dyDescent="0.35">
      <c r="A284" s="183"/>
      <c r="B284" s="184"/>
      <c r="C284" s="184"/>
      <c r="D284" s="201"/>
      <c r="E284" s="202" t="s">
        <v>48</v>
      </c>
      <c r="F284" s="203"/>
      <c r="G284" s="204"/>
      <c r="H284" s="194"/>
      <c r="I284" s="195"/>
      <c r="J284" s="205">
        <f ca="1">IFERROR(__xludf.DUMMYFUNCTION("IMPORTRANGE(""https://docs.google.com/spreadsheets/d/1IYY_tgx_IHuhSq3AJ5eI5OnqOPBNLWSHKh2a30DoXe8/edit?usp=sharing"",""ภูเก็ต!J194"")"),0)</f>
        <v>0</v>
      </c>
      <c r="K284" s="169"/>
      <c r="L284" s="189"/>
      <c r="M284" s="189"/>
      <c r="N284" s="189"/>
      <c r="O284" s="189"/>
      <c r="P284" s="189"/>
    </row>
    <row r="285" spans="1:16" ht="21.75" customHeight="1" x14ac:dyDescent="0.35">
      <c r="A285" s="183"/>
      <c r="B285" s="184"/>
      <c r="C285" s="184"/>
      <c r="D285" s="201"/>
      <c r="E285" s="203"/>
      <c r="F285" s="202" t="s">
        <v>110</v>
      </c>
      <c r="G285" s="204"/>
      <c r="H285" s="194" t="s">
        <v>37</v>
      </c>
      <c r="I285" s="195">
        <f ca="1">IFERROR(__xludf.DUMMYFUNCTION("IMPORTRANGE(""https://docs.google.com/spreadsheets/d/1IYY_tgx_IHuhSq3AJ5eI5OnqOPBNLWSHKh2a30DoXe8/edit?usp=sharing"",""ภูเก็ต!I195"")"),0)</f>
        <v>0</v>
      </c>
      <c r="J285" s="196">
        <f ca="1">IFERROR(__xludf.DUMMYFUNCTION("IMPORTRANGE(""https://docs.google.com/spreadsheets/d/1IYY_tgx_IHuhSq3AJ5eI5OnqOPBNLWSHKh2a30DoXe8/edit?usp=sharing"",""ภูเก็ต!J195"")"),0)</f>
        <v>0</v>
      </c>
      <c r="K285" s="169">
        <f ca="1">IF(I285&gt;0,J285*100/I285,0)</f>
        <v>0</v>
      </c>
      <c r="L285" s="189"/>
      <c r="M285" s="189"/>
      <c r="N285" s="189"/>
      <c r="O285" s="189"/>
      <c r="P285" s="189"/>
    </row>
    <row r="286" spans="1:16" ht="21.75" customHeight="1" x14ac:dyDescent="0.35">
      <c r="A286" s="183"/>
      <c r="B286" s="184"/>
      <c r="C286" s="184"/>
      <c r="D286" s="201"/>
      <c r="E286" s="202" t="s">
        <v>54</v>
      </c>
      <c r="F286" s="203"/>
      <c r="G286" s="204"/>
      <c r="H286" s="194"/>
      <c r="I286" s="195"/>
      <c r="J286" s="205">
        <f ca="1">IFERROR(__xludf.DUMMYFUNCTION("IMPORTRANGE(""https://docs.google.com/spreadsheets/d/1IYY_tgx_IHuhSq3AJ5eI5OnqOPBNLWSHKh2a30DoXe8/edit?usp=sharing"",""ภูเก็ต!J196"")"),0)</f>
        <v>0</v>
      </c>
      <c r="K286" s="169"/>
      <c r="L286" s="189"/>
      <c r="M286" s="189"/>
      <c r="N286" s="189"/>
      <c r="O286" s="189"/>
      <c r="P286" s="189"/>
    </row>
    <row r="287" spans="1:16" ht="21.75" customHeight="1" x14ac:dyDescent="0.35">
      <c r="A287" s="183"/>
      <c r="B287" s="184"/>
      <c r="C287" s="184"/>
      <c r="D287" s="213">
        <v>3</v>
      </c>
      <c r="E287" s="214" t="s">
        <v>55</v>
      </c>
      <c r="F287" s="215"/>
      <c r="G287" s="216"/>
      <c r="H287" s="194"/>
      <c r="I287" s="195"/>
      <c r="J287" s="217">
        <f ca="1">IFERROR(__xludf.DUMMYFUNCTION("IMPORTRANGE(""https://docs.google.com/spreadsheets/d/1IYY_tgx_IHuhSq3AJ5eI5OnqOPBNLWSHKh2a30DoXe8/edit?usp=sharing"",""ภูเก็ต!J197"")"),0)</f>
        <v>0</v>
      </c>
      <c r="K287" s="169"/>
      <c r="L287" s="189"/>
      <c r="M287" s="189"/>
      <c r="N287" s="189"/>
      <c r="O287" s="189"/>
      <c r="P287" s="189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IFERROR(__xludf.DUMMYFUNCTION("IMPORTRANGE(""https://docs.google.com/spreadsheets/d/1IYY_tgx_IHuhSq3AJ5eI5OnqOPBNLWSHKh2a30DoXe8/edit?usp=sharing"",""ภูเก็ต!I199"")"),0)</f>
        <v>0</v>
      </c>
      <c r="J289" s="322">
        <f ca="1">IFERROR(__xludf.DUMMYFUNCTION("IMPORTRANGE(""https://docs.google.com/spreadsheets/d/1IYY_tgx_IHuhSq3AJ5eI5OnqOPBNLWSHKh2a30DoXe8/edit?usp=sharing"",""ภูเก็ต!J199"")"),0)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52" t="s">
        <v>17</v>
      </c>
      <c r="E290" s="543"/>
      <c r="F290" s="543"/>
      <c r="G290" s="543"/>
      <c r="H290" s="153" t="s">
        <v>12</v>
      </c>
      <c r="I290" s="195"/>
      <c r="J290" s="195"/>
      <c r="K290" s="231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5"/>
      <c r="J291" s="195"/>
      <c r="K291" s="231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5"/>
      <c r="J292" s="195"/>
      <c r="K292" s="231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5">
      <c r="A293" s="162"/>
      <c r="B293" s="163"/>
      <c r="C293" s="163" t="s">
        <v>16</v>
      </c>
      <c r="D293" s="164" t="s">
        <v>38</v>
      </c>
      <c r="E293" s="165"/>
      <c r="F293" s="165"/>
      <c r="G293" s="166" t="s">
        <v>39</v>
      </c>
      <c r="H293" s="167" t="s">
        <v>12</v>
      </c>
      <c r="I293" s="195" t="s">
        <v>40</v>
      </c>
      <c r="J293" s="195"/>
      <c r="K293" s="231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 x14ac:dyDescent="0.35">
      <c r="A294" s="162"/>
      <c r="B294" s="163"/>
      <c r="C294" s="163"/>
      <c r="D294" s="172"/>
      <c r="E294" s="165"/>
      <c r="F294" s="165" t="s">
        <v>40</v>
      </c>
      <c r="G294" s="166" t="s">
        <v>41</v>
      </c>
      <c r="H294" s="167" t="s">
        <v>12</v>
      </c>
      <c r="I294" s="195"/>
      <c r="J294" s="195"/>
      <c r="K294" s="231"/>
      <c r="L294" s="173">
        <f ca="1">L295+L296</f>
        <v>0</v>
      </c>
      <c r="M294" s="174">
        <f ca="1">IFERROR(__xludf.DUMMYFUNCTION("IMPORTRANGE(""https://docs.google.com/spreadsheets/d/1Yj_ptqi66GCucihVvJfMjLAmec39IyEx_6qawtMGysU/edit?usp=sharing"",""สบก!CT89"")"),0)</f>
        <v>0</v>
      </c>
      <c r="N294" s="175">
        <f ca="1">IFERROR(__xludf.DUMMYFUNCTION("IMPORTRANGE(""https://docs.google.com/spreadsheets/d/1Yj_ptqi66GCucihVvJfMjLAmec39IyEx_6qawtMGysU/edit?usp=sharing"",""สบก!CU89"")"),0)</f>
        <v>0</v>
      </c>
      <c r="O294" s="176">
        <f ca="1">IF(L294&gt;0,N294*100/L294,0)</f>
        <v>0</v>
      </c>
      <c r="P294" s="176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2"/>
      <c r="E295" s="165"/>
      <c r="F295" s="165"/>
      <c r="G295" s="177" t="s">
        <v>42</v>
      </c>
      <c r="H295" s="167" t="s">
        <v>12</v>
      </c>
      <c r="I295" s="195"/>
      <c r="J295" s="195"/>
      <c r="K295" s="231"/>
      <c r="L295" s="174">
        <f ca="1">IFERROR(__xludf.DUMMYFUNCTION("IMPORTRANGE(""https://docs.google.com/spreadsheets/d/1Yj_ptqi66GCucihVvJfMjLAmec39IyEx_6qawtMGysU/edit?usp=sharing"",""สบก!CP89"")"),0)</f>
        <v>0</v>
      </c>
      <c r="M295" s="173"/>
      <c r="N295" s="173"/>
      <c r="O295" s="176"/>
      <c r="P295" s="176"/>
    </row>
    <row r="296" spans="1:16" ht="21.75" customHeight="1" x14ac:dyDescent="0.35">
      <c r="A296" s="162"/>
      <c r="B296" s="163"/>
      <c r="C296" s="163"/>
      <c r="D296" s="172"/>
      <c r="E296" s="165"/>
      <c r="F296" s="165"/>
      <c r="G296" s="177" t="s">
        <v>43</v>
      </c>
      <c r="H296" s="167" t="s">
        <v>12</v>
      </c>
      <c r="I296" s="195"/>
      <c r="J296" s="195"/>
      <c r="K296" s="231"/>
      <c r="L296" s="174">
        <f ca="1">IFERROR(__xludf.DUMMYFUNCTION("IMPORTRANGE(""https://docs.google.com/spreadsheets/d/1Yj_ptqi66GCucihVvJfMjLAmec39IyEx_6qawtMGysU/edit?usp=sharing"",""สบก!CQ89"")"),0)</f>
        <v>0</v>
      </c>
      <c r="M296" s="173"/>
      <c r="N296" s="173"/>
      <c r="O296" s="176"/>
      <c r="P296" s="176"/>
    </row>
    <row r="297" spans="1:16" ht="21.75" customHeight="1" x14ac:dyDescent="0.45">
      <c r="A297" s="178"/>
      <c r="B297" s="81"/>
      <c r="C297" s="82" t="s">
        <v>16</v>
      </c>
      <c r="D297" s="549" t="s">
        <v>23</v>
      </c>
      <c r="E297" s="545"/>
      <c r="F297" s="89"/>
      <c r="G297" s="83" t="s">
        <v>18</v>
      </c>
      <c r="H297" s="179" t="s">
        <v>12</v>
      </c>
      <c r="I297" s="195"/>
      <c r="J297" s="195"/>
      <c r="K297" s="231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80"/>
      <c r="B298" s="95"/>
      <c r="C298" s="95"/>
      <c r="D298" s="181"/>
      <c r="E298" s="96"/>
      <c r="F298" s="96"/>
      <c r="G298" s="97" t="s">
        <v>19</v>
      </c>
      <c r="H298" s="182" t="s">
        <v>12</v>
      </c>
      <c r="I298" s="195"/>
      <c r="J298" s="195"/>
      <c r="K298" s="231"/>
      <c r="L298" s="91">
        <f ca="1">IFERROR(__xludf.DUMMYFUNCTION("IMPORTRANGE(""https://docs.google.com/spreadsheets/d/1Yj_ptqi66GCucihVvJfMjLAmec39IyEx_6qawtMGysU/edit?usp=sharing"",""สบก!CR89"")"),0)</f>
        <v>0</v>
      </c>
      <c r="M298" s="101"/>
      <c r="N298" s="91">
        <f ca="1">IFERROR(__xludf.DUMMYFUNCTION("IMPORTRANGE(""https://docs.google.com/spreadsheets/d/1Yj_ptqi66GCucihVvJfMjLAmec39IyEx_6qawtMGysU/edit?usp=sharing"",""สบก!CV89"")"),0)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3"/>
      <c r="B299" s="184"/>
      <c r="C299" s="163" t="s">
        <v>16</v>
      </c>
      <c r="D299" s="185" t="s">
        <v>44</v>
      </c>
      <c r="E299" s="186"/>
      <c r="F299" s="186"/>
      <c r="G299" s="187"/>
      <c r="H299" s="188"/>
      <c r="I299" s="195"/>
      <c r="J299" s="195"/>
      <c r="K299" s="231"/>
      <c r="L299" s="176"/>
      <c r="M299" s="176"/>
      <c r="N299" s="176"/>
      <c r="O299" s="189"/>
      <c r="P299" s="189"/>
    </row>
    <row r="300" spans="1:16" ht="21.75" customHeight="1" x14ac:dyDescent="0.35">
      <c r="A300" s="183"/>
      <c r="B300" s="184"/>
      <c r="C300" s="184"/>
      <c r="D300" s="190">
        <v>1</v>
      </c>
      <c r="E300" s="191" t="s">
        <v>45</v>
      </c>
      <c r="F300" s="192"/>
      <c r="G300" s="193"/>
      <c r="H300" s="194"/>
      <c r="I300" s="195"/>
      <c r="J300" s="195">
        <f ca="1">IFERROR(__xludf.DUMMYFUNCTION("IMPORTRANGE(""https://docs.google.com/spreadsheets/d/1IYY_tgx_IHuhSq3AJ5eI5OnqOPBNLWSHKh2a30DoXe8/edit?usp=sharing"",""ภูเก็ต!J205"")"),0)</f>
        <v>0</v>
      </c>
      <c r="K300" s="231"/>
      <c r="L300" s="176"/>
      <c r="M300" s="176"/>
      <c r="N300" s="176"/>
      <c r="O300" s="189"/>
      <c r="P300" s="189"/>
    </row>
    <row r="301" spans="1:16" ht="21.75" customHeight="1" x14ac:dyDescent="0.35">
      <c r="A301" s="183"/>
      <c r="B301" s="184"/>
      <c r="C301" s="184"/>
      <c r="D301" s="197">
        <v>2</v>
      </c>
      <c r="E301" s="198" t="s">
        <v>46</v>
      </c>
      <c r="F301" s="199"/>
      <c r="G301" s="200"/>
      <c r="H301" s="194"/>
      <c r="I301" s="195"/>
      <c r="J301" s="195">
        <f ca="1">IFERROR(__xludf.DUMMYFUNCTION("IMPORTRANGE(""https://docs.google.com/spreadsheets/d/1IYY_tgx_IHuhSq3AJ5eI5OnqOPBNLWSHKh2a30DoXe8/edit?usp=sharing"",""ภูเก็ต!J206"")"),0)</f>
        <v>0</v>
      </c>
      <c r="K301" s="231"/>
      <c r="L301" s="176" t="s">
        <v>40</v>
      </c>
      <c r="M301" s="176"/>
      <c r="N301" s="176" t="s">
        <v>40</v>
      </c>
      <c r="O301" s="189"/>
      <c r="P301" s="189"/>
    </row>
    <row r="302" spans="1:16" ht="21.75" customHeight="1" x14ac:dyDescent="0.35">
      <c r="A302" s="183"/>
      <c r="B302" s="184"/>
      <c r="C302" s="184"/>
      <c r="D302" s="201"/>
      <c r="E302" s="202" t="s">
        <v>47</v>
      </c>
      <c r="F302" s="203"/>
      <c r="G302" s="204"/>
      <c r="H302" s="194"/>
      <c r="I302" s="195"/>
      <c r="J302" s="195">
        <f ca="1">IFERROR(__xludf.DUMMYFUNCTION("IMPORTRANGE(""https://docs.google.com/spreadsheets/d/1IYY_tgx_IHuhSq3AJ5eI5OnqOPBNLWSHKh2a30DoXe8/edit?usp=sharing"",""ภูเก็ต!J207"")"),0)</f>
        <v>0</v>
      </c>
      <c r="K302" s="231"/>
      <c r="L302" s="176"/>
      <c r="M302" s="176"/>
      <c r="N302" s="176"/>
      <c r="O302" s="189"/>
      <c r="P302" s="189"/>
    </row>
    <row r="303" spans="1:16" ht="21.75" customHeight="1" x14ac:dyDescent="0.35">
      <c r="A303" s="183"/>
      <c r="B303" s="184"/>
      <c r="C303" s="184"/>
      <c r="D303" s="201"/>
      <c r="E303" s="202" t="s">
        <v>48</v>
      </c>
      <c r="F303" s="203"/>
      <c r="G303" s="204"/>
      <c r="H303" s="194"/>
      <c r="I303" s="195"/>
      <c r="J303" s="195">
        <f ca="1">IFERROR(__xludf.DUMMYFUNCTION("IMPORTRANGE(""https://docs.google.com/spreadsheets/d/1IYY_tgx_IHuhSq3AJ5eI5OnqOPBNLWSHKh2a30DoXe8/edit?usp=sharing"",""ภูเก็ต!J208"")"),0)</f>
        <v>0</v>
      </c>
      <c r="K303" s="231"/>
      <c r="L303" s="176"/>
      <c r="M303" s="176"/>
      <c r="N303" s="176"/>
      <c r="O303" s="189"/>
      <c r="P303" s="189"/>
    </row>
    <row r="304" spans="1:16" ht="21.75" customHeight="1" x14ac:dyDescent="0.35">
      <c r="A304" s="183"/>
      <c r="B304" s="184"/>
      <c r="C304" s="184"/>
      <c r="D304" s="201"/>
      <c r="E304" s="206"/>
      <c r="F304" s="202" t="s">
        <v>113</v>
      </c>
      <c r="G304" s="204"/>
      <c r="H304" s="188" t="s">
        <v>37</v>
      </c>
      <c r="I304" s="195">
        <f ca="1">IFERROR(__xludf.DUMMYFUNCTION("IMPORTRANGE(""https://docs.google.com/spreadsheets/d/1IYY_tgx_IHuhSq3AJ5eI5OnqOPBNLWSHKh2a30DoXe8/edit?usp=sharing"",""ภูเก็ต!I209"")"),0)</f>
        <v>0</v>
      </c>
      <c r="J304" s="211">
        <f ca="1">IFERROR(__xludf.DUMMYFUNCTION("IMPORTRANGE(""https://docs.google.com/spreadsheets/d/1IYY_tgx_IHuhSq3AJ5eI5OnqOPBNLWSHKh2a30DoXe8/edit?usp=sharing"",""ภูเก็ต!J209"")"),0)</f>
        <v>0</v>
      </c>
      <c r="K304" s="231">
        <f ca="1">IF(I304&gt;0,J304*100/I304,0)</f>
        <v>0</v>
      </c>
      <c r="L304" s="176"/>
      <c r="M304" s="176"/>
      <c r="N304" s="176"/>
      <c r="O304" s="189"/>
      <c r="P304" s="189"/>
    </row>
    <row r="305" spans="1:16" ht="21.75" customHeight="1" x14ac:dyDescent="0.35">
      <c r="A305" s="183"/>
      <c r="B305" s="184"/>
      <c r="C305" s="184"/>
      <c r="D305" s="201"/>
      <c r="E305" s="206"/>
      <c r="F305" s="202" t="s">
        <v>114</v>
      </c>
      <c r="G305" s="204"/>
      <c r="H305" s="188"/>
      <c r="I305" s="195"/>
      <c r="J305" s="195"/>
      <c r="K305" s="231"/>
      <c r="L305" s="176"/>
      <c r="M305" s="176"/>
      <c r="N305" s="176"/>
      <c r="O305" s="189"/>
      <c r="P305" s="189"/>
    </row>
    <row r="306" spans="1:16" ht="21.75" customHeight="1" x14ac:dyDescent="0.35">
      <c r="A306" s="183"/>
      <c r="B306" s="184"/>
      <c r="C306" s="184"/>
      <c r="D306" s="201"/>
      <c r="E306" s="206"/>
      <c r="F306" s="203" t="s">
        <v>53</v>
      </c>
      <c r="G306" s="204"/>
      <c r="H306" s="188" t="s">
        <v>37</v>
      </c>
      <c r="I306" s="195">
        <f ca="1">IFERROR(__xludf.DUMMYFUNCTION("IMPORTRANGE(""https://docs.google.com/spreadsheets/d/1IYY_tgx_IHuhSq3AJ5eI5OnqOPBNLWSHKh2a30DoXe8/edit?usp=sharing"",""ภูเก็ต!I211"")"),0)</f>
        <v>0</v>
      </c>
      <c r="J306" s="211">
        <f ca="1">IFERROR(__xludf.DUMMYFUNCTION("IMPORTRANGE(""https://docs.google.com/spreadsheets/d/1IYY_tgx_IHuhSq3AJ5eI5OnqOPBNLWSHKh2a30DoXe8/edit?usp=sharing"",""ภูเก็ต!J211"")"),0)</f>
        <v>0</v>
      </c>
      <c r="K306" s="231">
        <f ca="1">IF(I306&gt;0,J306*100/I306,0)</f>
        <v>0</v>
      </c>
      <c r="L306" s="176"/>
      <c r="M306" s="176"/>
      <c r="N306" s="176"/>
      <c r="O306" s="189"/>
      <c r="P306" s="189"/>
    </row>
    <row r="307" spans="1:16" ht="21.75" customHeight="1" x14ac:dyDescent="0.35">
      <c r="A307" s="183"/>
      <c r="B307" s="184"/>
      <c r="C307" s="184"/>
      <c r="D307" s="201"/>
      <c r="E307" s="202" t="s">
        <v>54</v>
      </c>
      <c r="F307" s="203"/>
      <c r="G307" s="204"/>
      <c r="H307" s="194"/>
      <c r="I307" s="195"/>
      <c r="J307" s="195">
        <f ca="1">IFERROR(__xludf.DUMMYFUNCTION("IMPORTRANGE(""https://docs.google.com/spreadsheets/d/1IYY_tgx_IHuhSq3AJ5eI5OnqOPBNLWSHKh2a30DoXe8/edit?usp=sharing"",""ภูเก็ต!J212"")"),0)</f>
        <v>0</v>
      </c>
      <c r="K307" s="231"/>
      <c r="L307" s="176"/>
      <c r="M307" s="176"/>
      <c r="N307" s="176"/>
      <c r="O307" s="189"/>
      <c r="P307" s="189"/>
    </row>
    <row r="308" spans="1:16" ht="21.75" customHeight="1" x14ac:dyDescent="0.35">
      <c r="A308" s="183"/>
      <c r="B308" s="184"/>
      <c r="C308" s="184"/>
      <c r="D308" s="213">
        <v>3</v>
      </c>
      <c r="E308" s="214" t="s">
        <v>55</v>
      </c>
      <c r="F308" s="215"/>
      <c r="G308" s="216"/>
      <c r="H308" s="194"/>
      <c r="I308" s="195"/>
      <c r="J308" s="332">
        <f ca="1">IFERROR(__xludf.DUMMYFUNCTION("IMPORTRANGE(""https://docs.google.com/spreadsheets/d/1IYY_tgx_IHuhSq3AJ5eI5OnqOPBNLWSHKh2a30DoXe8/edit?usp=sharing"",""ภูเก็ต!J213"")"),0)</f>
        <v>0</v>
      </c>
      <c r="K308" s="231"/>
      <c r="L308" s="176"/>
      <c r="M308" s="176"/>
      <c r="N308" s="176"/>
      <c r="O308" s="189"/>
      <c r="P308" s="189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IFERROR(__xludf.DUMMYFUNCTION("IMPORTRANGE(""https://docs.google.com/spreadsheets/d/1IYY_tgx_IHuhSq3AJ5eI5OnqOPBNLWSHKh2a30DoXe8/edit?usp=sharing"",""ภูเก็ต!I214"")"),0)</f>
        <v>0</v>
      </c>
      <c r="J309" s="339">
        <f ca="1">IFERROR(__xludf.DUMMYFUNCTION("IMPORTRANGE(""https://docs.google.com/spreadsheets/d/1IYY_tgx_IHuhSq3AJ5eI5OnqOPBNLWSHKh2a30DoXe8/edit?usp=sharing"",""ภูเก็ต!J214"")"),0)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52" t="s">
        <v>17</v>
      </c>
      <c r="E310" s="543"/>
      <c r="F310" s="543"/>
      <c r="G310" s="54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5">
      <c r="A313" s="162"/>
      <c r="B313" s="163"/>
      <c r="C313" s="163" t="s">
        <v>16</v>
      </c>
      <c r="D313" s="164" t="s">
        <v>38</v>
      </c>
      <c r="E313" s="165"/>
      <c r="F313" s="165"/>
      <c r="G313" s="166" t="s">
        <v>39</v>
      </c>
      <c r="H313" s="167" t="s">
        <v>12</v>
      </c>
      <c r="I313" s="168" t="s">
        <v>40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 x14ac:dyDescent="0.35">
      <c r="A314" s="162"/>
      <c r="B314" s="163"/>
      <c r="C314" s="163"/>
      <c r="D314" s="172"/>
      <c r="E314" s="165"/>
      <c r="F314" s="165" t="s">
        <v>40</v>
      </c>
      <c r="G314" s="166" t="s">
        <v>41</v>
      </c>
      <c r="H314" s="167" t="s">
        <v>12</v>
      </c>
      <c r="I314" s="168"/>
      <c r="J314" s="168"/>
      <c r="K314" s="169"/>
      <c r="L314" s="173">
        <f ca="1">L315+L316</f>
        <v>0</v>
      </c>
      <c r="M314" s="174">
        <f ca="1">IFERROR(__xludf.DUMMYFUNCTION("IMPORTRANGE(""https://docs.google.com/spreadsheets/d/1Yj_ptqi66GCucihVvJfMjLAmec39IyEx_6qawtMGysU/edit?usp=sharing"",""สบก!DC89"")"),0)</f>
        <v>0</v>
      </c>
      <c r="N314" s="175">
        <f ca="1">IFERROR(__xludf.DUMMYFUNCTION("IMPORTRANGE(""https://docs.google.com/spreadsheets/d/1Yj_ptqi66GCucihVvJfMjLAmec39IyEx_6qawtMGysU/edit?usp=sharing"",""สบก!DD89"")"),0)</f>
        <v>0</v>
      </c>
      <c r="O314" s="176">
        <f ca="1">IF(L314&gt;0,N314*100/L314,0)</f>
        <v>0</v>
      </c>
      <c r="P314" s="176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2"/>
      <c r="E315" s="165"/>
      <c r="F315" s="165"/>
      <c r="G315" s="177" t="s">
        <v>42</v>
      </c>
      <c r="H315" s="167" t="s">
        <v>12</v>
      </c>
      <c r="I315" s="168"/>
      <c r="J315" s="168"/>
      <c r="K315" s="169"/>
      <c r="L315" s="174">
        <f ca="1">IFERROR(__xludf.DUMMYFUNCTION("IMPORTRANGE(""https://docs.google.com/spreadsheets/d/1Yj_ptqi66GCucihVvJfMjLAmec39IyEx_6qawtMGysU/edit?usp=sharing"",""สบก!CY89"")"),0)</f>
        <v>0</v>
      </c>
      <c r="M315" s="173"/>
      <c r="N315" s="173"/>
      <c r="O315" s="176"/>
      <c r="P315" s="176"/>
    </row>
    <row r="316" spans="1:16" ht="21.75" customHeight="1" x14ac:dyDescent="0.35">
      <c r="A316" s="162"/>
      <c r="B316" s="163"/>
      <c r="C316" s="163"/>
      <c r="D316" s="172"/>
      <c r="E316" s="165"/>
      <c r="F316" s="165"/>
      <c r="G316" s="177" t="s">
        <v>43</v>
      </c>
      <c r="H316" s="167" t="s">
        <v>12</v>
      </c>
      <c r="I316" s="168"/>
      <c r="J316" s="195"/>
      <c r="K316" s="231"/>
      <c r="L316" s="174">
        <f ca="1">IFERROR(__xludf.DUMMYFUNCTION("IMPORTRANGE(""https://docs.google.com/spreadsheets/d/1Yj_ptqi66GCucihVvJfMjLAmec39IyEx_6qawtMGysU/edit?usp=sharing"",""สบก!CZ89"")"),0)</f>
        <v>0</v>
      </c>
      <c r="M316" s="173"/>
      <c r="N316" s="173"/>
      <c r="O316" s="176"/>
      <c r="P316" s="176"/>
    </row>
    <row r="317" spans="1:16" ht="21.75" customHeight="1" x14ac:dyDescent="0.45">
      <c r="A317" s="178"/>
      <c r="B317" s="81"/>
      <c r="C317" s="82" t="s">
        <v>16</v>
      </c>
      <c r="D317" s="549" t="s">
        <v>23</v>
      </c>
      <c r="E317" s="545"/>
      <c r="F317" s="89"/>
      <c r="G317" s="83" t="s">
        <v>18</v>
      </c>
      <c r="H317" s="179" t="s">
        <v>12</v>
      </c>
      <c r="I317" s="168"/>
      <c r="J317" s="195"/>
      <c r="K317" s="231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80"/>
      <c r="B318" s="95"/>
      <c r="C318" s="95"/>
      <c r="D318" s="181"/>
      <c r="E318" s="96"/>
      <c r="F318" s="96"/>
      <c r="G318" s="97" t="s">
        <v>19</v>
      </c>
      <c r="H318" s="182" t="s">
        <v>12</v>
      </c>
      <c r="I318" s="168"/>
      <c r="J318" s="195"/>
      <c r="K318" s="231"/>
      <c r="L318" s="91">
        <f ca="1">IFERROR(__xludf.DUMMYFUNCTION("IMPORTRANGE(""https://docs.google.com/spreadsheets/d/1Yj_ptqi66GCucihVvJfMjLAmec39IyEx_6qawtMGysU/edit?usp=sharing"",""สบก!DA89"")"),0)</f>
        <v>0</v>
      </c>
      <c r="M318" s="101"/>
      <c r="N318" s="91">
        <f ca="1">IFERROR(__xludf.DUMMYFUNCTION("IMPORTRANGE(""https://docs.google.com/spreadsheets/d/1Yj_ptqi66GCucihVvJfMjLAmec39IyEx_6qawtMGysU/edit?usp=sharing"",""สบก!DE89"")"),0)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3"/>
      <c r="B319" s="184"/>
      <c r="C319" s="163" t="s">
        <v>16</v>
      </c>
      <c r="D319" s="185" t="s">
        <v>44</v>
      </c>
      <c r="E319" s="186"/>
      <c r="F319" s="186"/>
      <c r="G319" s="187"/>
      <c r="H319" s="188"/>
      <c r="I319" s="168"/>
      <c r="J319" s="195"/>
      <c r="K319" s="231"/>
      <c r="L319" s="176"/>
      <c r="M319" s="176"/>
      <c r="N319" s="176"/>
      <c r="O319" s="189"/>
      <c r="P319" s="189"/>
    </row>
    <row r="320" spans="1:16" ht="21.75" customHeight="1" x14ac:dyDescent="0.35">
      <c r="A320" s="183"/>
      <c r="B320" s="184"/>
      <c r="C320" s="184"/>
      <c r="D320" s="190">
        <v>1</v>
      </c>
      <c r="E320" s="191" t="s">
        <v>45</v>
      </c>
      <c r="F320" s="192"/>
      <c r="G320" s="193"/>
      <c r="H320" s="194"/>
      <c r="I320" s="195"/>
      <c r="J320" s="195">
        <f ca="1">IFERROR(__xludf.DUMMYFUNCTION("IMPORTRANGE(""https://docs.google.com/spreadsheets/d/1IYY_tgx_IHuhSq3AJ5eI5OnqOPBNLWSHKh2a30DoXe8/edit?usp=sharing"",""ภูเก็ต!J220"")"),0)</f>
        <v>0</v>
      </c>
      <c r="K320" s="231"/>
      <c r="L320" s="176"/>
      <c r="M320" s="176"/>
      <c r="N320" s="176"/>
      <c r="O320" s="189"/>
      <c r="P320" s="189"/>
    </row>
    <row r="321" spans="1:16" ht="21.75" customHeight="1" x14ac:dyDescent="0.35">
      <c r="A321" s="183"/>
      <c r="B321" s="184"/>
      <c r="C321" s="184"/>
      <c r="D321" s="197">
        <v>2</v>
      </c>
      <c r="E321" s="198" t="s">
        <v>46</v>
      </c>
      <c r="F321" s="199"/>
      <c r="G321" s="200"/>
      <c r="H321" s="194"/>
      <c r="I321" s="195"/>
      <c r="J321" s="195">
        <f ca="1">IFERROR(__xludf.DUMMYFUNCTION("IMPORTRANGE(""https://docs.google.com/spreadsheets/d/1IYY_tgx_IHuhSq3AJ5eI5OnqOPBNLWSHKh2a30DoXe8/edit?usp=sharing"",""ภูเก็ต!J221"")"),0)</f>
        <v>0</v>
      </c>
      <c r="K321" s="231"/>
      <c r="L321" s="176" t="s">
        <v>40</v>
      </c>
      <c r="M321" s="176"/>
      <c r="N321" s="176" t="s">
        <v>40</v>
      </c>
      <c r="O321" s="189"/>
      <c r="P321" s="189"/>
    </row>
    <row r="322" spans="1:16" ht="21.75" customHeight="1" x14ac:dyDescent="0.35">
      <c r="A322" s="183"/>
      <c r="B322" s="184"/>
      <c r="C322" s="184"/>
      <c r="D322" s="201"/>
      <c r="E322" s="202" t="s">
        <v>47</v>
      </c>
      <c r="F322" s="203"/>
      <c r="G322" s="204"/>
      <c r="H322" s="194"/>
      <c r="I322" s="195"/>
      <c r="J322" s="195">
        <f ca="1">IFERROR(__xludf.DUMMYFUNCTION("IMPORTRANGE(""https://docs.google.com/spreadsheets/d/1IYY_tgx_IHuhSq3AJ5eI5OnqOPBNLWSHKh2a30DoXe8/edit?usp=sharing"",""ภูเก็ต!J222"")"),0)</f>
        <v>0</v>
      </c>
      <c r="K322" s="231"/>
      <c r="L322" s="176"/>
      <c r="M322" s="176"/>
      <c r="N322" s="176"/>
      <c r="O322" s="189"/>
      <c r="P322" s="189"/>
    </row>
    <row r="323" spans="1:16" ht="21.75" customHeight="1" x14ac:dyDescent="0.35">
      <c r="A323" s="183"/>
      <c r="B323" s="184"/>
      <c r="C323" s="184"/>
      <c r="D323" s="201"/>
      <c r="E323" s="202" t="s">
        <v>48</v>
      </c>
      <c r="F323" s="203"/>
      <c r="G323" s="204"/>
      <c r="H323" s="194"/>
      <c r="I323" s="195"/>
      <c r="J323" s="195">
        <f ca="1">IFERROR(__xludf.DUMMYFUNCTION("IMPORTRANGE(""https://docs.google.com/spreadsheets/d/1IYY_tgx_IHuhSq3AJ5eI5OnqOPBNLWSHKh2a30DoXe8/edit?usp=sharing"",""ภูเก็ต!J223"")"),0)</f>
        <v>0</v>
      </c>
      <c r="K323" s="231"/>
      <c r="L323" s="176"/>
      <c r="M323" s="176"/>
      <c r="N323" s="176"/>
      <c r="O323" s="189"/>
      <c r="P323" s="189"/>
    </row>
    <row r="324" spans="1:16" ht="21.75" customHeight="1" x14ac:dyDescent="0.35">
      <c r="A324" s="183"/>
      <c r="B324" s="184"/>
      <c r="C324" s="184"/>
      <c r="D324" s="201"/>
      <c r="E324" s="206"/>
      <c r="F324" s="202" t="s">
        <v>117</v>
      </c>
      <c r="G324" s="204"/>
      <c r="H324" s="194" t="s">
        <v>116</v>
      </c>
      <c r="I324" s="195">
        <f ca="1">IFERROR(__xludf.DUMMYFUNCTION("IMPORTRANGE(""https://docs.google.com/spreadsheets/d/1IYY_tgx_IHuhSq3AJ5eI5OnqOPBNLWSHKh2a30DoXe8/edit?usp=sharing"",""ภูเก็ต!I224"")"),0)</f>
        <v>0</v>
      </c>
      <c r="J324" s="211">
        <f ca="1">IFERROR(__xludf.DUMMYFUNCTION("IMPORTRANGE(""https://docs.google.com/spreadsheets/d/1IYY_tgx_IHuhSq3AJ5eI5OnqOPBNLWSHKh2a30DoXe8/edit?usp=sharing"",""ภูเก็ต!J224"")"),0)</f>
        <v>0</v>
      </c>
      <c r="K324" s="231">
        <f ca="1">IF(I324&gt;0,J324*100/I324,0)</f>
        <v>0</v>
      </c>
      <c r="L324" s="176"/>
      <c r="M324" s="176"/>
      <c r="N324" s="176"/>
      <c r="O324" s="189"/>
      <c r="P324" s="189"/>
    </row>
    <row r="325" spans="1:16" ht="21.75" customHeight="1" x14ac:dyDescent="0.35">
      <c r="A325" s="183"/>
      <c r="B325" s="184"/>
      <c r="C325" s="184"/>
      <c r="D325" s="201"/>
      <c r="E325" s="202" t="s">
        <v>54</v>
      </c>
      <c r="F325" s="203"/>
      <c r="G325" s="204"/>
      <c r="H325" s="194"/>
      <c r="I325" s="195"/>
      <c r="J325" s="195">
        <f ca="1">IFERROR(__xludf.DUMMYFUNCTION("IMPORTRANGE(""https://docs.google.com/spreadsheets/d/1IYY_tgx_IHuhSq3AJ5eI5OnqOPBNLWSHKh2a30DoXe8/edit?usp=sharing"",""ภูเก็ต!J225"")"),0)</f>
        <v>0</v>
      </c>
      <c r="K325" s="231"/>
      <c r="L325" s="176"/>
      <c r="M325" s="176"/>
      <c r="N325" s="176"/>
      <c r="O325" s="189"/>
      <c r="P325" s="189"/>
    </row>
    <row r="326" spans="1:16" ht="21.75" customHeight="1" x14ac:dyDescent="0.35">
      <c r="A326" s="183"/>
      <c r="B326" s="184"/>
      <c r="C326" s="184"/>
      <c r="D326" s="213">
        <v>3</v>
      </c>
      <c r="E326" s="214" t="s">
        <v>55</v>
      </c>
      <c r="F326" s="215"/>
      <c r="G326" s="216"/>
      <c r="H326" s="194"/>
      <c r="I326" s="195"/>
      <c r="J326" s="234">
        <f ca="1">IFERROR(__xludf.DUMMYFUNCTION("IMPORTRANGE(""https://docs.google.com/spreadsheets/d/1IYY_tgx_IHuhSq3AJ5eI5OnqOPBNLWSHKh2a30DoXe8/edit?usp=sharing"",""ภูเก็ต!J226"")"),0)</f>
        <v>0</v>
      </c>
      <c r="K326" s="231"/>
      <c r="L326" s="176"/>
      <c r="M326" s="176"/>
      <c r="N326" s="176"/>
      <c r="O326" s="189"/>
      <c r="P326" s="189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IFERROR(__xludf.DUMMYFUNCTION("IMPORTRANGE(""https://docs.google.com/spreadsheets/d/1IYY_tgx_IHuhSq3AJ5eI5OnqOPBNLWSHKh2a30DoXe8/edit?usp=sharing"",""ภูเก็ต!I228"")"),25)</f>
        <v>25</v>
      </c>
      <c r="J328" s="345">
        <f ca="1">IFERROR(__xludf.DUMMYFUNCTION("IMPORTRANGE(""https://docs.google.com/spreadsheets/d/1IYY_tgx_IHuhSq3AJ5eI5OnqOPBNLWSHKh2a30DoXe8/edit?usp=sharing"",""ภูเก็ต!J228"")"),1)</f>
        <v>1</v>
      </c>
      <c r="K328" s="323">
        <f ca="1">IF(I328&gt;0,J328*100/I328,0)</f>
        <v>4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52" t="s">
        <v>17</v>
      </c>
      <c r="E329" s="543"/>
      <c r="F329" s="543"/>
      <c r="G329" s="543"/>
      <c r="H329" s="153" t="s">
        <v>12</v>
      </c>
      <c r="I329" s="168"/>
      <c r="J329" s="168"/>
      <c r="K329" s="169"/>
      <c r="L329" s="156">
        <f t="shared" ref="L329:N329" ca="1" si="98">L330+L331</f>
        <v>734400</v>
      </c>
      <c r="M329" s="156">
        <f t="shared" ca="1" si="98"/>
        <v>389360</v>
      </c>
      <c r="N329" s="156">
        <f t="shared" ca="1" si="98"/>
        <v>334321</v>
      </c>
      <c r="O329" s="155">
        <f t="shared" ref="O329:O331" ca="1" si="99">IF(L329&gt;0,N329*100/L329,0)</f>
        <v>45.523011982570807</v>
      </c>
      <c r="P329" s="155">
        <f t="shared" ref="P329:P331" ca="1" si="100">IF(M329&gt;0,N329*100/M329,0)</f>
        <v>85.864238750770497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8"/>
      <c r="J330" s="168"/>
      <c r="K330" s="169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8"/>
      <c r="J331" s="168"/>
      <c r="K331" s="169"/>
      <c r="L331" s="161">
        <f t="shared" ref="L331:N331" ca="1" si="102">L333+L337</f>
        <v>734400</v>
      </c>
      <c r="M331" s="161">
        <f t="shared" ca="1" si="102"/>
        <v>389360</v>
      </c>
      <c r="N331" s="161">
        <f t="shared" ca="1" si="102"/>
        <v>334321</v>
      </c>
      <c r="O331" s="160">
        <f t="shared" ca="1" si="99"/>
        <v>45.523011982570807</v>
      </c>
      <c r="P331" s="160">
        <f t="shared" ca="1" si="100"/>
        <v>85.864238750770497</v>
      </c>
    </row>
    <row r="332" spans="1:16" ht="21.75" customHeight="1" x14ac:dyDescent="0.35">
      <c r="A332" s="162"/>
      <c r="B332" s="163"/>
      <c r="C332" s="163" t="s">
        <v>16</v>
      </c>
      <c r="D332" s="164" t="s">
        <v>38</v>
      </c>
      <c r="E332" s="165"/>
      <c r="F332" s="165"/>
      <c r="G332" s="166" t="s">
        <v>39</v>
      </c>
      <c r="H332" s="167" t="s">
        <v>12</v>
      </c>
      <c r="I332" s="168" t="s">
        <v>40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 x14ac:dyDescent="0.35">
      <c r="A333" s="162"/>
      <c r="B333" s="163"/>
      <c r="C333" s="163"/>
      <c r="D333" s="172"/>
      <c r="E333" s="165"/>
      <c r="F333" s="165" t="s">
        <v>40</v>
      </c>
      <c r="G333" s="166" t="s">
        <v>41</v>
      </c>
      <c r="H333" s="167" t="s">
        <v>12</v>
      </c>
      <c r="I333" s="168"/>
      <c r="J333" s="168"/>
      <c r="K333" s="169"/>
      <c r="L333" s="173">
        <f ca="1">L334+L335</f>
        <v>696600</v>
      </c>
      <c r="M333" s="174">
        <f ca="1">IFERROR(__xludf.DUMMYFUNCTION("IMPORTRANGE(""https://docs.google.com/spreadsheets/d/1Yj_ptqi66GCucihVvJfMjLAmec39IyEx_6qawtMGysU/edit?usp=sharing"",""สบก!DL89"")"),351560)</f>
        <v>351560</v>
      </c>
      <c r="N333" s="175">
        <f ca="1">IFERROR(__xludf.DUMMYFUNCTION("IMPORTRANGE(""https://docs.google.com/spreadsheets/d/1Yj_ptqi66GCucihVvJfMjLAmec39IyEx_6qawtMGysU/edit?usp=sharing"",""สบก!DM89"")"),296521)</f>
        <v>296521</v>
      </c>
      <c r="O333" s="176">
        <f ca="1">IF(L333&gt;0,N333*100/L333,0)</f>
        <v>42.566896353718057</v>
      </c>
      <c r="P333" s="176">
        <f ca="1">IF(M333&gt;0,N333*100/M333,0)</f>
        <v>84.344350893161902</v>
      </c>
    </row>
    <row r="334" spans="1:16" ht="21.75" customHeight="1" x14ac:dyDescent="0.35">
      <c r="A334" s="162"/>
      <c r="B334" s="163"/>
      <c r="C334" s="163"/>
      <c r="D334" s="172"/>
      <c r="E334" s="165"/>
      <c r="F334" s="165"/>
      <c r="G334" s="177" t="s">
        <v>42</v>
      </c>
      <c r="H334" s="167" t="s">
        <v>12</v>
      </c>
      <c r="I334" s="168"/>
      <c r="J334" s="168"/>
      <c r="K334" s="169"/>
      <c r="L334" s="174">
        <f ca="1">IFERROR(__xludf.DUMMYFUNCTION("IMPORTRANGE(""https://docs.google.com/spreadsheets/d/1Yj_ptqi66GCucihVvJfMjLAmec39IyEx_6qawtMGysU/edit?usp=sharing"",""สบก!DH89"")"),495500)</f>
        <v>495500</v>
      </c>
      <c r="M334" s="173"/>
      <c r="N334" s="173"/>
      <c r="O334" s="176"/>
      <c r="P334" s="176"/>
    </row>
    <row r="335" spans="1:16" ht="21.75" customHeight="1" x14ac:dyDescent="0.35">
      <c r="A335" s="162"/>
      <c r="B335" s="163"/>
      <c r="C335" s="163"/>
      <c r="D335" s="172"/>
      <c r="E335" s="165"/>
      <c r="F335" s="165"/>
      <c r="G335" s="177" t="s">
        <v>43</v>
      </c>
      <c r="H335" s="167" t="s">
        <v>12</v>
      </c>
      <c r="I335" s="168"/>
      <c r="J335" s="168"/>
      <c r="K335" s="169"/>
      <c r="L335" s="174">
        <f ca="1">IFERROR(__xludf.DUMMYFUNCTION("IMPORTRANGE(""https://docs.google.com/spreadsheets/d/1Yj_ptqi66GCucihVvJfMjLAmec39IyEx_6qawtMGysU/edit?usp=sharing"",""สบก!DI89"")"),201100)</f>
        <v>201100</v>
      </c>
      <c r="M335" s="173"/>
      <c r="N335" s="173"/>
      <c r="O335" s="176"/>
      <c r="P335" s="176"/>
    </row>
    <row r="336" spans="1:16" ht="21.75" customHeight="1" x14ac:dyDescent="0.45">
      <c r="A336" s="178"/>
      <c r="B336" s="81"/>
      <c r="C336" s="82" t="s">
        <v>16</v>
      </c>
      <c r="D336" s="549" t="s">
        <v>23</v>
      </c>
      <c r="E336" s="545"/>
      <c r="F336" s="89"/>
      <c r="G336" s="83" t="s">
        <v>18</v>
      </c>
      <c r="H336" s="179" t="s">
        <v>12</v>
      </c>
      <c r="I336" s="168"/>
      <c r="J336" s="168"/>
      <c r="K336" s="169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80"/>
      <c r="B337" s="95"/>
      <c r="C337" s="95"/>
      <c r="D337" s="181"/>
      <c r="E337" s="96"/>
      <c r="F337" s="96"/>
      <c r="G337" s="97" t="s">
        <v>19</v>
      </c>
      <c r="H337" s="182" t="s">
        <v>12</v>
      </c>
      <c r="I337" s="168"/>
      <c r="J337" s="168"/>
      <c r="K337" s="169"/>
      <c r="L337" s="91">
        <f ca="1">IFERROR(__xludf.DUMMYFUNCTION("IMPORTRANGE(""https://docs.google.com/spreadsheets/d/1Yj_ptqi66GCucihVvJfMjLAmec39IyEx_6qawtMGysU/edit?usp=sharing"",""สบก!DJ89"")"),37800)</f>
        <v>37800</v>
      </c>
      <c r="M337" s="101">
        <f ca="1">L337</f>
        <v>37800</v>
      </c>
      <c r="N337" s="91">
        <f ca="1">IFERROR(__xludf.DUMMYFUNCTION("IMPORTRANGE(""https://docs.google.com/spreadsheets/d/1Yj_ptqi66GCucihVvJfMjLAmec39IyEx_6qawtMGysU/edit?usp=sharing"",""สบก!DN89"")"),37800)</f>
        <v>37800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3"/>
      <c r="B338" s="297"/>
      <c r="C338" s="346" t="s">
        <v>120</v>
      </c>
      <c r="D338" s="203"/>
      <c r="E338" s="203"/>
      <c r="F338" s="203"/>
      <c r="G338" s="204"/>
      <c r="H338" s="188"/>
      <c r="I338" s="347"/>
      <c r="J338" s="347"/>
      <c r="K338" s="348"/>
      <c r="L338" s="189"/>
      <c r="M338" s="189"/>
      <c r="N338" s="189"/>
      <c r="O338" s="349"/>
      <c r="P338" s="349"/>
    </row>
    <row r="339" spans="1:16" ht="21.75" customHeight="1" x14ac:dyDescent="0.35">
      <c r="A339" s="183"/>
      <c r="B339" s="297"/>
      <c r="C339" s="184"/>
      <c r="D339" s="203"/>
      <c r="E339" s="202" t="s">
        <v>121</v>
      </c>
      <c r="F339" s="203"/>
      <c r="G339" s="204"/>
      <c r="H339" s="350" t="s">
        <v>37</v>
      </c>
      <c r="I339" s="211">
        <f ca="1">IFERROR(__xludf.DUMMYFUNCTION("IMPORTRANGE(""https://docs.google.com/spreadsheets/d/1IYY_tgx_IHuhSq3AJ5eI5OnqOPBNLWSHKh2a30DoXe8/edit?usp=sharing"",""ภูเก็ต!I234"")"),0)</f>
        <v>0</v>
      </c>
      <c r="J339" s="195">
        <f ca="1">IFERROR(__xludf.DUMMYFUNCTION("IMPORTRANGE(""https://docs.google.com/spreadsheets/d/1IYY_tgx_IHuhSq3AJ5eI5OnqOPBNLWSHKh2a30DoXe8/edit?usp=sharing"",""ภูเก็ต!J234"")"),5)</f>
        <v>5</v>
      </c>
      <c r="K339" s="348">
        <f t="shared" ref="K339:K346" ca="1" si="103">IF(I339&gt;0,J339*100/I339,0)</f>
        <v>0</v>
      </c>
      <c r="L339" s="189"/>
      <c r="M339" s="189"/>
      <c r="N339" s="189"/>
      <c r="O339" s="349"/>
      <c r="P339" s="349"/>
    </row>
    <row r="340" spans="1:16" ht="21.75" customHeight="1" x14ac:dyDescent="0.35">
      <c r="A340" s="183"/>
      <c r="B340" s="297"/>
      <c r="C340" s="184"/>
      <c r="D340" s="203"/>
      <c r="E340" s="203"/>
      <c r="F340" s="203"/>
      <c r="G340" s="204"/>
      <c r="H340" s="350" t="s">
        <v>122</v>
      </c>
      <c r="I340" s="195">
        <f ca="1">IFERROR(__xludf.DUMMYFUNCTION("IMPORTRANGE(""https://docs.google.com/spreadsheets/d/1IYY_tgx_IHuhSq3AJ5eI5OnqOPBNLWSHKh2a30DoXe8/edit?usp=sharing"",""ภูเก็ต!I235"")"),200)</f>
        <v>200</v>
      </c>
      <c r="J340" s="195">
        <f ca="1">IFERROR(__xludf.DUMMYFUNCTION("IMPORTRANGE(""https://docs.google.com/spreadsheets/d/1IYY_tgx_IHuhSq3AJ5eI5OnqOPBNLWSHKh2a30DoXe8/edit?usp=sharing"",""ภูเก็ต!J235"")"),6.88)</f>
        <v>6.88</v>
      </c>
      <c r="K340" s="348">
        <f t="shared" ca="1" si="103"/>
        <v>3.44</v>
      </c>
      <c r="L340" s="189"/>
      <c r="M340" s="189"/>
      <c r="N340" s="189"/>
      <c r="O340" s="349"/>
      <c r="P340" s="349"/>
    </row>
    <row r="341" spans="1:16" ht="21.75" customHeight="1" x14ac:dyDescent="0.35">
      <c r="A341" s="183"/>
      <c r="B341" s="297"/>
      <c r="C341" s="184"/>
      <c r="D341" s="203"/>
      <c r="E341" s="202" t="s">
        <v>123</v>
      </c>
      <c r="F341" s="203"/>
      <c r="G341" s="204"/>
      <c r="H341" s="188" t="s">
        <v>37</v>
      </c>
      <c r="I341" s="195">
        <f ca="1">IFERROR(__xludf.DUMMYFUNCTION("IMPORTRANGE(""https://docs.google.com/spreadsheets/d/1IYY_tgx_IHuhSq3AJ5eI5OnqOPBNLWSHKh2a30DoXe8/edit?usp=sharing"",""ภูเก็ต!I236"")"),25)</f>
        <v>25</v>
      </c>
      <c r="J341" s="195">
        <f ca="1">IFERROR(__xludf.DUMMYFUNCTION("IMPORTRANGE(""https://docs.google.com/spreadsheets/d/1IYY_tgx_IHuhSq3AJ5eI5OnqOPBNLWSHKh2a30DoXe8/edit?usp=sharing"",""ภูเก็ต!J236"")"),5)</f>
        <v>5</v>
      </c>
      <c r="K341" s="348">
        <f t="shared" ca="1" si="103"/>
        <v>20</v>
      </c>
      <c r="L341" s="189"/>
      <c r="M341" s="189"/>
      <c r="N341" s="189"/>
      <c r="O341" s="349"/>
      <c r="P341" s="349"/>
    </row>
    <row r="342" spans="1:16" ht="21.75" customHeight="1" x14ac:dyDescent="0.35">
      <c r="A342" s="183"/>
      <c r="B342" s="297"/>
      <c r="C342" s="184"/>
      <c r="D342" s="203"/>
      <c r="E342" s="203"/>
      <c r="F342" s="203"/>
      <c r="G342" s="204"/>
      <c r="H342" s="188" t="s">
        <v>122</v>
      </c>
      <c r="I342" s="351">
        <f ca="1">IFERROR(__xludf.DUMMYFUNCTION("IMPORTRANGE(""https://docs.google.com/spreadsheets/d/1IYY_tgx_IHuhSq3AJ5eI5OnqOPBNLWSHKh2a30DoXe8/edit?usp=sharing"",""ภูเก็ต!I237"")"),0)</f>
        <v>0</v>
      </c>
      <c r="J342" s="195">
        <f ca="1">IFERROR(__xludf.DUMMYFUNCTION("IMPORTRANGE(""https://docs.google.com/spreadsheets/d/1IYY_tgx_IHuhSq3AJ5eI5OnqOPBNLWSHKh2a30DoXe8/edit?usp=sharing"",""ภูเก็ต!J237"")"),6.88)</f>
        <v>6.88</v>
      </c>
      <c r="K342" s="348">
        <f t="shared" ca="1" si="103"/>
        <v>0</v>
      </c>
      <c r="L342" s="189"/>
      <c r="M342" s="189"/>
      <c r="N342" s="189"/>
      <c r="O342" s="349"/>
      <c r="P342" s="349"/>
    </row>
    <row r="343" spans="1:16" ht="21.75" customHeight="1" x14ac:dyDescent="0.35">
      <c r="A343" s="183"/>
      <c r="B343" s="297"/>
      <c r="C343" s="184"/>
      <c r="D343" s="203"/>
      <c r="E343" s="202" t="s">
        <v>124</v>
      </c>
      <c r="F343" s="203"/>
      <c r="G343" s="204"/>
      <c r="H343" s="188" t="s">
        <v>37</v>
      </c>
      <c r="I343" s="195">
        <f ca="1">IFERROR(__xludf.DUMMYFUNCTION("IMPORTRANGE(""https://docs.google.com/spreadsheets/d/1IYY_tgx_IHuhSq3AJ5eI5OnqOPBNLWSHKh2a30DoXe8/edit?usp=sharing"",""ภูเก็ต!I238"")"),25)</f>
        <v>25</v>
      </c>
      <c r="J343" s="195">
        <f ca="1">IFERROR(__xludf.DUMMYFUNCTION("IMPORTRANGE(""https://docs.google.com/spreadsheets/d/1IYY_tgx_IHuhSq3AJ5eI5OnqOPBNLWSHKh2a30DoXe8/edit?usp=sharing"",""ภูเก็ต!J238"")"),0)</f>
        <v>0</v>
      </c>
      <c r="K343" s="348">
        <f t="shared" ca="1" si="103"/>
        <v>0</v>
      </c>
      <c r="L343" s="189"/>
      <c r="M343" s="189"/>
      <c r="N343" s="189"/>
      <c r="O343" s="349"/>
      <c r="P343" s="349"/>
    </row>
    <row r="344" spans="1:16" ht="21.75" customHeight="1" x14ac:dyDescent="0.35">
      <c r="A344" s="183"/>
      <c r="B344" s="297"/>
      <c r="C344" s="184"/>
      <c r="D344" s="203"/>
      <c r="E344" s="203"/>
      <c r="F344" s="203"/>
      <c r="G344" s="204"/>
      <c r="H344" s="188" t="s">
        <v>122</v>
      </c>
      <c r="I344" s="351">
        <f ca="1">IFERROR(__xludf.DUMMYFUNCTION("IMPORTRANGE(""https://docs.google.com/spreadsheets/d/1IYY_tgx_IHuhSq3AJ5eI5OnqOPBNLWSHKh2a30DoXe8/edit?usp=sharing"",""ภูเก็ต!I239"")"),0)</f>
        <v>0</v>
      </c>
      <c r="J344" s="195">
        <f ca="1">IFERROR(__xludf.DUMMYFUNCTION("IMPORTRANGE(""https://docs.google.com/spreadsheets/d/1IYY_tgx_IHuhSq3AJ5eI5OnqOPBNLWSHKh2a30DoXe8/edit?usp=sharing"",""ภูเก็ต!J239"")"),0)</f>
        <v>0</v>
      </c>
      <c r="K344" s="348">
        <f t="shared" ca="1" si="103"/>
        <v>0</v>
      </c>
      <c r="L344" s="189"/>
      <c r="M344" s="189"/>
      <c r="N344" s="189"/>
      <c r="O344" s="349"/>
      <c r="P344" s="349"/>
    </row>
    <row r="345" spans="1:16" ht="21.75" customHeight="1" x14ac:dyDescent="0.35">
      <c r="A345" s="183"/>
      <c r="B345" s="297"/>
      <c r="C345" s="184"/>
      <c r="D345" s="203"/>
      <c r="E345" s="202" t="s">
        <v>125</v>
      </c>
      <c r="F345" s="203"/>
      <c r="G345" s="204"/>
      <c r="H345" s="188" t="s">
        <v>37</v>
      </c>
      <c r="I345" s="195">
        <f ca="1">IFERROR(__xludf.DUMMYFUNCTION("IMPORTRANGE(""https://docs.google.com/spreadsheets/d/1IYY_tgx_IHuhSq3AJ5eI5OnqOPBNLWSHKh2a30DoXe8/edit?usp=sharing"",""ภูเก็ต!I240"")"),25)</f>
        <v>25</v>
      </c>
      <c r="J345" s="195">
        <f ca="1">IFERROR(__xludf.DUMMYFUNCTION("IMPORTRANGE(""https://docs.google.com/spreadsheets/d/1IYY_tgx_IHuhSq3AJ5eI5OnqOPBNLWSHKh2a30DoXe8/edit?usp=sharing"",""ภูเก็ต!J240"")"),1)</f>
        <v>1</v>
      </c>
      <c r="K345" s="348">
        <f t="shared" ca="1" si="103"/>
        <v>4</v>
      </c>
      <c r="L345" s="189"/>
      <c r="M345" s="189"/>
      <c r="N345" s="189"/>
      <c r="O345" s="349"/>
      <c r="P345" s="349"/>
    </row>
    <row r="346" spans="1:16" ht="21.75" customHeight="1" x14ac:dyDescent="0.35">
      <c r="A346" s="241"/>
      <c r="B346" s="352"/>
      <c r="C346" s="242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IFERROR(__xludf.DUMMYFUNCTION("IMPORTRANGE(""https://docs.google.com/spreadsheets/d/1IYY_tgx_IHuhSq3AJ5eI5OnqOPBNLWSHKh2a30DoXe8/edit?usp=sharing"",""ภูเก็ต!I241"")"),0)</f>
        <v>0</v>
      </c>
      <c r="J346" s="195">
        <f ca="1">IFERROR(__xludf.DUMMYFUNCTION("IMPORTRANGE(""https://docs.google.com/spreadsheets/d/1IYY_tgx_IHuhSq3AJ5eI5OnqOPBNLWSHKh2a30DoXe8/edit?usp=sharing"",""ภูเก็ต!J241"")"),1.05)</f>
        <v>1.05</v>
      </c>
      <c r="K346" s="357">
        <f t="shared" ca="1" si="103"/>
        <v>0</v>
      </c>
      <c r="L346" s="252"/>
      <c r="M346" s="252"/>
      <c r="N346" s="252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IFERROR(__xludf.DUMMYFUNCTION("IMPORTRANGE(""https://docs.google.com/spreadsheets/d/1IYY_tgx_IHuhSq3AJ5eI5OnqOPBNLWSHKh2a30DoXe8/edit?usp=sharing"",""ภูเก็ต!L242"")"),523070)</f>
        <v>523070</v>
      </c>
      <c r="M347" s="364"/>
      <c r="N347" s="364">
        <f ca="1">IFERROR(__xludf.DUMMYFUNCTION("IMPORTRANGE(""https://docs.google.com/spreadsheets/d/1IYY_tgx_IHuhSq3AJ5eI5OnqOPBNLWSHKh2a30DoXe8/edit?usp=sharing"",""ภูเก็ต!M242"")"),170277)</f>
        <v>170277</v>
      </c>
      <c r="O347" s="364">
        <f ca="1">+IF(L347&gt;0,N347*100/L347,0)</f>
        <v>32.553386736000917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IFERROR(__xludf.DUMMYFUNCTION("IMPORTRANGE(""https://docs.google.com/spreadsheets/d/1IYY_tgx_IHuhSq3AJ5eI5OnqOPBNLWSHKh2a30DoXe8/edit?usp=sharing"",""ภูเก็ต!I244"")"),40)</f>
        <v>40</v>
      </c>
      <c r="J349" s="377">
        <f ca="1">IFERROR(__xludf.DUMMYFUNCTION("IMPORTRANGE(""https://docs.google.com/spreadsheets/d/1IYY_tgx_IHuhSq3AJ5eI5OnqOPBNLWSHKh2a30DoXe8/edit?usp=sharing"",""ภูเก็ต!J244"")"),0)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IFERROR(__xludf.DUMMYFUNCTION("IMPORTRANGE(""https://docs.google.com/spreadsheets/d/1IYY_tgx_IHuhSq3AJ5eI5OnqOPBNLWSHKh2a30DoXe8/edit?usp=sharing"",""ภูเก็ต!L244"")"),89120)</f>
        <v>89120</v>
      </c>
      <c r="M349" s="379"/>
      <c r="N349" s="379">
        <f ca="1">IFERROR(__xludf.DUMMYFUNCTION("IMPORTRANGE(""https://docs.google.com/spreadsheets/d/1IYY_tgx_IHuhSq3AJ5eI5OnqOPBNLWSHKh2a30DoXe8/edit?usp=sharing"",""ภูเก็ต!M244"")"),40217)</f>
        <v>40217</v>
      </c>
      <c r="O349" s="379">
        <f ca="1">+IF(L349&gt;0,N349*100/L349,0)</f>
        <v>45.126795332136446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IFERROR(__xludf.DUMMYFUNCTION("IMPORTRANGE(""https://docs.google.com/spreadsheets/d/1IYY_tgx_IHuhSq3AJ5eI5OnqOPBNLWSHKh2a30DoXe8/edit?usp=sharing"",""ภูเก็ต!I245"")"),20)</f>
        <v>20</v>
      </c>
      <c r="J350" s="377">
        <f ca="1">IFERROR(__xludf.DUMMYFUNCTION("IMPORTRANGE(""https://docs.google.com/spreadsheets/d/1IYY_tgx_IHuhSq3AJ5eI5OnqOPBNLWSHKh2a30DoXe8/edit?usp=sharing"",""ภูเก็ต!J245"")"),20)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164" t="s">
        <v>38</v>
      </c>
      <c r="E351" s="165"/>
      <c r="F351" s="165"/>
      <c r="G351" s="166" t="s">
        <v>39</v>
      </c>
      <c r="H351" s="167" t="s">
        <v>12</v>
      </c>
      <c r="I351" s="168" t="s">
        <v>40</v>
      </c>
      <c r="J351" s="168"/>
      <c r="K351" s="169"/>
      <c r="L351" s="170">
        <f ca="1">IFERROR(__xludf.DUMMYFUNCTION("IMPORTRANGE(""https://docs.google.com/spreadsheets/d/1IYY_tgx_IHuhSq3AJ5eI5OnqOPBNLWSHKh2a30DoXe8/edit?usp=sharing"",""ภูเก็ต!L246"")"),0)</f>
        <v>0</v>
      </c>
      <c r="M351" s="170"/>
      <c r="N351" s="170">
        <f ca="1">IFERROR(__xludf.DUMMYFUNCTION("IMPORTRANGE(""https://docs.google.com/spreadsheets/d/1IYY_tgx_IHuhSq3AJ5eI5OnqOPBNLWSHKh2a30DoXe8/edit?usp=sharing"",""ภูเก็ต!M246"")"),0)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 x14ac:dyDescent="0.35">
      <c r="A352" s="162"/>
      <c r="B352" s="163"/>
      <c r="C352" s="163"/>
      <c r="D352" s="172"/>
      <c r="E352" s="165"/>
      <c r="F352" s="165" t="s">
        <v>40</v>
      </c>
      <c r="G352" s="166" t="s">
        <v>41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IFERROR(__xludf.DUMMYFUNCTION("IMPORTRANGE(""https://docs.google.com/spreadsheets/d/1IYY_tgx_IHuhSq3AJ5eI5OnqOPBNLWSHKh2a30DoXe8/edit?usp=sharing"",""ภูเก็ต!L247"")"),89120)</f>
        <v>89120</v>
      </c>
      <c r="M352" s="171"/>
      <c r="N352" s="170">
        <f ca="1">IFERROR(__xludf.DUMMYFUNCTION("IMPORTRANGE(""https://docs.google.com/spreadsheets/d/1IYY_tgx_IHuhSq3AJ5eI5OnqOPBNLWSHKh2a30DoXe8/edit?usp=sharing"",""ภูเก็ต!M247"")"),40217)</f>
        <v>40217</v>
      </c>
      <c r="O352" s="171">
        <f t="shared" ca="1" si="105"/>
        <v>45.126795332136446</v>
      </c>
      <c r="P352" s="171"/>
    </row>
    <row r="353" spans="1:16" ht="21.75" customHeight="1" x14ac:dyDescent="0.35">
      <c r="A353" s="162"/>
      <c r="B353" s="163"/>
      <c r="C353" s="163"/>
      <c r="D353" s="172"/>
      <c r="E353" s="165"/>
      <c r="F353" s="165"/>
      <c r="G353" s="380" t="s">
        <v>129</v>
      </c>
      <c r="H353" s="167" t="s">
        <v>12</v>
      </c>
      <c r="I353" s="168"/>
      <c r="J353" s="168"/>
      <c r="K353" s="169"/>
      <c r="L353" s="176">
        <f ca="1">IFERROR(__xludf.DUMMYFUNCTION("IMPORTRANGE(""https://docs.google.com/spreadsheets/d/1IYY_tgx_IHuhSq3AJ5eI5OnqOPBNLWSHKh2a30DoXe8/edit?usp=sharing"",""ภูเก็ต!L248"")"),0)</f>
        <v>0</v>
      </c>
      <c r="M353" s="176"/>
      <c r="N353" s="176">
        <f ca="1">IFERROR(__xludf.DUMMYFUNCTION("IMPORTRANGE(""https://docs.google.com/spreadsheets/d/1IYY_tgx_IHuhSq3AJ5eI5OnqOPBNLWSHKh2a30DoXe8/edit?usp=sharing"",""ภูเก็ต!M248"")"),0)</f>
        <v>0</v>
      </c>
      <c r="O353" s="176">
        <f t="shared" ca="1" si="105"/>
        <v>0</v>
      </c>
      <c r="P353" s="176"/>
    </row>
    <row r="354" spans="1:16" ht="21.75" customHeight="1" x14ac:dyDescent="0.35">
      <c r="A354" s="162"/>
      <c r="B354" s="163"/>
      <c r="C354" s="163"/>
      <c r="D354" s="172"/>
      <c r="E354" s="165"/>
      <c r="F354" s="165"/>
      <c r="G354" s="380" t="s">
        <v>130</v>
      </c>
      <c r="H354" s="167" t="s">
        <v>12</v>
      </c>
      <c r="I354" s="168"/>
      <c r="J354" s="168"/>
      <c r="K354" s="169"/>
      <c r="L354" s="176">
        <f ca="1">IFERROR(__xludf.DUMMYFUNCTION("IMPORTRANGE(""https://docs.google.com/spreadsheets/d/1IYY_tgx_IHuhSq3AJ5eI5OnqOPBNLWSHKh2a30DoXe8/edit?usp=sharing"",""ภูเก็ต!L249"")"),89120)</f>
        <v>89120</v>
      </c>
      <c r="M354" s="176"/>
      <c r="N354" s="173">
        <f ca="1">IFERROR(__xludf.DUMMYFUNCTION("IMPORTRANGE(""https://docs.google.com/spreadsheets/d/1IYY_tgx_IHuhSq3AJ5eI5OnqOPBNLWSHKh2a30DoXe8/edit?usp=sharing"",""ภูเก็ต!M249"")"),40217)</f>
        <v>40217</v>
      </c>
      <c r="O354" s="176">
        <f t="shared" ca="1" si="105"/>
        <v>45.126795332136446</v>
      </c>
      <c r="P354" s="176"/>
    </row>
    <row r="355" spans="1:16" ht="21.75" customHeight="1" x14ac:dyDescent="0.35">
      <c r="A355" s="381"/>
      <c r="B355" s="382"/>
      <c r="C355" s="163"/>
      <c r="D355" s="383"/>
      <c r="E355" s="165"/>
      <c r="F355" s="165"/>
      <c r="G355" s="384" t="s">
        <v>131</v>
      </c>
      <c r="H355" s="167" t="s">
        <v>12</v>
      </c>
      <c r="I355" s="195"/>
      <c r="J355" s="195"/>
      <c r="K355" s="231"/>
      <c r="L355" s="176"/>
      <c r="M355" s="176"/>
      <c r="N355" s="385">
        <f ca="1">IFERROR(__xludf.DUMMYFUNCTION("IMPORTRANGE(""https://docs.google.com/spreadsheets/d/1IYY_tgx_IHuhSq3AJ5eI5OnqOPBNLWSHKh2a30DoXe8/edit?usp=sharing"",""ภูเก็ต!M250"")"),27600)</f>
        <v>27600</v>
      </c>
      <c r="O355" s="176"/>
      <c r="P355" s="176"/>
    </row>
    <row r="356" spans="1:16" ht="21.75" customHeight="1" x14ac:dyDescent="0.35">
      <c r="A356" s="381"/>
      <c r="B356" s="382"/>
      <c r="C356" s="163"/>
      <c r="D356" s="383"/>
      <c r="E356" s="165"/>
      <c r="F356" s="165"/>
      <c r="G356" s="384" t="s">
        <v>132</v>
      </c>
      <c r="H356" s="167" t="s">
        <v>12</v>
      </c>
      <c r="I356" s="195"/>
      <c r="J356" s="195"/>
      <c r="K356" s="231"/>
      <c r="L356" s="176"/>
      <c r="M356" s="176"/>
      <c r="N356" s="385">
        <f ca="1">IFERROR(__xludf.DUMMYFUNCTION("IMPORTRANGE(""https://docs.google.com/spreadsheets/d/1IYY_tgx_IHuhSq3AJ5eI5OnqOPBNLWSHKh2a30DoXe8/edit?usp=sharing"",""ภูเก็ต!M251"")"),0)</f>
        <v>0</v>
      </c>
      <c r="O356" s="176"/>
      <c r="P356" s="176"/>
    </row>
    <row r="357" spans="1:16" ht="21.75" customHeight="1" x14ac:dyDescent="0.35">
      <c r="A357" s="381"/>
      <c r="B357" s="382"/>
      <c r="C357" s="163"/>
      <c r="D357" s="383"/>
      <c r="E357" s="165"/>
      <c r="F357" s="165"/>
      <c r="G357" s="384" t="s">
        <v>133</v>
      </c>
      <c r="H357" s="167" t="s">
        <v>12</v>
      </c>
      <c r="I357" s="195"/>
      <c r="J357" s="195"/>
      <c r="K357" s="231"/>
      <c r="L357" s="176"/>
      <c r="M357" s="176"/>
      <c r="N357" s="385">
        <f ca="1">IFERROR(__xludf.DUMMYFUNCTION("IMPORTRANGE(""https://docs.google.com/spreadsheets/d/1IYY_tgx_IHuhSq3AJ5eI5OnqOPBNLWSHKh2a30DoXe8/edit?usp=sharing"",""ภูเก็ต!M252"")"),0)</f>
        <v>0</v>
      </c>
      <c r="O357" s="176"/>
      <c r="P357" s="176"/>
    </row>
    <row r="358" spans="1:16" ht="21.75" customHeight="1" x14ac:dyDescent="0.35">
      <c r="A358" s="381"/>
      <c r="B358" s="382"/>
      <c r="C358" s="163"/>
      <c r="D358" s="383"/>
      <c r="E358" s="165"/>
      <c r="F358" s="165"/>
      <c r="G358" s="384" t="s">
        <v>134</v>
      </c>
      <c r="H358" s="167" t="s">
        <v>12</v>
      </c>
      <c r="I358" s="195"/>
      <c r="J358" s="195"/>
      <c r="K358" s="231"/>
      <c r="L358" s="176"/>
      <c r="M358" s="176"/>
      <c r="N358" s="385">
        <f ca="1">IFERROR(__xludf.DUMMYFUNCTION("IMPORTRANGE(""https://docs.google.com/spreadsheets/d/1IYY_tgx_IHuhSq3AJ5eI5OnqOPBNLWSHKh2a30DoXe8/edit?usp=sharing"",""ภูเก็ต!M253"")"),12617)</f>
        <v>12617</v>
      </c>
      <c r="O358" s="176"/>
      <c r="P358" s="176"/>
    </row>
    <row r="359" spans="1:16" ht="21.75" customHeight="1" x14ac:dyDescent="0.35">
      <c r="A359" s="183"/>
      <c r="B359" s="184"/>
      <c r="C359" s="163" t="s">
        <v>16</v>
      </c>
      <c r="D359" s="185" t="s">
        <v>44</v>
      </c>
      <c r="E359" s="186"/>
      <c r="F359" s="186"/>
      <c r="G359" s="187"/>
      <c r="H359" s="188"/>
      <c r="I359" s="168"/>
      <c r="J359" s="168"/>
      <c r="K359" s="169"/>
      <c r="L359" s="189"/>
      <c r="M359" s="189"/>
      <c r="N359" s="189"/>
      <c r="O359" s="189"/>
      <c r="P359" s="189"/>
    </row>
    <row r="360" spans="1:16" ht="21.75" customHeight="1" x14ac:dyDescent="0.35">
      <c r="A360" s="183"/>
      <c r="B360" s="184"/>
      <c r="C360" s="184"/>
      <c r="D360" s="190">
        <v>1</v>
      </c>
      <c r="E360" s="191" t="s">
        <v>45</v>
      </c>
      <c r="F360" s="192"/>
      <c r="G360" s="193"/>
      <c r="H360" s="194"/>
      <c r="I360" s="195"/>
      <c r="J360" s="205">
        <f ca="1">IFERROR(__xludf.DUMMYFUNCTION("IMPORTRANGE(""https://docs.google.com/spreadsheets/d/1IYY_tgx_IHuhSq3AJ5eI5OnqOPBNLWSHKh2a30DoXe8/edit?usp=sharing"",""ภูเก็ต!J255"")"),0)</f>
        <v>0</v>
      </c>
      <c r="K360" s="169"/>
      <c r="L360" s="189"/>
      <c r="M360" s="189"/>
      <c r="N360" s="189"/>
      <c r="O360" s="189"/>
      <c r="P360" s="189"/>
    </row>
    <row r="361" spans="1:16" ht="21.75" customHeight="1" x14ac:dyDescent="0.35">
      <c r="A361" s="183"/>
      <c r="B361" s="184"/>
      <c r="C361" s="184"/>
      <c r="D361" s="197">
        <v>2</v>
      </c>
      <c r="E361" s="198" t="s">
        <v>46</v>
      </c>
      <c r="F361" s="199"/>
      <c r="G361" s="200"/>
      <c r="H361" s="194"/>
      <c r="I361" s="195"/>
      <c r="J361" s="196">
        <f ca="1">IFERROR(__xludf.DUMMYFUNCTION("IMPORTRANGE(""https://docs.google.com/spreadsheets/d/1IYY_tgx_IHuhSq3AJ5eI5OnqOPBNLWSHKh2a30DoXe8/edit?usp=sharing"",""ภูเก็ต!J256"")"),1)</f>
        <v>1</v>
      </c>
      <c r="K361" s="169"/>
      <c r="L361" s="189" t="s">
        <v>40</v>
      </c>
      <c r="M361" s="189"/>
      <c r="N361" s="189" t="s">
        <v>40</v>
      </c>
      <c r="O361" s="189"/>
      <c r="P361" s="189"/>
    </row>
    <row r="362" spans="1:16" ht="21.75" customHeight="1" x14ac:dyDescent="0.35">
      <c r="A362" s="183"/>
      <c r="B362" s="184"/>
      <c r="C362" s="184"/>
      <c r="D362" s="201"/>
      <c r="E362" s="202" t="s">
        <v>47</v>
      </c>
      <c r="F362" s="203"/>
      <c r="G362" s="204"/>
      <c r="H362" s="194"/>
      <c r="I362" s="195"/>
      <c r="J362" s="196">
        <f ca="1">IFERROR(__xludf.DUMMYFUNCTION("IMPORTRANGE(""https://docs.google.com/spreadsheets/d/1IYY_tgx_IHuhSq3AJ5eI5OnqOPBNLWSHKh2a30DoXe8/edit?usp=sharing"",""ภูเก็ต!J257"")"),1)</f>
        <v>1</v>
      </c>
      <c r="K362" s="169"/>
      <c r="L362" s="189"/>
      <c r="M362" s="189"/>
      <c r="N362" s="189"/>
      <c r="O362" s="189"/>
      <c r="P362" s="189"/>
    </row>
    <row r="363" spans="1:16" ht="21.75" customHeight="1" x14ac:dyDescent="0.35">
      <c r="A363" s="183"/>
      <c r="B363" s="184"/>
      <c r="C363" s="184"/>
      <c r="D363" s="201"/>
      <c r="E363" s="202" t="s">
        <v>48</v>
      </c>
      <c r="F363" s="203"/>
      <c r="G363" s="204"/>
      <c r="H363" s="194"/>
      <c r="I363" s="195"/>
      <c r="J363" s="205">
        <f ca="1">IFERROR(__xludf.DUMMYFUNCTION("IMPORTRANGE(""https://docs.google.com/spreadsheets/d/1IYY_tgx_IHuhSq3AJ5eI5OnqOPBNLWSHKh2a30DoXe8/edit?usp=sharing"",""ภูเก็ต!J258"")"),1)</f>
        <v>1</v>
      </c>
      <c r="K363" s="169"/>
      <c r="L363" s="189"/>
      <c r="M363" s="189"/>
      <c r="N363" s="189"/>
      <c r="O363" s="189"/>
      <c r="P363" s="189"/>
    </row>
    <row r="364" spans="1:16" ht="21.75" hidden="1" customHeight="1" x14ac:dyDescent="0.35">
      <c r="A364" s="183"/>
      <c r="B364" s="184"/>
      <c r="C364" s="184"/>
      <c r="D364" s="201"/>
      <c r="E364" s="206"/>
      <c r="F364" s="202" t="s">
        <v>70</v>
      </c>
      <c r="G364" s="204"/>
      <c r="H364" s="188"/>
      <c r="I364" s="195"/>
      <c r="J364" s="195">
        <f ca="1">IFERROR(__xludf.DUMMYFUNCTION("IMPORTRANGE(""https://docs.google.com/spreadsheets/d/1IYY_tgx_IHuhSq3AJ5eI5OnqOPBNLWSHKh2a30DoXe8/edit?usp=sharing"",""ภูเก็ต!J166"")"),0)</f>
        <v>0</v>
      </c>
      <c r="K364" s="169"/>
      <c r="L364" s="189"/>
      <c r="M364" s="189"/>
      <c r="N364" s="189"/>
      <c r="O364" s="189"/>
      <c r="P364" s="189"/>
    </row>
    <row r="365" spans="1:16" ht="21.75" hidden="1" customHeight="1" x14ac:dyDescent="0.35">
      <c r="A365" s="183"/>
      <c r="B365" s="184"/>
      <c r="C365" s="184"/>
      <c r="D365" s="201"/>
      <c r="E365" s="206"/>
      <c r="F365" s="203"/>
      <c r="G365" s="233" t="s">
        <v>135</v>
      </c>
      <c r="H365" s="188" t="s">
        <v>37</v>
      </c>
      <c r="I365" s="195">
        <f ca="1">IFERROR(__xludf.DUMMYFUNCTION("IMPORTRANGE(""https://docs.google.com/spreadsheets/d/1C3CXT74ZlgGe6_JY_1olB1XN4rF0dxEuIIF-xsYjHgg/edit?usp=sharing"",""งบกองทุน!f63"")"),0)</f>
        <v>0</v>
      </c>
      <c r="J365" s="195">
        <f ca="1">IFERROR(__xludf.DUMMYFUNCTION("IMPORTRANGE(""https://docs.google.com/spreadsheets/d/1IYY_tgx_IHuhSq3AJ5eI5OnqOPBNLWSHKh2a30DoXe8/edit?usp=sharing"",""ภูเก็ต!J166"")"),0)</f>
        <v>0</v>
      </c>
      <c r="K365" s="169">
        <f ca="1">IF(I365&gt;0,J365*100/I365,0)</f>
        <v>0</v>
      </c>
      <c r="L365" s="189"/>
      <c r="M365" s="189"/>
      <c r="N365" s="189"/>
      <c r="O365" s="189"/>
      <c r="P365" s="189"/>
    </row>
    <row r="366" spans="1:16" ht="21.75" hidden="1" customHeight="1" x14ac:dyDescent="0.35">
      <c r="A366" s="183"/>
      <c r="B366" s="184"/>
      <c r="C366" s="184"/>
      <c r="D366" s="201"/>
      <c r="E366" s="206"/>
      <c r="F366" s="203"/>
      <c r="G366" s="204" t="s">
        <v>136</v>
      </c>
      <c r="H366" s="188"/>
      <c r="I366" s="168"/>
      <c r="J366" s="195">
        <f ca="1">IFERROR(__xludf.DUMMYFUNCTION("IMPORTRANGE(""https://docs.google.com/spreadsheets/d/1IYY_tgx_IHuhSq3AJ5eI5OnqOPBNLWSHKh2a30DoXe8/edit?usp=sharing"",""ภูเก็ต!J166"")"),0)</f>
        <v>0</v>
      </c>
      <c r="K366" s="169"/>
      <c r="L366" s="189"/>
      <c r="M366" s="189"/>
      <c r="N366" s="189"/>
      <c r="O366" s="189"/>
      <c r="P366" s="189"/>
    </row>
    <row r="367" spans="1:16" ht="21.75" hidden="1" customHeight="1" x14ac:dyDescent="0.35">
      <c r="A367" s="183"/>
      <c r="B367" s="184"/>
      <c r="C367" s="184"/>
      <c r="D367" s="201"/>
      <c r="E367" s="206"/>
      <c r="F367" s="203"/>
      <c r="G367" s="233" t="s">
        <v>137</v>
      </c>
      <c r="H367" s="194" t="s">
        <v>122</v>
      </c>
      <c r="I367" s="195">
        <f ca="1">SUM(I369,I371)</f>
        <v>0</v>
      </c>
      <c r="J367" s="195">
        <f ca="1">IFERROR(__xludf.DUMMYFUNCTION("IMPORTRANGE(""https://docs.google.com/spreadsheets/d/1IYY_tgx_IHuhSq3AJ5eI5OnqOPBNLWSHKh2a30DoXe8/edit?usp=sharing"",""ภูเก็ต!J166"")"),0)</f>
        <v>0</v>
      </c>
      <c r="K367" s="169">
        <f t="shared" ref="K367:K373" ca="1" si="106">IF(I367&gt;0,J367*100/I367,0)</f>
        <v>0</v>
      </c>
      <c r="L367" s="189"/>
      <c r="M367" s="189"/>
      <c r="N367" s="189"/>
      <c r="O367" s="189"/>
      <c r="P367" s="189"/>
    </row>
    <row r="368" spans="1:16" ht="21.75" customHeight="1" x14ac:dyDescent="0.35">
      <c r="A368" s="183"/>
      <c r="B368" s="184"/>
      <c r="C368" s="184"/>
      <c r="D368" s="201"/>
      <c r="E368" s="206"/>
      <c r="F368" s="386" t="s">
        <v>138</v>
      </c>
      <c r="G368" s="387"/>
      <c r="H368" s="194" t="s">
        <v>37</v>
      </c>
      <c r="I368" s="168">
        <f ca="1">IFERROR(__xludf.DUMMYFUNCTION("IMPORTRANGE(""https://docs.google.com/spreadsheets/d/1IYY_tgx_IHuhSq3AJ5eI5OnqOPBNLWSHKh2a30DoXe8/edit?usp=sharing"",""ภูเก็ต!I263"")"),20)</f>
        <v>20</v>
      </c>
      <c r="J368" s="195">
        <f ca="1">IFERROR(__xludf.DUMMYFUNCTION("IMPORTRANGE(""https://docs.google.com/spreadsheets/d/1IYY_tgx_IHuhSq3AJ5eI5OnqOPBNLWSHKh2a30DoXe8/edit?usp=sharing"",""ภูเก็ต!J263"")"),20)</f>
        <v>20</v>
      </c>
      <c r="K368" s="169">
        <f t="shared" ca="1" si="106"/>
        <v>100</v>
      </c>
      <c r="L368" s="189"/>
      <c r="M368" s="189"/>
      <c r="N368" s="189"/>
      <c r="O368" s="189"/>
      <c r="P368" s="189"/>
    </row>
    <row r="369" spans="1:16" ht="21.75" hidden="1" customHeight="1" x14ac:dyDescent="0.35">
      <c r="A369" s="183"/>
      <c r="B369" s="184"/>
      <c r="C369" s="184"/>
      <c r="D369" s="201"/>
      <c r="E369" s="206"/>
      <c r="F369" s="203"/>
      <c r="G369" s="387"/>
      <c r="H369" s="188" t="s">
        <v>122</v>
      </c>
      <c r="I369" s="168">
        <f ca="1">IFERROR(__xludf.DUMMYFUNCTION("IMPORTRANGE(""https://docs.google.com/spreadsheets/d/1IYY_tgx_IHuhSq3AJ5eI5OnqOPBNLWSHKh2a30DoXe8/edit?usp=sharing"",""ภูเก็ต!I164"")"),0)</f>
        <v>0</v>
      </c>
      <c r="J369" s="211">
        <f ca="1">IFERROR(__xludf.DUMMYFUNCTION("IMPORTRANGE(""https://docs.google.com/spreadsheets/d/1IYY_tgx_IHuhSq3AJ5eI5OnqOPBNLWSHKh2a30DoXe8/edit?usp=sharing"",""ภูเก็ต!J164"")"),0)</f>
        <v>0</v>
      </c>
      <c r="K369" s="169">
        <f t="shared" ca="1" si="106"/>
        <v>0</v>
      </c>
      <c r="L369" s="189"/>
      <c r="M369" s="189"/>
      <c r="N369" s="189"/>
      <c r="O369" s="189"/>
      <c r="P369" s="189"/>
    </row>
    <row r="370" spans="1:16" ht="21.75" customHeight="1" x14ac:dyDescent="0.35">
      <c r="A370" s="183"/>
      <c r="B370" s="184"/>
      <c r="C370" s="184"/>
      <c r="D370" s="201"/>
      <c r="E370" s="206"/>
      <c r="F370" s="203"/>
      <c r="G370" s="386" t="s">
        <v>139</v>
      </c>
      <c r="H370" s="188" t="s">
        <v>37</v>
      </c>
      <c r="I370" s="168">
        <f ca="1">IFERROR(__xludf.DUMMYFUNCTION("IMPORTRANGE(""https://docs.google.com/spreadsheets/d/1IYY_tgx_IHuhSq3AJ5eI5OnqOPBNLWSHKh2a30DoXe8/edit?usp=sharing"",""ภูเก็ต!I265"")"),20)</f>
        <v>20</v>
      </c>
      <c r="J370" s="211">
        <f ca="1">IFERROR(__xludf.DUMMYFUNCTION("IMPORTRANGE(""https://docs.google.com/spreadsheets/d/1IYY_tgx_IHuhSq3AJ5eI5OnqOPBNLWSHKh2a30DoXe8/edit?usp=sharing"",""ภูเก็ต!J265"")"),20)</f>
        <v>20</v>
      </c>
      <c r="K370" s="169">
        <f t="shared" ca="1" si="106"/>
        <v>100</v>
      </c>
      <c r="L370" s="189"/>
      <c r="M370" s="189"/>
      <c r="N370" s="189"/>
      <c r="O370" s="189"/>
      <c r="P370" s="189"/>
    </row>
    <row r="371" spans="1:16" ht="21.75" hidden="1" customHeight="1" x14ac:dyDescent="0.35">
      <c r="A371" s="183"/>
      <c r="B371" s="184"/>
      <c r="C371" s="184"/>
      <c r="D371" s="201"/>
      <c r="E371" s="206"/>
      <c r="F371" s="203"/>
      <c r="G371" s="387"/>
      <c r="H371" s="188" t="s">
        <v>122</v>
      </c>
      <c r="I371" s="168">
        <f ca="1">IFERROR(__xludf.DUMMYFUNCTION("IMPORTRANGE(""https://docs.google.com/spreadsheets/d/1IYY_tgx_IHuhSq3AJ5eI5OnqOPBNLWSHKh2a30DoXe8/edit?usp=sharing"",""ภูเก็ต!I164"")"),0)</f>
        <v>0</v>
      </c>
      <c r="J371" s="196">
        <f ca="1">IFERROR(__xludf.DUMMYFUNCTION("IMPORTRANGE(""https://docs.google.com/spreadsheets/d/1IYY_tgx_IHuhSq3AJ5eI5OnqOPBNLWSHKh2a30DoXe8/edit?usp=sharing"",""ภูเก็ต!J164"")"),0)</f>
        <v>0</v>
      </c>
      <c r="K371" s="169">
        <f t="shared" ca="1" si="106"/>
        <v>0</v>
      </c>
      <c r="L371" s="189"/>
      <c r="M371" s="189"/>
      <c r="N371" s="189"/>
      <c r="O371" s="189"/>
      <c r="P371" s="189"/>
    </row>
    <row r="372" spans="1:16" ht="21.75" customHeight="1" x14ac:dyDescent="0.35">
      <c r="A372" s="183"/>
      <c r="B372" s="184"/>
      <c r="C372" s="184"/>
      <c r="D372" s="201"/>
      <c r="E372" s="206"/>
      <c r="F372" s="203"/>
      <c r="G372" s="386" t="s">
        <v>140</v>
      </c>
      <c r="H372" s="188" t="s">
        <v>37</v>
      </c>
      <c r="I372" s="168">
        <f ca="1">IFERROR(__xludf.DUMMYFUNCTION("IMPORTRANGE(""https://docs.google.com/spreadsheets/d/1IYY_tgx_IHuhSq3AJ5eI5OnqOPBNLWSHKh2a30DoXe8/edit?usp=sharing"",""ภูเก็ต!I267"")"),20)</f>
        <v>20</v>
      </c>
      <c r="J372" s="196">
        <f ca="1">IFERROR(__xludf.DUMMYFUNCTION("IMPORTRANGE(""https://docs.google.com/spreadsheets/d/1IYY_tgx_IHuhSq3AJ5eI5OnqOPBNLWSHKh2a30DoXe8/edit?usp=sharing"",""ภูเก็ต!J267"")"),20)</f>
        <v>20</v>
      </c>
      <c r="K372" s="169">
        <f t="shared" ca="1" si="106"/>
        <v>100</v>
      </c>
      <c r="L372" s="189"/>
      <c r="M372" s="189"/>
      <c r="N372" s="189"/>
      <c r="O372" s="189"/>
      <c r="P372" s="189"/>
    </row>
    <row r="373" spans="1:16" ht="21.75" hidden="1" customHeight="1" x14ac:dyDescent="0.35">
      <c r="A373" s="183"/>
      <c r="B373" s="184"/>
      <c r="C373" s="184"/>
      <c r="D373" s="201"/>
      <c r="E373" s="206"/>
      <c r="F373" s="203"/>
      <c r="G373" s="233" t="s">
        <v>141</v>
      </c>
      <c r="H373" s="188" t="s">
        <v>37</v>
      </c>
      <c r="I373" s="195">
        <f ca="1">IFERROR(__xludf.DUMMYFUNCTION("IMPORTRANGE(""https://docs.google.com/spreadsheets/d/1IYY_tgx_IHuhSq3AJ5eI5OnqOPBNLWSHKh2a30DoXe8/edit?usp=sharing"",""ภูเก็ต!I164"")"),0)</f>
        <v>0</v>
      </c>
      <c r="J373" s="211">
        <f ca="1">IFERROR(__xludf.DUMMYFUNCTION("IMPORTRANGE(""https://docs.google.com/spreadsheets/d/1IYY_tgx_IHuhSq3AJ5eI5OnqOPBNLWSHKh2a30DoXe8/edit?usp=sharing"",""ภูเก็ต!J164"")"),0)</f>
        <v>0</v>
      </c>
      <c r="K373" s="169">
        <f t="shared" ca="1" si="106"/>
        <v>0</v>
      </c>
      <c r="L373" s="189"/>
      <c r="M373" s="189"/>
      <c r="N373" s="189"/>
      <c r="O373" s="189"/>
      <c r="P373" s="189"/>
    </row>
    <row r="374" spans="1:16" ht="21.75" hidden="1" customHeight="1" x14ac:dyDescent="0.35">
      <c r="A374" s="183"/>
      <c r="B374" s="184"/>
      <c r="C374" s="184"/>
      <c r="D374" s="201"/>
      <c r="E374" s="206"/>
      <c r="F374" s="203"/>
      <c r="G374" s="204" t="s">
        <v>142</v>
      </c>
      <c r="H374" s="188"/>
      <c r="I374" s="195">
        <f ca="1">IFERROR(__xludf.DUMMYFUNCTION("IMPORTRANGE(""https://docs.google.com/spreadsheets/d/1IYY_tgx_IHuhSq3AJ5eI5OnqOPBNLWSHKh2a30DoXe8/edit?usp=sharing"",""ภูเก็ต!I164"")"),0)</f>
        <v>0</v>
      </c>
      <c r="J374" s="195">
        <f ca="1">IFERROR(__xludf.DUMMYFUNCTION("IMPORTRANGE(""https://docs.google.com/spreadsheets/d/1IYY_tgx_IHuhSq3AJ5eI5OnqOPBNLWSHKh2a30DoXe8/edit?usp=sharing"",""ภูเก็ต!J164"")"),0)</f>
        <v>0</v>
      </c>
      <c r="K374" s="169"/>
      <c r="L374" s="189"/>
      <c r="M374" s="189"/>
      <c r="N374" s="189"/>
      <c r="O374" s="189"/>
      <c r="P374" s="189"/>
    </row>
    <row r="375" spans="1:16" ht="21.75" customHeight="1" x14ac:dyDescent="0.35">
      <c r="A375" s="183"/>
      <c r="B375" s="184"/>
      <c r="C375" s="184"/>
      <c r="D375" s="201"/>
      <c r="E375" s="203"/>
      <c r="F375" s="212" t="s">
        <v>53</v>
      </c>
      <c r="G375" s="204"/>
      <c r="H375" s="286" t="s">
        <v>122</v>
      </c>
      <c r="I375" s="195">
        <f ca="1">IFERROR(__xludf.DUMMYFUNCTION("IMPORTRANGE(""https://docs.google.com/spreadsheets/d/1IYY_tgx_IHuhSq3AJ5eI5OnqOPBNLWSHKh2a30DoXe8/edit?usp=sharing"",""ภูเก็ต!I270"")"),40)</f>
        <v>40</v>
      </c>
      <c r="J375" s="195">
        <f ca="1">IFERROR(__xludf.DUMMYFUNCTION("IMPORTRANGE(""https://docs.google.com/spreadsheets/d/1IYY_tgx_IHuhSq3AJ5eI5OnqOPBNLWSHKh2a30DoXe8/edit?usp=sharing"",""ภูเก็ต!J270"")"),0)</f>
        <v>0</v>
      </c>
      <c r="K375" s="169">
        <f t="shared" ref="K375:K377" ca="1" si="107">IF(I375&gt;0,J375*100/I375,0)</f>
        <v>0</v>
      </c>
      <c r="L375" s="189"/>
      <c r="M375" s="189"/>
      <c r="N375" s="189"/>
      <c r="O375" s="189"/>
      <c r="P375" s="189"/>
    </row>
    <row r="376" spans="1:16" ht="21.75" customHeight="1" x14ac:dyDescent="0.35">
      <c r="A376" s="183"/>
      <c r="B376" s="184"/>
      <c r="C376" s="184"/>
      <c r="D376" s="201"/>
      <c r="E376" s="203"/>
      <c r="F376" s="203"/>
      <c r="G376" s="287" t="s">
        <v>143</v>
      </c>
      <c r="H376" s="286" t="s">
        <v>122</v>
      </c>
      <c r="I376" s="195">
        <f ca="1">IFERROR(__xludf.DUMMYFUNCTION("IMPORTRANGE(""https://docs.google.com/spreadsheets/d/1IYY_tgx_IHuhSq3AJ5eI5OnqOPBNLWSHKh2a30DoXe8/edit?usp=sharing"",""ภูเก็ต!I271"")"),0)</f>
        <v>0</v>
      </c>
      <c r="J376" s="196">
        <f ca="1">IFERROR(__xludf.DUMMYFUNCTION("IMPORTRANGE(""https://docs.google.com/spreadsheets/d/1IYY_tgx_IHuhSq3AJ5eI5OnqOPBNLWSHKh2a30DoXe8/edit?usp=sharing"",""ภูเก็ต!J271"")"),0)</f>
        <v>0</v>
      </c>
      <c r="K376" s="169">
        <f t="shared" ca="1" si="107"/>
        <v>0</v>
      </c>
      <c r="L376" s="189"/>
      <c r="M376" s="189"/>
      <c r="N376" s="189"/>
      <c r="O376" s="189"/>
      <c r="P376" s="189"/>
    </row>
    <row r="377" spans="1:16" ht="21.75" customHeight="1" x14ac:dyDescent="0.35">
      <c r="A377" s="183"/>
      <c r="B377" s="184"/>
      <c r="C377" s="184"/>
      <c r="D377" s="201"/>
      <c r="E377" s="203"/>
      <c r="F377" s="203"/>
      <c r="G377" s="287" t="s">
        <v>144</v>
      </c>
      <c r="H377" s="286" t="s">
        <v>122</v>
      </c>
      <c r="I377" s="195">
        <f ca="1">IFERROR(__xludf.DUMMYFUNCTION("IMPORTRANGE(""https://docs.google.com/spreadsheets/d/1IYY_tgx_IHuhSq3AJ5eI5OnqOPBNLWSHKh2a30DoXe8/edit?usp=sharing"",""ภูเก็ต!I272"")"),40)</f>
        <v>40</v>
      </c>
      <c r="J377" s="211">
        <f ca="1">IFERROR(__xludf.DUMMYFUNCTION("IMPORTRANGE(""https://docs.google.com/spreadsheets/d/1IYY_tgx_IHuhSq3AJ5eI5OnqOPBNLWSHKh2a30DoXe8/edit?usp=sharing"",""ภูเก็ต!J272"")"),0)</f>
        <v>0</v>
      </c>
      <c r="K377" s="169">
        <f t="shared" ca="1" si="107"/>
        <v>0</v>
      </c>
      <c r="L377" s="189"/>
      <c r="M377" s="189"/>
      <c r="N377" s="189"/>
      <c r="O377" s="189"/>
      <c r="P377" s="189"/>
    </row>
    <row r="378" spans="1:16" ht="21.75" customHeight="1" x14ac:dyDescent="0.35">
      <c r="A378" s="183"/>
      <c r="B378" s="184"/>
      <c r="C378" s="184"/>
      <c r="D378" s="201"/>
      <c r="E378" s="202" t="s">
        <v>54</v>
      </c>
      <c r="F378" s="203"/>
      <c r="G378" s="204"/>
      <c r="H378" s="194"/>
      <c r="I378" s="195"/>
      <c r="J378" s="205">
        <f ca="1">IFERROR(__xludf.DUMMYFUNCTION("IMPORTRANGE(""https://docs.google.com/spreadsheets/d/1IYY_tgx_IHuhSq3AJ5eI5OnqOPBNLWSHKh2a30DoXe8/edit?usp=sharing"",""ภูเก็ต!J273"")"),0)</f>
        <v>0</v>
      </c>
      <c r="K378" s="169"/>
      <c r="L378" s="189"/>
      <c r="M378" s="189"/>
      <c r="N378" s="189"/>
      <c r="O378" s="189"/>
      <c r="P378" s="189"/>
    </row>
    <row r="379" spans="1:16" ht="21.75" customHeight="1" x14ac:dyDescent="0.35">
      <c r="A379" s="183"/>
      <c r="B379" s="184"/>
      <c r="C379" s="184"/>
      <c r="D379" s="213">
        <v>3</v>
      </c>
      <c r="E379" s="214" t="s">
        <v>55</v>
      </c>
      <c r="F379" s="215"/>
      <c r="G379" s="216"/>
      <c r="H379" s="194"/>
      <c r="I379" s="195"/>
      <c r="J379" s="217">
        <f ca="1">IFERROR(__xludf.DUMMYFUNCTION("IMPORTRANGE(""https://docs.google.com/spreadsheets/d/1IYY_tgx_IHuhSq3AJ5eI5OnqOPBNLWSHKh2a30DoXe8/edit?usp=sharing"",""ภูเก็ต!J274"")"),0)</f>
        <v>0</v>
      </c>
      <c r="K379" s="169"/>
      <c r="L379" s="189"/>
      <c r="M379" s="189"/>
      <c r="N379" s="189"/>
      <c r="O379" s="189"/>
      <c r="P379" s="189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IFERROR(__xludf.DUMMYFUNCTION("IMPORTRANGE(""https://docs.google.com/spreadsheets/d/1IYY_tgx_IHuhSq3AJ5eI5OnqOPBNLWSHKh2a30DoXe8/edit?usp=sharing"",""ภูเก็ต!I275"")"),50)</f>
        <v>50</v>
      </c>
      <c r="J380" s="377">
        <f ca="1">IFERROR(__xludf.DUMMYFUNCTION("IMPORTRANGE(""https://docs.google.com/spreadsheets/d/1IYY_tgx_IHuhSq3AJ5eI5OnqOPBNLWSHKh2a30DoXe8/edit?usp=sharing"",""ภูเก็ต!J275"")"),0)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IFERROR(__xludf.DUMMYFUNCTION("IMPORTRANGE(""https://docs.google.com/spreadsheets/d/1IYY_tgx_IHuhSq3AJ5eI5OnqOPBNLWSHKh2a30DoXe8/edit?usp=sharing"",""ภูเก็ต!L275"")"),87710)</f>
        <v>87710</v>
      </c>
      <c r="M380" s="379"/>
      <c r="N380" s="379">
        <f ca="1">IFERROR(__xludf.DUMMYFUNCTION("IMPORTRANGE(""https://docs.google.com/spreadsheets/d/1IYY_tgx_IHuhSq3AJ5eI5OnqOPBNLWSHKh2a30DoXe8/edit?usp=sharing"",""ภูเก็ต!M275"")"),0)</f>
        <v>0</v>
      </c>
      <c r="O380" s="379">
        <f ca="1">+IF(L380&gt;0,N380*100/L380,0)</f>
        <v>0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IFERROR(__xludf.DUMMYFUNCTION("IMPORTRANGE(""https://docs.google.com/spreadsheets/d/1IYY_tgx_IHuhSq3AJ5eI5OnqOPBNLWSHKh2a30DoXe8/edit?usp=sharing"",""ภูเก็ต!I276"")"),5)</f>
        <v>5</v>
      </c>
      <c r="J381" s="377">
        <f ca="1">IFERROR(__xludf.DUMMYFUNCTION("IMPORTRANGE(""https://docs.google.com/spreadsheets/d/1IYY_tgx_IHuhSq3AJ5eI5OnqOPBNLWSHKh2a30DoXe8/edit?usp=sharing"",""ภูเก็ต!J276"")"),0)</f>
        <v>0</v>
      </c>
      <c r="K381" s="378">
        <f t="shared" ca="1" si="108"/>
        <v>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164" t="s">
        <v>38</v>
      </c>
      <c r="E382" s="165"/>
      <c r="F382" s="165"/>
      <c r="G382" s="166" t="s">
        <v>39</v>
      </c>
      <c r="H382" s="167" t="s">
        <v>12</v>
      </c>
      <c r="I382" s="168" t="s">
        <v>40</v>
      </c>
      <c r="J382" s="168"/>
      <c r="K382" s="169"/>
      <c r="L382" s="170">
        <f ca="1">IFERROR(__xludf.DUMMYFUNCTION("IMPORTRANGE(""https://docs.google.com/spreadsheets/d/1IYY_tgx_IHuhSq3AJ5eI5OnqOPBNLWSHKh2a30DoXe8/edit?usp=sharing"",""ภูเก็ต!L277"")"),0)</f>
        <v>0</v>
      </c>
      <c r="M382" s="170"/>
      <c r="N382" s="170">
        <f ca="1">IFERROR(__xludf.DUMMYFUNCTION("IMPORTRANGE(""https://docs.google.com/spreadsheets/d/1IYY_tgx_IHuhSq3AJ5eI5OnqOPBNLWSHKh2a30DoXe8/edit?usp=sharing"",""ภูเก็ต!M277"")"),0)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 x14ac:dyDescent="0.35">
      <c r="A383" s="162"/>
      <c r="B383" s="163"/>
      <c r="C383" s="163"/>
      <c r="D383" s="172"/>
      <c r="E383" s="165"/>
      <c r="F383" s="165" t="s">
        <v>40</v>
      </c>
      <c r="G383" s="166" t="s">
        <v>41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IFERROR(__xludf.DUMMYFUNCTION("IMPORTRANGE(""https://docs.google.com/spreadsheets/d/1IYY_tgx_IHuhSq3AJ5eI5OnqOPBNLWSHKh2a30DoXe8/edit?usp=sharing"",""ภูเก็ต!L278"")"),87710)</f>
        <v>87710</v>
      </c>
      <c r="M383" s="171"/>
      <c r="N383" s="171">
        <f ca="1">IFERROR(__xludf.DUMMYFUNCTION("IMPORTRANGE(""https://docs.google.com/spreadsheets/d/1IYY_tgx_IHuhSq3AJ5eI5OnqOPBNLWSHKh2a30DoXe8/edit?usp=sharing"",""ภูเก็ต!M278"")"),0)</f>
        <v>0</v>
      </c>
      <c r="O383" s="171">
        <f t="shared" ca="1" si="109"/>
        <v>0</v>
      </c>
      <c r="P383" s="171"/>
    </row>
    <row r="384" spans="1:16" ht="21.75" customHeight="1" x14ac:dyDescent="0.35">
      <c r="A384" s="162"/>
      <c r="B384" s="163"/>
      <c r="C384" s="163"/>
      <c r="D384" s="172"/>
      <c r="E384" s="165"/>
      <c r="F384" s="165"/>
      <c r="G384" s="380" t="s">
        <v>129</v>
      </c>
      <c r="H384" s="167" t="s">
        <v>12</v>
      </c>
      <c r="I384" s="168"/>
      <c r="J384" s="168"/>
      <c r="K384" s="169"/>
      <c r="L384" s="176">
        <f ca="1">IFERROR(__xludf.DUMMYFUNCTION("IMPORTRANGE(""https://docs.google.com/spreadsheets/d/1IYY_tgx_IHuhSq3AJ5eI5OnqOPBNLWSHKh2a30DoXe8/edit?usp=sharing"",""ภูเก็ต!L279"")"),0)</f>
        <v>0</v>
      </c>
      <c r="M384" s="176"/>
      <c r="N384" s="176">
        <f ca="1">IFERROR(__xludf.DUMMYFUNCTION("IMPORTRANGE(""https://docs.google.com/spreadsheets/d/1IYY_tgx_IHuhSq3AJ5eI5OnqOPBNLWSHKh2a30DoXe8/edit?usp=sharing"",""ภูเก็ต!M279"")"),0)</f>
        <v>0</v>
      </c>
      <c r="O384" s="176">
        <f t="shared" ca="1" si="109"/>
        <v>0</v>
      </c>
      <c r="P384" s="176"/>
    </row>
    <row r="385" spans="1:16" ht="21.75" customHeight="1" x14ac:dyDescent="0.35">
      <c r="A385" s="162"/>
      <c r="B385" s="163"/>
      <c r="C385" s="163"/>
      <c r="D385" s="172"/>
      <c r="E385" s="165"/>
      <c r="F385" s="165"/>
      <c r="G385" s="380" t="s">
        <v>130</v>
      </c>
      <c r="H385" s="167" t="s">
        <v>12</v>
      </c>
      <c r="I385" s="168"/>
      <c r="J385" s="168"/>
      <c r="K385" s="169"/>
      <c r="L385" s="176">
        <f ca="1">IFERROR(__xludf.DUMMYFUNCTION("IMPORTRANGE(""https://docs.google.com/spreadsheets/d/1IYY_tgx_IHuhSq3AJ5eI5OnqOPBNLWSHKh2a30DoXe8/edit?usp=sharing"",""ภูเก็ต!L280"")"),87710)</f>
        <v>87710</v>
      </c>
      <c r="M385" s="176"/>
      <c r="N385" s="173">
        <f ca="1">IFERROR(__xludf.DUMMYFUNCTION("IMPORTRANGE(""https://docs.google.com/spreadsheets/d/1IYY_tgx_IHuhSq3AJ5eI5OnqOPBNLWSHKh2a30DoXe8/edit?usp=sharing"",""ภูเก็ต!M280"")"),0)</f>
        <v>0</v>
      </c>
      <c r="O385" s="176">
        <f t="shared" ca="1" si="109"/>
        <v>0</v>
      </c>
      <c r="P385" s="176"/>
    </row>
    <row r="386" spans="1:16" ht="21.75" customHeight="1" x14ac:dyDescent="0.35">
      <c r="A386" s="381"/>
      <c r="B386" s="382"/>
      <c r="C386" s="163"/>
      <c r="D386" s="383"/>
      <c r="E386" s="165"/>
      <c r="F386" s="165"/>
      <c r="G386" s="384" t="s">
        <v>131</v>
      </c>
      <c r="H386" s="167" t="s">
        <v>12</v>
      </c>
      <c r="I386" s="195"/>
      <c r="J386" s="195"/>
      <c r="K386" s="231"/>
      <c r="L386" s="176"/>
      <c r="M386" s="176"/>
      <c r="N386" s="385">
        <f ca="1">IFERROR(__xludf.DUMMYFUNCTION("IMPORTRANGE(""https://docs.google.com/spreadsheets/d/1IYY_tgx_IHuhSq3AJ5eI5OnqOPBNLWSHKh2a30DoXe8/edit?usp=sharing"",""ภูเก็ต!M281"")"),0)</f>
        <v>0</v>
      </c>
      <c r="O386" s="176"/>
      <c r="P386" s="176"/>
    </row>
    <row r="387" spans="1:16" ht="21.75" customHeight="1" x14ac:dyDescent="0.35">
      <c r="A387" s="381"/>
      <c r="B387" s="382"/>
      <c r="C387" s="163"/>
      <c r="D387" s="383"/>
      <c r="E387" s="165"/>
      <c r="F387" s="165"/>
      <c r="G387" s="384" t="s">
        <v>132</v>
      </c>
      <c r="H387" s="167" t="s">
        <v>12</v>
      </c>
      <c r="I387" s="195"/>
      <c r="J387" s="195"/>
      <c r="K387" s="231"/>
      <c r="L387" s="176"/>
      <c r="M387" s="176"/>
      <c r="N387" s="385">
        <f ca="1">IFERROR(__xludf.DUMMYFUNCTION("IMPORTRANGE(""https://docs.google.com/spreadsheets/d/1IYY_tgx_IHuhSq3AJ5eI5OnqOPBNLWSHKh2a30DoXe8/edit?usp=sharing"",""ภูเก็ต!M282"")"),0)</f>
        <v>0</v>
      </c>
      <c r="O387" s="176"/>
      <c r="P387" s="176"/>
    </row>
    <row r="388" spans="1:16" ht="21.75" customHeight="1" x14ac:dyDescent="0.35">
      <c r="A388" s="381"/>
      <c r="B388" s="382"/>
      <c r="C388" s="163"/>
      <c r="D388" s="383"/>
      <c r="E388" s="165"/>
      <c r="F388" s="165"/>
      <c r="G388" s="384" t="s">
        <v>133</v>
      </c>
      <c r="H388" s="167" t="s">
        <v>12</v>
      </c>
      <c r="I388" s="195"/>
      <c r="J388" s="195"/>
      <c r="K388" s="231"/>
      <c r="L388" s="176"/>
      <c r="M388" s="176"/>
      <c r="N388" s="385">
        <f ca="1">IFERROR(__xludf.DUMMYFUNCTION("IMPORTRANGE(""https://docs.google.com/spreadsheets/d/1IYY_tgx_IHuhSq3AJ5eI5OnqOPBNLWSHKh2a30DoXe8/edit?usp=sharing"",""ภูเก็ต!M283"")"),0)</f>
        <v>0</v>
      </c>
      <c r="O388" s="176"/>
      <c r="P388" s="176"/>
    </row>
    <row r="389" spans="1:16" ht="21.75" customHeight="1" x14ac:dyDescent="0.35">
      <c r="A389" s="381"/>
      <c r="B389" s="382"/>
      <c r="C389" s="163"/>
      <c r="D389" s="383"/>
      <c r="E389" s="165"/>
      <c r="F389" s="165"/>
      <c r="G389" s="384" t="s">
        <v>134</v>
      </c>
      <c r="H389" s="167" t="s">
        <v>12</v>
      </c>
      <c r="I389" s="195"/>
      <c r="J389" s="195"/>
      <c r="K389" s="231"/>
      <c r="L389" s="176"/>
      <c r="M389" s="176"/>
      <c r="N389" s="385">
        <f ca="1">IFERROR(__xludf.DUMMYFUNCTION("IMPORTRANGE(""https://docs.google.com/spreadsheets/d/1IYY_tgx_IHuhSq3AJ5eI5OnqOPBNLWSHKh2a30DoXe8/edit?usp=sharing"",""ภูเก็ต!M284"")"),0)</f>
        <v>0</v>
      </c>
      <c r="O389" s="176"/>
      <c r="P389" s="176"/>
    </row>
    <row r="390" spans="1:16" ht="21.75" customHeight="1" x14ac:dyDescent="0.35">
      <c r="A390" s="183"/>
      <c r="B390" s="184"/>
      <c r="C390" s="163" t="s">
        <v>16</v>
      </c>
      <c r="D390" s="185" t="s">
        <v>44</v>
      </c>
      <c r="E390" s="186"/>
      <c r="F390" s="186"/>
      <c r="G390" s="187"/>
      <c r="H390" s="188"/>
      <c r="I390" s="168"/>
      <c r="J390" s="168"/>
      <c r="K390" s="169"/>
      <c r="L390" s="189"/>
      <c r="M390" s="189"/>
      <c r="N390" s="189"/>
      <c r="O390" s="189"/>
      <c r="P390" s="189"/>
    </row>
    <row r="391" spans="1:16" ht="21.75" customHeight="1" x14ac:dyDescent="0.35">
      <c r="A391" s="183"/>
      <c r="B391" s="184"/>
      <c r="C391" s="184"/>
      <c r="D391" s="190">
        <v>1</v>
      </c>
      <c r="E391" s="191" t="s">
        <v>45</v>
      </c>
      <c r="F391" s="192"/>
      <c r="G391" s="193"/>
      <c r="H391" s="194"/>
      <c r="I391" s="195"/>
      <c r="J391" s="205">
        <f ca="1">IFERROR(__xludf.DUMMYFUNCTION("IMPORTRANGE(""https://docs.google.com/spreadsheets/d/1IYY_tgx_IHuhSq3AJ5eI5OnqOPBNLWSHKh2a30DoXe8/edit?usp=sharing"",""ภูเก็ต!J286"")"),0)</f>
        <v>0</v>
      </c>
      <c r="K391" s="169"/>
      <c r="L391" s="189"/>
      <c r="M391" s="189"/>
      <c r="N391" s="189"/>
      <c r="O391" s="189"/>
      <c r="P391" s="189"/>
    </row>
    <row r="392" spans="1:16" ht="21.75" customHeight="1" x14ac:dyDescent="0.35">
      <c r="A392" s="183"/>
      <c r="B392" s="184"/>
      <c r="C392" s="184"/>
      <c r="D392" s="197">
        <v>2</v>
      </c>
      <c r="E392" s="198" t="s">
        <v>46</v>
      </c>
      <c r="F392" s="199"/>
      <c r="G392" s="200"/>
      <c r="H392" s="194"/>
      <c r="I392" s="195"/>
      <c r="J392" s="196">
        <f ca="1">IFERROR(__xludf.DUMMYFUNCTION("IMPORTRANGE(""https://docs.google.com/spreadsheets/d/1IYY_tgx_IHuhSq3AJ5eI5OnqOPBNLWSHKh2a30DoXe8/edit?usp=sharing"",""ภูเก็ต!J287"")"),1)</f>
        <v>1</v>
      </c>
      <c r="K392" s="169"/>
      <c r="L392" s="189" t="s">
        <v>40</v>
      </c>
      <c r="M392" s="189"/>
      <c r="N392" s="189" t="s">
        <v>40</v>
      </c>
      <c r="O392" s="189"/>
      <c r="P392" s="189"/>
    </row>
    <row r="393" spans="1:16" ht="21.75" customHeight="1" x14ac:dyDescent="0.35">
      <c r="A393" s="183"/>
      <c r="B393" s="184"/>
      <c r="C393" s="184"/>
      <c r="D393" s="201"/>
      <c r="E393" s="202" t="s">
        <v>47</v>
      </c>
      <c r="F393" s="203"/>
      <c r="G393" s="204"/>
      <c r="H393" s="194"/>
      <c r="I393" s="195"/>
      <c r="J393" s="196">
        <f ca="1">IFERROR(__xludf.DUMMYFUNCTION("IMPORTRANGE(""https://docs.google.com/spreadsheets/d/1IYY_tgx_IHuhSq3AJ5eI5OnqOPBNLWSHKh2a30DoXe8/edit?usp=sharing"",""ภูเก็ต!J288"")"),1)</f>
        <v>1</v>
      </c>
      <c r="K393" s="169"/>
      <c r="L393" s="189"/>
      <c r="M393" s="189"/>
      <c r="N393" s="189"/>
      <c r="O393" s="189"/>
      <c r="P393" s="189"/>
    </row>
    <row r="394" spans="1:16" ht="21.75" customHeight="1" x14ac:dyDescent="0.35">
      <c r="A394" s="183"/>
      <c r="B394" s="184"/>
      <c r="C394" s="184"/>
      <c r="D394" s="201"/>
      <c r="E394" s="202" t="s">
        <v>48</v>
      </c>
      <c r="F394" s="203"/>
      <c r="G394" s="204"/>
      <c r="H394" s="194"/>
      <c r="I394" s="195"/>
      <c r="J394" s="205">
        <f ca="1">IFERROR(__xludf.DUMMYFUNCTION("IMPORTRANGE(""https://docs.google.com/spreadsheets/d/1IYY_tgx_IHuhSq3AJ5eI5OnqOPBNLWSHKh2a30DoXe8/edit?usp=sharing"",""ภูเก็ต!J289"")"),1)</f>
        <v>1</v>
      </c>
      <c r="K394" s="169"/>
      <c r="L394" s="189"/>
      <c r="M394" s="189"/>
      <c r="N394" s="189"/>
      <c r="O394" s="189"/>
      <c r="P394" s="189"/>
    </row>
    <row r="395" spans="1:16" ht="21.75" customHeight="1" x14ac:dyDescent="0.35">
      <c r="A395" s="183"/>
      <c r="B395" s="184"/>
      <c r="C395" s="184"/>
      <c r="D395" s="201"/>
      <c r="E395" s="206"/>
      <c r="F395" s="202" t="s">
        <v>146</v>
      </c>
      <c r="G395" s="203"/>
      <c r="H395" s="194"/>
      <c r="I395" s="195"/>
      <c r="J395" s="195"/>
      <c r="K395" s="169"/>
      <c r="L395" s="189"/>
      <c r="M395" s="189"/>
      <c r="N395" s="189"/>
      <c r="O395" s="189"/>
      <c r="P395" s="189"/>
    </row>
    <row r="396" spans="1:16" ht="21.75" customHeight="1" x14ac:dyDescent="0.35">
      <c r="A396" s="183"/>
      <c r="B396" s="184"/>
      <c r="C396" s="184"/>
      <c r="D396" s="201"/>
      <c r="E396" s="206"/>
      <c r="F396" s="203"/>
      <c r="G396" s="299" t="s">
        <v>70</v>
      </c>
      <c r="H396" s="194" t="s">
        <v>37</v>
      </c>
      <c r="I396" s="195">
        <f ca="1">IFERROR(__xludf.DUMMYFUNCTION("IMPORTRANGE(""https://docs.google.com/spreadsheets/d/1IYY_tgx_IHuhSq3AJ5eI5OnqOPBNLWSHKh2a30DoXe8/edit?usp=sharing"",""ภูเก็ต!I291"")"),5)</f>
        <v>5</v>
      </c>
      <c r="J396" s="205">
        <f ca="1">IFERROR(__xludf.DUMMYFUNCTION("IMPORTRANGE(""https://docs.google.com/spreadsheets/d/1IYY_tgx_IHuhSq3AJ5eI5OnqOPBNLWSHKh2a30DoXe8/edit?usp=sharing"",""ภูเก็ต!J291"")"),0)</f>
        <v>0</v>
      </c>
      <c r="K396" s="169">
        <f t="shared" ref="K396:K398" ca="1" si="110">IF(I396&gt;0,J396*100/I396,0)</f>
        <v>0</v>
      </c>
      <c r="L396" s="189"/>
      <c r="M396" s="189"/>
      <c r="N396" s="189"/>
      <c r="O396" s="189"/>
      <c r="P396" s="189"/>
    </row>
    <row r="397" spans="1:16" ht="21.75" customHeight="1" x14ac:dyDescent="0.35">
      <c r="A397" s="183"/>
      <c r="B397" s="184"/>
      <c r="C397" s="184"/>
      <c r="D397" s="201"/>
      <c r="E397" s="206"/>
      <c r="F397" s="203"/>
      <c r="G397" s="204" t="s">
        <v>53</v>
      </c>
      <c r="H397" s="194" t="s">
        <v>122</v>
      </c>
      <c r="I397" s="195">
        <f ca="1">IFERROR(__xludf.DUMMYFUNCTION("IMPORTRANGE(""https://docs.google.com/spreadsheets/d/1IYY_tgx_IHuhSq3AJ5eI5OnqOPBNLWSHKh2a30DoXe8/edit?usp=sharing"",""ภูเก็ต!I292"")"),50)</f>
        <v>50</v>
      </c>
      <c r="J397" s="205">
        <f ca="1">IFERROR(__xludf.DUMMYFUNCTION("IMPORTRANGE(""https://docs.google.com/spreadsheets/d/1IYY_tgx_IHuhSq3AJ5eI5OnqOPBNLWSHKh2a30DoXe8/edit?usp=sharing"",""ภูเก็ต!J292"")"),0)</f>
        <v>0</v>
      </c>
      <c r="K397" s="169">
        <f t="shared" ca="1" si="110"/>
        <v>0</v>
      </c>
      <c r="L397" s="189"/>
      <c r="M397" s="189"/>
      <c r="N397" s="189"/>
      <c r="O397" s="189"/>
      <c r="P397" s="189"/>
    </row>
    <row r="398" spans="1:16" ht="21.75" customHeight="1" x14ac:dyDescent="0.35">
      <c r="A398" s="183"/>
      <c r="B398" s="184"/>
      <c r="C398" s="184"/>
      <c r="D398" s="201"/>
      <c r="E398" s="206"/>
      <c r="F398" s="203"/>
      <c r="G398" s="204"/>
      <c r="H398" s="194" t="s">
        <v>37</v>
      </c>
      <c r="I398" s="195">
        <f ca="1">IFERROR(__xludf.DUMMYFUNCTION("IMPORTRANGE(""https://docs.google.com/spreadsheets/d/1IYY_tgx_IHuhSq3AJ5eI5OnqOPBNLWSHKh2a30DoXe8/edit?usp=sharing"",""ภูเก็ต!I293"")"),5)</f>
        <v>5</v>
      </c>
      <c r="J398" s="205">
        <f ca="1">IFERROR(__xludf.DUMMYFUNCTION("IMPORTRANGE(""https://docs.google.com/spreadsheets/d/1IYY_tgx_IHuhSq3AJ5eI5OnqOPBNLWSHKh2a30DoXe8/edit?usp=sharing"",""ภูเก็ต!J293"")"),0)</f>
        <v>0</v>
      </c>
      <c r="K398" s="169">
        <f t="shared" ca="1" si="110"/>
        <v>0</v>
      </c>
      <c r="L398" s="189"/>
      <c r="M398" s="189"/>
      <c r="N398" s="189"/>
      <c r="O398" s="189"/>
      <c r="P398" s="189"/>
    </row>
    <row r="399" spans="1:16" ht="21.75" customHeight="1" x14ac:dyDescent="0.35">
      <c r="A399" s="183"/>
      <c r="B399" s="184"/>
      <c r="C399" s="184"/>
      <c r="D399" s="201"/>
      <c r="E399" s="202" t="s">
        <v>54</v>
      </c>
      <c r="F399" s="203"/>
      <c r="G399" s="204"/>
      <c r="H399" s="194"/>
      <c r="I399" s="195"/>
      <c r="J399" s="205">
        <f ca="1">IFERROR(__xludf.DUMMYFUNCTION("IMPORTRANGE(""https://docs.google.com/spreadsheets/d/1IYY_tgx_IHuhSq3AJ5eI5OnqOPBNLWSHKh2a30DoXe8/edit?usp=sharing"",""ภูเก็ต!J294"")"),0)</f>
        <v>0</v>
      </c>
      <c r="K399" s="169"/>
      <c r="L399" s="189"/>
      <c r="M399" s="189"/>
      <c r="N399" s="189"/>
      <c r="O399" s="189"/>
      <c r="P399" s="189"/>
    </row>
    <row r="400" spans="1:16" ht="21.75" customHeight="1" x14ac:dyDescent="0.35">
      <c r="A400" s="183"/>
      <c r="B400" s="184"/>
      <c r="C400" s="184"/>
      <c r="D400" s="213">
        <v>3</v>
      </c>
      <c r="E400" s="214" t="s">
        <v>55</v>
      </c>
      <c r="F400" s="215"/>
      <c r="G400" s="216"/>
      <c r="H400" s="194"/>
      <c r="I400" s="195"/>
      <c r="J400" s="217">
        <f ca="1">IFERROR(__xludf.DUMMYFUNCTION("IMPORTRANGE(""https://docs.google.com/spreadsheets/d/1IYY_tgx_IHuhSq3AJ5eI5OnqOPBNLWSHKh2a30DoXe8/edit?usp=sharing"",""ภูเก็ต!J295"")"),0)</f>
        <v>0</v>
      </c>
      <c r="K400" s="169"/>
      <c r="L400" s="189"/>
      <c r="M400" s="189"/>
      <c r="N400" s="189"/>
      <c r="O400" s="189"/>
      <c r="P400" s="189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IFERROR(__xludf.DUMMYFUNCTION("IMPORTRANGE(""https://docs.google.com/spreadsheets/d/1IYY_tgx_IHuhSq3AJ5eI5OnqOPBNLWSHKh2a30DoXe8/edit?usp=sharing"",""ภูเก็ต!I296"")"),90)</f>
        <v>90</v>
      </c>
      <c r="J401" s="377">
        <f ca="1">IFERROR(__xludf.DUMMYFUNCTION("IMPORTRANGE(""https://docs.google.com/spreadsheets/d/1IYY_tgx_IHuhSq3AJ5eI5OnqOPBNLWSHKh2a30DoXe8/edit?usp=sharing"",""ภูเก็ต!J296"")"),60)</f>
        <v>60</v>
      </c>
      <c r="K401" s="378">
        <f t="shared" ref="K401:K402" ca="1" si="111">IF(I401&gt;0,J401*100/I401,0)</f>
        <v>66.666666666666671</v>
      </c>
      <c r="L401" s="379">
        <f ca="1">IFERROR(__xludf.DUMMYFUNCTION("IMPORTRANGE(""https://docs.google.com/spreadsheets/d/1IYY_tgx_IHuhSq3AJ5eI5OnqOPBNLWSHKh2a30DoXe8/edit?usp=sharing"",""ภูเก็ต!L296"")"),116320)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IFERROR(__xludf.DUMMYFUNCTION("IMPORTRANGE(""https://docs.google.com/spreadsheets/d/1IYY_tgx_IHuhSq3AJ5eI5OnqOPBNLWSHKh2a30DoXe8/edit?usp=sharing"",""ภูเก็ต!M296"")"),47750)</f>
        <v>47750</v>
      </c>
      <c r="O401" s="379">
        <f ca="1">+IF(L401&gt;0,N401*100/L401,0)</f>
        <v>41.050550206327372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IFERROR(__xludf.DUMMYFUNCTION("IMPORTRANGE(""https://docs.google.com/spreadsheets/d/1IYY_tgx_IHuhSq3AJ5eI5OnqOPBNLWSHKh2a30DoXe8/edit?usp=sharing"",""ภูเก็ต!I297"")"),30)</f>
        <v>30</v>
      </c>
      <c r="J402" s="377">
        <f ca="1">IFERROR(__xludf.DUMMYFUNCTION("IMPORTRANGE(""https://docs.google.com/spreadsheets/d/1IYY_tgx_IHuhSq3AJ5eI5OnqOPBNLWSHKh2a30DoXe8/edit?usp=sharing"",""ภูเก็ต!J297"")"),20)</f>
        <v>20</v>
      </c>
      <c r="K402" s="378">
        <f t="shared" ca="1" si="111"/>
        <v>66.666666666666671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164" t="s">
        <v>38</v>
      </c>
      <c r="E403" s="165"/>
      <c r="F403" s="165"/>
      <c r="G403" s="166" t="s">
        <v>39</v>
      </c>
      <c r="H403" s="167" t="s">
        <v>12</v>
      </c>
      <c r="I403" s="168" t="s">
        <v>40</v>
      </c>
      <c r="J403" s="168"/>
      <c r="K403" s="169"/>
      <c r="L403" s="170">
        <f ca="1">IFERROR(__xludf.DUMMYFUNCTION("IMPORTRANGE(""https://docs.google.com/spreadsheets/d/1IYY_tgx_IHuhSq3AJ5eI5OnqOPBNLWSHKh2a30DoXe8/edit?usp=sharing"",""ภูเก็ต!L298"")"),0)</f>
        <v>0</v>
      </c>
      <c r="M403" s="170"/>
      <c r="N403" s="176">
        <f ca="1">IFERROR(__xludf.DUMMYFUNCTION("IMPORTRANGE(""https://docs.google.com/spreadsheets/d/1IYY_tgx_IHuhSq3AJ5eI5OnqOPBNLWSHKh2a30DoXe8/edit?usp=sharing"",""ภูเก็ต!M298"")"),0)</f>
        <v>0</v>
      </c>
      <c r="O403" s="176">
        <f t="shared" ref="O403:O406" ca="1" si="112">+IF(L403&gt;0,N403*100/L403,0)</f>
        <v>0</v>
      </c>
      <c r="P403" s="176"/>
    </row>
    <row r="404" spans="1:16" ht="21.75" customHeight="1" x14ac:dyDescent="0.35">
      <c r="A404" s="162"/>
      <c r="B404" s="163"/>
      <c r="C404" s="163"/>
      <c r="D404" s="172"/>
      <c r="E404" s="165"/>
      <c r="F404" s="165" t="s">
        <v>40</v>
      </c>
      <c r="G404" s="166" t="s">
        <v>41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IFERROR(__xludf.DUMMYFUNCTION("IMPORTRANGE(""https://docs.google.com/spreadsheets/d/1IYY_tgx_IHuhSq3AJ5eI5OnqOPBNLWSHKh2a30DoXe8/edit?usp=sharing"",""ภูเก็ต!L299"")"),116320)</f>
        <v>116320</v>
      </c>
      <c r="M404" s="171"/>
      <c r="N404" s="176">
        <f ca="1">IFERROR(__xludf.DUMMYFUNCTION("IMPORTRANGE(""https://docs.google.com/spreadsheets/d/1IYY_tgx_IHuhSq3AJ5eI5OnqOPBNLWSHKh2a30DoXe8/edit?usp=sharing"",""ภูเก็ต!M299"")"),47750)</f>
        <v>47750</v>
      </c>
      <c r="O404" s="176">
        <f t="shared" ca="1" si="112"/>
        <v>41.050550206327372</v>
      </c>
      <c r="P404" s="176"/>
    </row>
    <row r="405" spans="1:16" ht="21.75" customHeight="1" x14ac:dyDescent="0.35">
      <c r="A405" s="162"/>
      <c r="B405" s="163"/>
      <c r="C405" s="163"/>
      <c r="D405" s="172"/>
      <c r="E405" s="165"/>
      <c r="F405" s="165"/>
      <c r="G405" s="380" t="s">
        <v>129</v>
      </c>
      <c r="H405" s="167" t="s">
        <v>12</v>
      </c>
      <c r="I405" s="168"/>
      <c r="J405" s="168"/>
      <c r="K405" s="169"/>
      <c r="L405" s="176">
        <f ca="1">IFERROR(__xludf.DUMMYFUNCTION("IMPORTRANGE(""https://docs.google.com/spreadsheets/d/1IYY_tgx_IHuhSq3AJ5eI5OnqOPBNLWSHKh2a30DoXe8/edit?usp=sharing"",""ภูเก็ต!L300"")"),0)</f>
        <v>0</v>
      </c>
      <c r="M405" s="176"/>
      <c r="N405" s="176">
        <f ca="1">IFERROR(__xludf.DUMMYFUNCTION("IMPORTRANGE(""https://docs.google.com/spreadsheets/d/1IYY_tgx_IHuhSq3AJ5eI5OnqOPBNLWSHKh2a30DoXe8/edit?usp=sharing"",""ภูเก็ต!M300"")"),0)</f>
        <v>0</v>
      </c>
      <c r="O405" s="176">
        <f t="shared" ca="1" si="112"/>
        <v>0</v>
      </c>
      <c r="P405" s="176"/>
    </row>
    <row r="406" spans="1:16" ht="21.75" customHeight="1" x14ac:dyDescent="0.35">
      <c r="A406" s="162"/>
      <c r="B406" s="163"/>
      <c r="C406" s="163"/>
      <c r="D406" s="172"/>
      <c r="E406" s="165"/>
      <c r="F406" s="165"/>
      <c r="G406" s="380" t="s">
        <v>130</v>
      </c>
      <c r="H406" s="167" t="s">
        <v>12</v>
      </c>
      <c r="I406" s="168"/>
      <c r="J406" s="168"/>
      <c r="K406" s="169"/>
      <c r="L406" s="176">
        <f ca="1">IFERROR(__xludf.DUMMYFUNCTION("IMPORTRANGE(""https://docs.google.com/spreadsheets/d/1IYY_tgx_IHuhSq3AJ5eI5OnqOPBNLWSHKh2a30DoXe8/edit?usp=sharing"",""ภูเก็ต!L301"")"),116320)</f>
        <v>116320</v>
      </c>
      <c r="M406" s="176"/>
      <c r="N406" s="176">
        <f ca="1">IFERROR(__xludf.DUMMYFUNCTION("IMPORTRANGE(""https://docs.google.com/spreadsheets/d/1IYY_tgx_IHuhSq3AJ5eI5OnqOPBNLWSHKh2a30DoXe8/edit?usp=sharing"",""ภูเก็ต!M301"")"),47750)</f>
        <v>47750</v>
      </c>
      <c r="O406" s="176">
        <f t="shared" ca="1" si="112"/>
        <v>41.050550206327372</v>
      </c>
      <c r="P406" s="176"/>
    </row>
    <row r="407" spans="1:16" ht="21.75" customHeight="1" x14ac:dyDescent="0.35">
      <c r="A407" s="381"/>
      <c r="B407" s="382"/>
      <c r="C407" s="163"/>
      <c r="D407" s="383"/>
      <c r="E407" s="165"/>
      <c r="F407" s="165"/>
      <c r="G407" s="384" t="s">
        <v>131</v>
      </c>
      <c r="H407" s="167" t="s">
        <v>12</v>
      </c>
      <c r="I407" s="195"/>
      <c r="J407" s="195"/>
      <c r="K407" s="231"/>
      <c r="L407" s="176"/>
      <c r="M407" s="176"/>
      <c r="N407" s="385">
        <f ca="1">IFERROR(__xludf.DUMMYFUNCTION("IMPORTRANGE(""https://docs.google.com/spreadsheets/d/1IYY_tgx_IHuhSq3AJ5eI5OnqOPBNLWSHKh2a30DoXe8/edit?usp=sharing"",""ภูเก็ต!M302"")"),44600)</f>
        <v>44600</v>
      </c>
      <c r="O407" s="176"/>
      <c r="P407" s="176"/>
    </row>
    <row r="408" spans="1:16" ht="21.75" customHeight="1" x14ac:dyDescent="0.35">
      <c r="A408" s="381"/>
      <c r="B408" s="382"/>
      <c r="C408" s="163"/>
      <c r="D408" s="383"/>
      <c r="E408" s="165"/>
      <c r="F408" s="165"/>
      <c r="G408" s="384" t="s">
        <v>132</v>
      </c>
      <c r="H408" s="167" t="s">
        <v>12</v>
      </c>
      <c r="I408" s="195"/>
      <c r="J408" s="195"/>
      <c r="K408" s="231"/>
      <c r="L408" s="176"/>
      <c r="M408" s="176"/>
      <c r="N408" s="385">
        <f ca="1">IFERROR(__xludf.DUMMYFUNCTION("IMPORTRANGE(""https://docs.google.com/spreadsheets/d/1IYY_tgx_IHuhSq3AJ5eI5OnqOPBNLWSHKh2a30DoXe8/edit?usp=sharing"",""ภูเก็ต!M303"")"),0)</f>
        <v>0</v>
      </c>
      <c r="O408" s="176"/>
      <c r="P408" s="176"/>
    </row>
    <row r="409" spans="1:16" ht="21.75" customHeight="1" x14ac:dyDescent="0.35">
      <c r="A409" s="381"/>
      <c r="B409" s="382"/>
      <c r="C409" s="163"/>
      <c r="D409" s="383"/>
      <c r="E409" s="165"/>
      <c r="F409" s="165"/>
      <c r="G409" s="384" t="s">
        <v>133</v>
      </c>
      <c r="H409" s="167" t="s">
        <v>12</v>
      </c>
      <c r="I409" s="195"/>
      <c r="J409" s="195"/>
      <c r="K409" s="231"/>
      <c r="L409" s="176"/>
      <c r="M409" s="176"/>
      <c r="N409" s="385">
        <f ca="1">IFERROR(__xludf.DUMMYFUNCTION("IMPORTRANGE(""https://docs.google.com/spreadsheets/d/1IYY_tgx_IHuhSq3AJ5eI5OnqOPBNLWSHKh2a30DoXe8/edit?usp=sharing"",""ภูเก็ต!M304"")"),0)</f>
        <v>0</v>
      </c>
      <c r="O409" s="176"/>
      <c r="P409" s="176"/>
    </row>
    <row r="410" spans="1:16" ht="21.75" customHeight="1" x14ac:dyDescent="0.35">
      <c r="A410" s="381"/>
      <c r="B410" s="382"/>
      <c r="C410" s="163"/>
      <c r="D410" s="383"/>
      <c r="E410" s="165"/>
      <c r="F410" s="165"/>
      <c r="G410" s="384" t="s">
        <v>134</v>
      </c>
      <c r="H410" s="167" t="s">
        <v>12</v>
      </c>
      <c r="I410" s="195"/>
      <c r="J410" s="195"/>
      <c r="K410" s="231"/>
      <c r="L410" s="176"/>
      <c r="M410" s="176"/>
      <c r="N410" s="385">
        <f ca="1">IFERROR(__xludf.DUMMYFUNCTION("IMPORTRANGE(""https://docs.google.com/spreadsheets/d/1IYY_tgx_IHuhSq3AJ5eI5OnqOPBNLWSHKh2a30DoXe8/edit?usp=sharing"",""ภูเก็ต!M305"")"),3150)</f>
        <v>3150</v>
      </c>
      <c r="O410" s="176"/>
      <c r="P410" s="176"/>
    </row>
    <row r="411" spans="1:16" ht="21.75" customHeight="1" x14ac:dyDescent="0.35">
      <c r="A411" s="183"/>
      <c r="B411" s="184"/>
      <c r="C411" s="163" t="s">
        <v>16</v>
      </c>
      <c r="D411" s="185" t="s">
        <v>44</v>
      </c>
      <c r="E411" s="186"/>
      <c r="F411" s="186"/>
      <c r="G411" s="187"/>
      <c r="H411" s="188"/>
      <c r="I411" s="168"/>
      <c r="J411" s="168"/>
      <c r="K411" s="169"/>
      <c r="L411" s="189"/>
      <c r="M411" s="189"/>
      <c r="N411" s="189"/>
      <c r="O411" s="189"/>
      <c r="P411" s="189"/>
    </row>
    <row r="412" spans="1:16" ht="21.75" customHeight="1" x14ac:dyDescent="0.35">
      <c r="A412" s="183"/>
      <c r="B412" s="184"/>
      <c r="C412" s="184"/>
      <c r="D412" s="190">
        <v>1</v>
      </c>
      <c r="E412" s="191" t="s">
        <v>45</v>
      </c>
      <c r="F412" s="192"/>
      <c r="G412" s="193"/>
      <c r="H412" s="194"/>
      <c r="I412" s="195"/>
      <c r="J412" s="205">
        <f ca="1">IFERROR(__xludf.DUMMYFUNCTION("IMPORTRANGE(""https://docs.google.com/spreadsheets/d/1IYY_tgx_IHuhSq3AJ5eI5OnqOPBNLWSHKh2a30DoXe8/edit?usp=sharing"",""ภูเก็ต!J307"")"),0)</f>
        <v>0</v>
      </c>
      <c r="K412" s="169"/>
      <c r="L412" s="189"/>
      <c r="M412" s="189"/>
      <c r="N412" s="189"/>
      <c r="O412" s="189"/>
      <c r="P412" s="189"/>
    </row>
    <row r="413" spans="1:16" ht="21.75" customHeight="1" x14ac:dyDescent="0.35">
      <c r="A413" s="183"/>
      <c r="B413" s="184"/>
      <c r="C413" s="184"/>
      <c r="D413" s="197">
        <v>2</v>
      </c>
      <c r="E413" s="198" t="s">
        <v>46</v>
      </c>
      <c r="F413" s="199"/>
      <c r="G413" s="200"/>
      <c r="H413" s="194"/>
      <c r="I413" s="195"/>
      <c r="J413" s="196">
        <f ca="1">IFERROR(__xludf.DUMMYFUNCTION("IMPORTRANGE(""https://docs.google.com/spreadsheets/d/1IYY_tgx_IHuhSq3AJ5eI5OnqOPBNLWSHKh2a30DoXe8/edit?usp=sharing"",""ภูเก็ต!J308"")"),1)</f>
        <v>1</v>
      </c>
      <c r="K413" s="169"/>
      <c r="L413" s="189" t="s">
        <v>40</v>
      </c>
      <c r="M413" s="189"/>
      <c r="N413" s="189" t="s">
        <v>40</v>
      </c>
      <c r="O413" s="189"/>
      <c r="P413" s="189"/>
    </row>
    <row r="414" spans="1:16" ht="21.75" customHeight="1" x14ac:dyDescent="0.35">
      <c r="A414" s="183"/>
      <c r="B414" s="184"/>
      <c r="C414" s="184"/>
      <c r="D414" s="201"/>
      <c r="E414" s="202" t="s">
        <v>47</v>
      </c>
      <c r="F414" s="203"/>
      <c r="G414" s="204"/>
      <c r="H414" s="194"/>
      <c r="I414" s="195"/>
      <c r="J414" s="196">
        <f ca="1">IFERROR(__xludf.DUMMYFUNCTION("IMPORTRANGE(""https://docs.google.com/spreadsheets/d/1IYY_tgx_IHuhSq3AJ5eI5OnqOPBNLWSHKh2a30DoXe8/edit?usp=sharing"",""ภูเก็ต!J309"")"),1)</f>
        <v>1</v>
      </c>
      <c r="K414" s="169"/>
      <c r="L414" s="189"/>
      <c r="M414" s="189"/>
      <c r="N414" s="189"/>
      <c r="O414" s="189"/>
      <c r="P414" s="189"/>
    </row>
    <row r="415" spans="1:16" ht="21.75" customHeight="1" x14ac:dyDescent="0.35">
      <c r="A415" s="183"/>
      <c r="B415" s="184"/>
      <c r="C415" s="184"/>
      <c r="D415" s="201"/>
      <c r="E415" s="202" t="s">
        <v>48</v>
      </c>
      <c r="F415" s="203"/>
      <c r="G415" s="204"/>
      <c r="H415" s="194"/>
      <c r="I415" s="195"/>
      <c r="J415" s="205">
        <f ca="1">IFERROR(__xludf.DUMMYFUNCTION("IMPORTRANGE(""https://docs.google.com/spreadsheets/d/1IYY_tgx_IHuhSq3AJ5eI5OnqOPBNLWSHKh2a30DoXe8/edit?usp=sharing"",""ภูเก็ต!J310"")"),1)</f>
        <v>1</v>
      </c>
      <c r="K415" s="169"/>
      <c r="L415" s="189"/>
      <c r="M415" s="189"/>
      <c r="N415" s="189"/>
      <c r="O415" s="189"/>
      <c r="P415" s="189"/>
    </row>
    <row r="416" spans="1:16" ht="21.75" customHeight="1" x14ac:dyDescent="0.35">
      <c r="A416" s="183"/>
      <c r="B416" s="184"/>
      <c r="C416" s="184"/>
      <c r="D416" s="201"/>
      <c r="E416" s="206"/>
      <c r="F416" s="202" t="s">
        <v>70</v>
      </c>
      <c r="G416" s="394"/>
      <c r="H416" s="395" t="s">
        <v>37</v>
      </c>
      <c r="I416" s="208">
        <f ca="1">IFERROR(__xludf.DUMMYFUNCTION("IMPORTRANGE(""https://docs.google.com/spreadsheets/d/1IYY_tgx_IHuhSq3AJ5eI5OnqOPBNLWSHKh2a30DoXe8/edit?usp=sharing"",""ภูเก็ต!I311"")"),30)</f>
        <v>30</v>
      </c>
      <c r="J416" s="208">
        <f ca="1">IFERROR(__xludf.DUMMYFUNCTION("IMPORTRANGE(""https://docs.google.com/spreadsheets/d/1IYY_tgx_IHuhSq3AJ5eI5OnqOPBNLWSHKh2a30DoXe8/edit?usp=sharing"",""ภูเก็ต!J311"")"),20)</f>
        <v>20</v>
      </c>
      <c r="K416" s="209">
        <f t="shared" ref="K416:K432" ca="1" si="113">IF(I416&gt;0,J416*100/I416,0)</f>
        <v>66.666666666666671</v>
      </c>
      <c r="L416" s="189"/>
      <c r="M416" s="189"/>
      <c r="N416" s="189"/>
      <c r="O416" s="189"/>
      <c r="P416" s="189"/>
    </row>
    <row r="417" spans="1:16" ht="21.75" customHeight="1" x14ac:dyDescent="0.45">
      <c r="A417" s="183"/>
      <c r="B417" s="184"/>
      <c r="C417" s="184"/>
      <c r="D417" s="201"/>
      <c r="E417" s="206"/>
      <c r="F417" s="396" t="s">
        <v>148</v>
      </c>
      <c r="G417" s="204"/>
      <c r="H417" s="207" t="s">
        <v>37</v>
      </c>
      <c r="I417" s="397">
        <f ca="1">IFERROR(__xludf.DUMMYFUNCTION("IMPORTRANGE(""https://docs.google.com/spreadsheets/d/1IYY_tgx_IHuhSq3AJ5eI5OnqOPBNLWSHKh2a30DoXe8/edit?usp=sharing"",""ภูเก็ต!I312"")"),10)</f>
        <v>10</v>
      </c>
      <c r="J417" s="398">
        <f ca="1">IFERROR(__xludf.DUMMYFUNCTION("IMPORTRANGE(""https://docs.google.com/spreadsheets/d/1IYY_tgx_IHuhSq3AJ5eI5OnqOPBNLWSHKh2a30DoXe8/edit?usp=sharing"",""ภูเก็ต!J312"")"),0)</f>
        <v>0</v>
      </c>
      <c r="K417" s="209">
        <f t="shared" ca="1" si="113"/>
        <v>0</v>
      </c>
      <c r="L417" s="189"/>
      <c r="M417" s="189"/>
      <c r="N417" s="189"/>
      <c r="O417" s="189"/>
      <c r="P417" s="189"/>
    </row>
    <row r="418" spans="1:16" ht="21.75" customHeight="1" x14ac:dyDescent="0.45">
      <c r="A418" s="183"/>
      <c r="B418" s="184"/>
      <c r="C418" s="184"/>
      <c r="D418" s="201"/>
      <c r="E418" s="206"/>
      <c r="F418" s="203"/>
      <c r="G418" s="204"/>
      <c r="H418" s="207" t="s">
        <v>122</v>
      </c>
      <c r="I418" s="397">
        <f ca="1">IFERROR(__xludf.DUMMYFUNCTION("IMPORTRANGE(""https://docs.google.com/spreadsheets/d/1IYY_tgx_IHuhSq3AJ5eI5OnqOPBNLWSHKh2a30DoXe8/edit?usp=sharing"",""ภูเก็ต!I313"")"),30)</f>
        <v>30</v>
      </c>
      <c r="J418" s="399">
        <f ca="1">IFERROR(__xludf.DUMMYFUNCTION("IMPORTRANGE(""https://docs.google.com/spreadsheets/d/1IYY_tgx_IHuhSq3AJ5eI5OnqOPBNLWSHKh2a30DoXe8/edit?usp=sharing"",""ภูเก็ต!J313"")"),0)</f>
        <v>0</v>
      </c>
      <c r="K418" s="209">
        <f t="shared" ca="1" si="113"/>
        <v>0</v>
      </c>
      <c r="L418" s="189"/>
      <c r="M418" s="189"/>
      <c r="N418" s="189"/>
      <c r="O418" s="189"/>
      <c r="P418" s="189"/>
    </row>
    <row r="419" spans="1:16" ht="21.75" customHeight="1" x14ac:dyDescent="0.45">
      <c r="A419" s="183"/>
      <c r="B419" s="184"/>
      <c r="C419" s="184"/>
      <c r="D419" s="201"/>
      <c r="E419" s="206"/>
      <c r="F419" s="203"/>
      <c r="G419" s="233" t="s">
        <v>149</v>
      </c>
      <c r="H419" s="188" t="s">
        <v>37</v>
      </c>
      <c r="I419" s="347">
        <f ca="1">IFERROR(__xludf.DUMMYFUNCTION("IMPORTRANGE(""https://docs.google.com/spreadsheets/d/1IYY_tgx_IHuhSq3AJ5eI5OnqOPBNLWSHKh2a30DoXe8/edit?usp=sharing"",""ภูเก็ต!I314"")"),10)</f>
        <v>10</v>
      </c>
      <c r="J419" s="400">
        <f ca="1">IFERROR(__xludf.DUMMYFUNCTION("IMPORTRANGE(""https://docs.google.com/spreadsheets/d/1IYY_tgx_IHuhSq3AJ5eI5OnqOPBNLWSHKh2a30DoXe8/edit?usp=sharing"",""ภูเก็ต!J314"")"),0)</f>
        <v>0</v>
      </c>
      <c r="K419" s="169">
        <f t="shared" ca="1" si="113"/>
        <v>0</v>
      </c>
      <c r="L419" s="189"/>
      <c r="M419" s="189"/>
      <c r="N419" s="189"/>
      <c r="O419" s="189"/>
      <c r="P419" s="189"/>
    </row>
    <row r="420" spans="1:16" ht="21.75" customHeight="1" x14ac:dyDescent="0.45">
      <c r="A420" s="241"/>
      <c r="B420" s="242"/>
      <c r="C420" s="242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IFERROR(__xludf.DUMMYFUNCTION("IMPORTRANGE(""https://docs.google.com/spreadsheets/d/1IYY_tgx_IHuhSq3AJ5eI5OnqOPBNLWSHKh2a30DoXe8/edit?usp=sharing"",""ภูเก็ต!I315"")"),10)</f>
        <v>10</v>
      </c>
      <c r="J420" s="400">
        <f ca="1">IFERROR(__xludf.DUMMYFUNCTION("IMPORTRANGE(""https://docs.google.com/spreadsheets/d/1IYY_tgx_IHuhSq3AJ5eI5OnqOPBNLWSHKh2a30DoXe8/edit?usp=sharing"",""ภูเก็ต!J315"")"),0)</f>
        <v>0</v>
      </c>
      <c r="K420" s="294">
        <f t="shared" ca="1" si="113"/>
        <v>0</v>
      </c>
      <c r="L420" s="252"/>
      <c r="M420" s="252"/>
      <c r="N420" s="252"/>
      <c r="O420" s="252"/>
      <c r="P420" s="252"/>
    </row>
    <row r="421" spans="1:16" ht="21.75" customHeight="1" x14ac:dyDescent="0.45">
      <c r="A421" s="183"/>
      <c r="B421" s="184"/>
      <c r="C421" s="184"/>
      <c r="D421" s="201"/>
      <c r="E421" s="206"/>
      <c r="F421" s="396" t="s">
        <v>151</v>
      </c>
      <c r="G421" s="204"/>
      <c r="H421" s="207" t="s">
        <v>37</v>
      </c>
      <c r="I421" s="397">
        <f ca="1">IFERROR(__xludf.DUMMYFUNCTION("IMPORTRANGE(""https://docs.google.com/spreadsheets/d/1IYY_tgx_IHuhSq3AJ5eI5OnqOPBNLWSHKh2a30DoXe8/edit?usp=sharing"",""ภูเก็ต!I316"")"),10)</f>
        <v>10</v>
      </c>
      <c r="J421" s="398">
        <f ca="1">IFERROR(__xludf.DUMMYFUNCTION("IMPORTRANGE(""https://docs.google.com/spreadsheets/d/1IYY_tgx_IHuhSq3AJ5eI5OnqOPBNLWSHKh2a30DoXe8/edit?usp=sharing"",""ภูเก็ต!J316"")"),10)</f>
        <v>10</v>
      </c>
      <c r="K421" s="209">
        <f t="shared" ca="1" si="113"/>
        <v>100</v>
      </c>
      <c r="L421" s="189"/>
      <c r="M421" s="189"/>
      <c r="N421" s="189"/>
      <c r="O421" s="189"/>
      <c r="P421" s="189"/>
    </row>
    <row r="422" spans="1:16" ht="21.75" customHeight="1" x14ac:dyDescent="0.45">
      <c r="A422" s="183"/>
      <c r="B422" s="184"/>
      <c r="C422" s="184"/>
      <c r="D422" s="201"/>
      <c r="E422" s="206"/>
      <c r="F422" s="203"/>
      <c r="G422" s="204"/>
      <c r="H422" s="207" t="s">
        <v>122</v>
      </c>
      <c r="I422" s="397">
        <f ca="1">IFERROR(__xludf.DUMMYFUNCTION("IMPORTRANGE(""https://docs.google.com/spreadsheets/d/1IYY_tgx_IHuhSq3AJ5eI5OnqOPBNLWSHKh2a30DoXe8/edit?usp=sharing"",""ภูเก็ต!I317"")"),30)</f>
        <v>30</v>
      </c>
      <c r="J422" s="399">
        <f ca="1">IFERROR(__xludf.DUMMYFUNCTION("IMPORTRANGE(""https://docs.google.com/spreadsheets/d/1IYY_tgx_IHuhSq3AJ5eI5OnqOPBNLWSHKh2a30DoXe8/edit?usp=sharing"",""ภูเก็ต!J317"")"),30)</f>
        <v>30</v>
      </c>
      <c r="K422" s="209">
        <f t="shared" ca="1" si="113"/>
        <v>100</v>
      </c>
      <c r="L422" s="189"/>
      <c r="M422" s="189"/>
      <c r="N422" s="189"/>
      <c r="O422" s="189"/>
      <c r="P422" s="189"/>
    </row>
    <row r="423" spans="1:16" ht="21.75" customHeight="1" x14ac:dyDescent="0.45">
      <c r="A423" s="183"/>
      <c r="B423" s="184"/>
      <c r="C423" s="184"/>
      <c r="D423" s="201"/>
      <c r="E423" s="206"/>
      <c r="F423" s="203"/>
      <c r="G423" s="233" t="s">
        <v>152</v>
      </c>
      <c r="H423" s="188" t="s">
        <v>37</v>
      </c>
      <c r="I423" s="347">
        <f ca="1">IFERROR(__xludf.DUMMYFUNCTION("IMPORTRANGE(""https://docs.google.com/spreadsheets/d/1IYY_tgx_IHuhSq3AJ5eI5OnqOPBNLWSHKh2a30DoXe8/edit?usp=sharing"",""ภูเก็ต!I318"")"),10)</f>
        <v>10</v>
      </c>
      <c r="J423" s="400">
        <f ca="1">IFERROR(__xludf.DUMMYFUNCTION("IMPORTRANGE(""https://docs.google.com/spreadsheets/d/1IYY_tgx_IHuhSq3AJ5eI5OnqOPBNLWSHKh2a30DoXe8/edit?usp=sharing"",""ภูเก็ต!J318"")"),10)</f>
        <v>10</v>
      </c>
      <c r="K423" s="169">
        <f t="shared" ca="1" si="113"/>
        <v>100</v>
      </c>
      <c r="L423" s="189"/>
      <c r="M423" s="189"/>
      <c r="N423" s="189"/>
      <c r="O423" s="189"/>
      <c r="P423" s="189"/>
    </row>
    <row r="424" spans="1:16" ht="21.75" customHeight="1" x14ac:dyDescent="0.45">
      <c r="A424" s="183"/>
      <c r="B424" s="184"/>
      <c r="C424" s="184"/>
      <c r="D424" s="201"/>
      <c r="E424" s="206"/>
      <c r="F424" s="203"/>
      <c r="G424" s="233" t="s">
        <v>153</v>
      </c>
      <c r="H424" s="188" t="s">
        <v>37</v>
      </c>
      <c r="I424" s="347">
        <f ca="1">IFERROR(__xludf.DUMMYFUNCTION("IMPORTRANGE(""https://docs.google.com/spreadsheets/d/1IYY_tgx_IHuhSq3AJ5eI5OnqOPBNLWSHKh2a30DoXe8/edit?usp=sharing"",""ภูเก็ต!I319"")"),10)</f>
        <v>10</v>
      </c>
      <c r="J424" s="400">
        <f ca="1">IFERROR(__xludf.DUMMYFUNCTION("IMPORTRANGE(""https://docs.google.com/spreadsheets/d/1IYY_tgx_IHuhSq3AJ5eI5OnqOPBNLWSHKh2a30DoXe8/edit?usp=sharing"",""ภูเก็ต!J319"")"),10)</f>
        <v>10</v>
      </c>
      <c r="K424" s="169">
        <f t="shared" ca="1" si="113"/>
        <v>100</v>
      </c>
      <c r="L424" s="189"/>
      <c r="M424" s="189"/>
      <c r="N424" s="189"/>
      <c r="O424" s="189"/>
      <c r="P424" s="189"/>
    </row>
    <row r="425" spans="1:16" ht="21.75" customHeight="1" x14ac:dyDescent="0.45">
      <c r="A425" s="183"/>
      <c r="B425" s="184"/>
      <c r="C425" s="184"/>
      <c r="D425" s="201"/>
      <c r="E425" s="206"/>
      <c r="F425" s="203"/>
      <c r="G425" s="233" t="s">
        <v>154</v>
      </c>
      <c r="H425" s="188" t="s">
        <v>37</v>
      </c>
      <c r="I425" s="347">
        <f ca="1">IFERROR(__xludf.DUMMYFUNCTION("IMPORTRANGE(""https://docs.google.com/spreadsheets/d/1IYY_tgx_IHuhSq3AJ5eI5OnqOPBNLWSHKh2a30DoXe8/edit?usp=sharing"",""ภูเก็ต!I320"")"),10)</f>
        <v>10</v>
      </c>
      <c r="J425" s="400">
        <f ca="1">IFERROR(__xludf.DUMMYFUNCTION("IMPORTRANGE(""https://docs.google.com/spreadsheets/d/1IYY_tgx_IHuhSq3AJ5eI5OnqOPBNLWSHKh2a30DoXe8/edit?usp=sharing"",""ภูเก็ต!J320"")"),10)</f>
        <v>10</v>
      </c>
      <c r="K425" s="169">
        <f t="shared" ca="1" si="113"/>
        <v>100</v>
      </c>
      <c r="L425" s="189"/>
      <c r="M425" s="189"/>
      <c r="N425" s="189"/>
      <c r="O425" s="189"/>
      <c r="P425" s="189"/>
    </row>
    <row r="426" spans="1:16" ht="21.75" customHeight="1" x14ac:dyDescent="0.45">
      <c r="A426" s="183"/>
      <c r="B426" s="184"/>
      <c r="C426" s="184"/>
      <c r="D426" s="201"/>
      <c r="E426" s="206"/>
      <c r="F426" s="405" t="s">
        <v>155</v>
      </c>
      <c r="G426" s="204"/>
      <c r="H426" s="207" t="s">
        <v>37</v>
      </c>
      <c r="I426" s="397">
        <f ca="1">IFERROR(__xludf.DUMMYFUNCTION("IMPORTRANGE(""https://docs.google.com/spreadsheets/d/1IYY_tgx_IHuhSq3AJ5eI5OnqOPBNLWSHKh2a30DoXe8/edit?usp=sharing"",""ภูเก็ต!I321"")"),10)</f>
        <v>10</v>
      </c>
      <c r="J426" s="398">
        <f ca="1">IFERROR(__xludf.DUMMYFUNCTION("IMPORTRANGE(""https://docs.google.com/spreadsheets/d/1IYY_tgx_IHuhSq3AJ5eI5OnqOPBNLWSHKh2a30DoXe8/edit?usp=sharing"",""ภูเก็ต!J321"")"),10)</f>
        <v>10</v>
      </c>
      <c r="K426" s="209">
        <f t="shared" ca="1" si="113"/>
        <v>100</v>
      </c>
      <c r="L426" s="189"/>
      <c r="M426" s="189"/>
      <c r="N426" s="189"/>
      <c r="O426" s="189"/>
      <c r="P426" s="189"/>
    </row>
    <row r="427" spans="1:16" ht="21.75" customHeight="1" x14ac:dyDescent="0.45">
      <c r="A427" s="183"/>
      <c r="B427" s="184"/>
      <c r="C427" s="184"/>
      <c r="D427" s="201"/>
      <c r="E427" s="206"/>
      <c r="F427" s="203"/>
      <c r="G427" s="204"/>
      <c r="H427" s="207" t="s">
        <v>122</v>
      </c>
      <c r="I427" s="397">
        <f ca="1">IFERROR(__xludf.DUMMYFUNCTION("IMPORTRANGE(""https://docs.google.com/spreadsheets/d/1IYY_tgx_IHuhSq3AJ5eI5OnqOPBNLWSHKh2a30DoXe8/edit?usp=sharing"",""ภูเก็ต!I322"")"),30)</f>
        <v>30</v>
      </c>
      <c r="J427" s="399">
        <f ca="1">IFERROR(__xludf.DUMMYFUNCTION("IMPORTRANGE(""https://docs.google.com/spreadsheets/d/1IYY_tgx_IHuhSq3AJ5eI5OnqOPBNLWSHKh2a30DoXe8/edit?usp=sharing"",""ภูเก็ต!J322"")"),30)</f>
        <v>30</v>
      </c>
      <c r="K427" s="209">
        <f t="shared" ca="1" si="113"/>
        <v>100</v>
      </c>
      <c r="L427" s="189"/>
      <c r="M427" s="189"/>
      <c r="N427" s="189"/>
      <c r="O427" s="189"/>
      <c r="P427" s="189"/>
    </row>
    <row r="428" spans="1:16" ht="21.75" customHeight="1" x14ac:dyDescent="0.45">
      <c r="A428" s="183"/>
      <c r="B428" s="184"/>
      <c r="C428" s="184"/>
      <c r="D428" s="201"/>
      <c r="E428" s="206"/>
      <c r="F428" s="203"/>
      <c r="G428" s="233" t="s">
        <v>156</v>
      </c>
      <c r="H428" s="188" t="s">
        <v>37</v>
      </c>
      <c r="I428" s="406">
        <f ca="1">IFERROR(__xludf.DUMMYFUNCTION("IMPORTRANGE(""https://docs.google.com/spreadsheets/d/1IYY_tgx_IHuhSq3AJ5eI5OnqOPBNLWSHKh2a30DoXe8/edit?usp=sharing"",""ภูเก็ต!I323"")"),10)</f>
        <v>10</v>
      </c>
      <c r="J428" s="400">
        <f ca="1">IFERROR(__xludf.DUMMYFUNCTION("IMPORTRANGE(""https://docs.google.com/spreadsheets/d/1IYY_tgx_IHuhSq3AJ5eI5OnqOPBNLWSHKh2a30DoXe8/edit?usp=sharing"",""ภูเก็ต!J323"")"),10)</f>
        <v>10</v>
      </c>
      <c r="K428" s="169">
        <f t="shared" ca="1" si="113"/>
        <v>100</v>
      </c>
      <c r="L428" s="189"/>
      <c r="M428" s="189"/>
      <c r="N428" s="189"/>
      <c r="O428" s="189"/>
      <c r="P428" s="189"/>
    </row>
    <row r="429" spans="1:16" ht="21.75" customHeight="1" x14ac:dyDescent="0.45">
      <c r="A429" s="183"/>
      <c r="B429" s="184"/>
      <c r="C429" s="184"/>
      <c r="D429" s="201"/>
      <c r="E429" s="206"/>
      <c r="F429" s="203"/>
      <c r="G429" s="233" t="s">
        <v>157</v>
      </c>
      <c r="H429" s="188" t="s">
        <v>37</v>
      </c>
      <c r="I429" s="406">
        <f ca="1">IFERROR(__xludf.DUMMYFUNCTION("IMPORTRANGE(""https://docs.google.com/spreadsheets/d/1IYY_tgx_IHuhSq3AJ5eI5OnqOPBNLWSHKh2a30DoXe8/edit?usp=sharing"",""ภูเก็ต!I324"")"),10)</f>
        <v>10</v>
      </c>
      <c r="J429" s="400">
        <f ca="1">IFERROR(__xludf.DUMMYFUNCTION("IMPORTRANGE(""https://docs.google.com/spreadsheets/d/1IYY_tgx_IHuhSq3AJ5eI5OnqOPBNLWSHKh2a30DoXe8/edit?usp=sharing"",""ภูเก็ต!J324"")"),10)</f>
        <v>10</v>
      </c>
      <c r="K429" s="169">
        <f t="shared" ca="1" si="113"/>
        <v>100</v>
      </c>
      <c r="L429" s="189"/>
      <c r="M429" s="189"/>
      <c r="N429" s="189"/>
      <c r="O429" s="189"/>
      <c r="P429" s="189"/>
    </row>
    <row r="430" spans="1:16" ht="21.75" customHeight="1" x14ac:dyDescent="0.45">
      <c r="A430" s="183"/>
      <c r="B430" s="184"/>
      <c r="C430" s="184"/>
      <c r="D430" s="201"/>
      <c r="E430" s="206"/>
      <c r="F430" s="202" t="s">
        <v>53</v>
      </c>
      <c r="G430" s="394"/>
      <c r="H430" s="407" t="s">
        <v>37</v>
      </c>
      <c r="I430" s="208">
        <f ca="1">IFERROR(__xludf.DUMMYFUNCTION("IMPORTRANGE(""https://docs.google.com/spreadsheets/d/1IYY_tgx_IHuhSq3AJ5eI5OnqOPBNLWSHKh2a30DoXe8/edit?usp=sharing"",""ภูเก็ต!I325"")"),20)</f>
        <v>20</v>
      </c>
      <c r="J430" s="398">
        <f ca="1">IFERROR(__xludf.DUMMYFUNCTION("IMPORTRANGE(""https://docs.google.com/spreadsheets/d/1IYY_tgx_IHuhSq3AJ5eI5OnqOPBNLWSHKh2a30DoXe8/edit?usp=sharing"",""ภูเก็ต!J325"")"),0)</f>
        <v>0</v>
      </c>
      <c r="K430" s="209">
        <f t="shared" ca="1" si="113"/>
        <v>0</v>
      </c>
      <c r="L430" s="189"/>
      <c r="M430" s="189"/>
      <c r="N430" s="189"/>
      <c r="O430" s="189"/>
      <c r="P430" s="189"/>
    </row>
    <row r="431" spans="1:16" ht="21.75" customHeight="1" x14ac:dyDescent="0.45">
      <c r="A431" s="408"/>
      <c r="B431" s="409"/>
      <c r="C431" s="409"/>
      <c r="D431" s="410"/>
      <c r="E431" s="206"/>
      <c r="F431" s="203"/>
      <c r="G431" s="233" t="s">
        <v>158</v>
      </c>
      <c r="H431" s="188" t="s">
        <v>37</v>
      </c>
      <c r="I431" s="406">
        <f ca="1">IFERROR(__xludf.DUMMYFUNCTION("IMPORTRANGE(""https://docs.google.com/spreadsheets/d/1IYY_tgx_IHuhSq3AJ5eI5OnqOPBNLWSHKh2a30DoXe8/edit?usp=sharing"",""ภูเก็ต!I326"")"),10)</f>
        <v>10</v>
      </c>
      <c r="J431" s="400">
        <f ca="1">IFERROR(__xludf.DUMMYFUNCTION("IMPORTRANGE(""https://docs.google.com/spreadsheets/d/1IYY_tgx_IHuhSq3AJ5eI5OnqOPBNLWSHKh2a30DoXe8/edit?usp=sharing"",""ภูเก็ต!J326"")"),0)</f>
        <v>0</v>
      </c>
      <c r="K431" s="169">
        <f t="shared" ca="1" si="113"/>
        <v>0</v>
      </c>
      <c r="L431" s="189"/>
      <c r="M431" s="189"/>
      <c r="N431" s="189"/>
      <c r="O431" s="189"/>
      <c r="P431" s="189"/>
    </row>
    <row r="432" spans="1:16" ht="21.75" customHeight="1" x14ac:dyDescent="0.45">
      <c r="A432" s="408"/>
      <c r="B432" s="409"/>
      <c r="C432" s="409"/>
      <c r="D432" s="410"/>
      <c r="E432" s="206"/>
      <c r="F432" s="203"/>
      <c r="G432" s="233" t="s">
        <v>159</v>
      </c>
      <c r="H432" s="188" t="s">
        <v>37</v>
      </c>
      <c r="I432" s="406">
        <f ca="1">IFERROR(__xludf.DUMMYFUNCTION("IMPORTRANGE(""https://docs.google.com/spreadsheets/d/1IYY_tgx_IHuhSq3AJ5eI5OnqOPBNLWSHKh2a30DoXe8/edit?usp=sharing"",""ภูเก็ต!I327"")"),10)</f>
        <v>10</v>
      </c>
      <c r="J432" s="400">
        <f ca="1">IFERROR(__xludf.DUMMYFUNCTION("IMPORTRANGE(""https://docs.google.com/spreadsheets/d/1IYY_tgx_IHuhSq3AJ5eI5OnqOPBNLWSHKh2a30DoXe8/edit?usp=sharing"",""ภูเก็ต!J327"")"),0)</f>
        <v>0</v>
      </c>
      <c r="K432" s="169">
        <f t="shared" ca="1" si="113"/>
        <v>0</v>
      </c>
      <c r="L432" s="189"/>
      <c r="M432" s="189"/>
      <c r="N432" s="189"/>
      <c r="O432" s="189"/>
      <c r="P432" s="189"/>
    </row>
    <row r="433" spans="1:16" ht="21.75" customHeight="1" x14ac:dyDescent="0.35">
      <c r="A433" s="183"/>
      <c r="B433" s="184"/>
      <c r="C433" s="184"/>
      <c r="D433" s="201"/>
      <c r="E433" s="202" t="s">
        <v>54</v>
      </c>
      <c r="F433" s="203"/>
      <c r="G433" s="204"/>
      <c r="H433" s="194"/>
      <c r="I433" s="195"/>
      <c r="J433" s="205">
        <f ca="1">IFERROR(__xludf.DUMMYFUNCTION("IMPORTRANGE(""https://docs.google.com/spreadsheets/d/1IYY_tgx_IHuhSq3AJ5eI5OnqOPBNLWSHKh2a30DoXe8/edit?usp=sharing"",""ภูเก็ต!J328"")"),0)</f>
        <v>0</v>
      </c>
      <c r="K433" s="169"/>
      <c r="L433" s="189"/>
      <c r="M433" s="189"/>
      <c r="N433" s="189"/>
      <c r="O433" s="189"/>
      <c r="P433" s="189"/>
    </row>
    <row r="434" spans="1:16" ht="21.75" customHeight="1" x14ac:dyDescent="0.35">
      <c r="A434" s="183"/>
      <c r="B434" s="184"/>
      <c r="C434" s="184"/>
      <c r="D434" s="213">
        <v>3</v>
      </c>
      <c r="E434" s="214" t="s">
        <v>55</v>
      </c>
      <c r="F434" s="215"/>
      <c r="G434" s="216"/>
      <c r="H434" s="194"/>
      <c r="I434" s="195"/>
      <c r="J434" s="217">
        <f ca="1">IFERROR(__xludf.DUMMYFUNCTION("IMPORTRANGE(""https://docs.google.com/spreadsheets/d/1IYY_tgx_IHuhSq3AJ5eI5OnqOPBNLWSHKh2a30DoXe8/edit?usp=sharing"",""ภูเก็ต!J329"")"),0)</f>
        <v>0</v>
      </c>
      <c r="K434" s="169"/>
      <c r="L434" s="189"/>
      <c r="M434" s="189"/>
      <c r="N434" s="189"/>
      <c r="O434" s="189"/>
      <c r="P434" s="189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IFERROR(__xludf.DUMMYFUNCTION("IMPORTRANGE(""https://docs.google.com/spreadsheets/d/1IYY_tgx_IHuhSq3AJ5eI5OnqOPBNLWSHKh2a30DoXe8/edit?usp=sharing"",""ภูเก็ต!I330"")"),10)</f>
        <v>10</v>
      </c>
      <c r="J435" s="416">
        <f ca="1">IFERROR(__xludf.DUMMYFUNCTION("IMPORTRANGE(""https://docs.google.com/spreadsheets/d/1IYY_tgx_IHuhSq3AJ5eI5OnqOPBNLWSHKh2a30DoXe8/edit?usp=sharing"",""ภูเก็ต!J330"")"),10)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IFERROR(__xludf.DUMMYFUNCTION("IMPORTRANGE(""https://docs.google.com/spreadsheets/d/1IYY_tgx_IHuhSq3AJ5eI5OnqOPBNLWSHKh2a30DoXe8/edit?usp=sharing"",""ภูเก็ต!L330"")"),76000)</f>
        <v>76000</v>
      </c>
      <c r="M435" s="418"/>
      <c r="N435" s="418">
        <f ca="1">IFERROR(__xludf.DUMMYFUNCTION("IMPORTRANGE(""https://docs.google.com/spreadsheets/d/1IYY_tgx_IHuhSq3AJ5eI5OnqOPBNLWSHKh2a30DoXe8/edit?usp=sharing"",""ภูเก็ต!M330"")"),33830)</f>
        <v>33830</v>
      </c>
      <c r="O435" s="418">
        <f t="shared" ref="O435:O439" ca="1" si="114">+IF(L435&gt;0,N435*100/L435,0)</f>
        <v>44.513157894736842</v>
      </c>
      <c r="P435" s="418"/>
    </row>
    <row r="436" spans="1:16" ht="21.75" customHeight="1" x14ac:dyDescent="0.35">
      <c r="A436" s="162"/>
      <c r="B436" s="163"/>
      <c r="C436" s="163" t="s">
        <v>16</v>
      </c>
      <c r="D436" s="164" t="s">
        <v>38</v>
      </c>
      <c r="E436" s="165"/>
      <c r="F436" s="165"/>
      <c r="G436" s="166" t="s">
        <v>39</v>
      </c>
      <c r="H436" s="167" t="s">
        <v>12</v>
      </c>
      <c r="I436" s="168" t="s">
        <v>40</v>
      </c>
      <c r="J436" s="168"/>
      <c r="K436" s="169"/>
      <c r="L436" s="170">
        <f ca="1">IFERROR(__xludf.DUMMYFUNCTION("IMPORTRANGE(""https://docs.google.com/spreadsheets/d/1IYY_tgx_IHuhSq3AJ5eI5OnqOPBNLWSHKh2a30DoXe8/edit?usp=sharing"",""ภูเก็ต!L331"")"),0)</f>
        <v>0</v>
      </c>
      <c r="M436" s="170"/>
      <c r="N436" s="176">
        <f ca="1">IFERROR(__xludf.DUMMYFUNCTION("IMPORTRANGE(""https://docs.google.com/spreadsheets/d/1IYY_tgx_IHuhSq3AJ5eI5OnqOPBNLWSHKh2a30DoXe8/edit?usp=sharing"",""ภูเก็ต!M331"")"),0)</f>
        <v>0</v>
      </c>
      <c r="O436" s="176">
        <f t="shared" ca="1" si="114"/>
        <v>0</v>
      </c>
      <c r="P436" s="176"/>
    </row>
    <row r="437" spans="1:16" ht="21.75" customHeight="1" x14ac:dyDescent="0.35">
      <c r="A437" s="162"/>
      <c r="B437" s="163"/>
      <c r="C437" s="163"/>
      <c r="D437" s="172"/>
      <c r="E437" s="165"/>
      <c r="F437" s="165" t="s">
        <v>40</v>
      </c>
      <c r="G437" s="166" t="s">
        <v>41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IFERROR(__xludf.DUMMYFUNCTION("IMPORTRANGE(""https://docs.google.com/spreadsheets/d/1IYY_tgx_IHuhSq3AJ5eI5OnqOPBNLWSHKh2a30DoXe8/edit?usp=sharing"",""ภูเก็ต!L332"")"),76000)</f>
        <v>76000</v>
      </c>
      <c r="M437" s="171"/>
      <c r="N437" s="176">
        <f ca="1">IFERROR(__xludf.DUMMYFUNCTION("IMPORTRANGE(""https://docs.google.com/spreadsheets/d/1IYY_tgx_IHuhSq3AJ5eI5OnqOPBNLWSHKh2a30DoXe8/edit?usp=sharing"",""ภูเก็ต!M332"")"),33830)</f>
        <v>33830</v>
      </c>
      <c r="O437" s="176">
        <f t="shared" ca="1" si="114"/>
        <v>44.513157894736842</v>
      </c>
      <c r="P437" s="176"/>
    </row>
    <row r="438" spans="1:16" ht="21.75" customHeight="1" x14ac:dyDescent="0.35">
      <c r="A438" s="162"/>
      <c r="B438" s="163"/>
      <c r="C438" s="163"/>
      <c r="D438" s="172"/>
      <c r="E438" s="165"/>
      <c r="F438" s="165"/>
      <c r="G438" s="380" t="s">
        <v>129</v>
      </c>
      <c r="H438" s="167" t="s">
        <v>12</v>
      </c>
      <c r="I438" s="168"/>
      <c r="J438" s="168"/>
      <c r="K438" s="169"/>
      <c r="L438" s="176">
        <f ca="1">IFERROR(__xludf.DUMMYFUNCTION("IMPORTRANGE(""https://docs.google.com/spreadsheets/d/1IYY_tgx_IHuhSq3AJ5eI5OnqOPBNLWSHKh2a30DoXe8/edit?usp=sharing"",""ภูเก็ต!L333"")"),0)</f>
        <v>0</v>
      </c>
      <c r="M438" s="176"/>
      <c r="N438" s="176">
        <f ca="1">IFERROR(__xludf.DUMMYFUNCTION("IMPORTRANGE(""https://docs.google.com/spreadsheets/d/1IYY_tgx_IHuhSq3AJ5eI5OnqOPBNLWSHKh2a30DoXe8/edit?usp=sharing"",""ภูเก็ต!M333"")"),0)</f>
        <v>0</v>
      </c>
      <c r="O438" s="176">
        <f t="shared" ca="1" si="114"/>
        <v>0</v>
      </c>
      <c r="P438" s="176"/>
    </row>
    <row r="439" spans="1:16" ht="21.75" customHeight="1" x14ac:dyDescent="0.35">
      <c r="A439" s="162"/>
      <c r="B439" s="163"/>
      <c r="C439" s="163"/>
      <c r="D439" s="172"/>
      <c r="E439" s="165"/>
      <c r="F439" s="165"/>
      <c r="G439" s="380" t="s">
        <v>130</v>
      </c>
      <c r="H439" s="167" t="s">
        <v>12</v>
      </c>
      <c r="I439" s="168"/>
      <c r="J439" s="168"/>
      <c r="K439" s="169"/>
      <c r="L439" s="176">
        <f ca="1">IFERROR(__xludf.DUMMYFUNCTION("IMPORTRANGE(""https://docs.google.com/spreadsheets/d/1IYY_tgx_IHuhSq3AJ5eI5OnqOPBNLWSHKh2a30DoXe8/edit?usp=sharing"",""ภูเก็ต!L334"")"),76000)</f>
        <v>76000</v>
      </c>
      <c r="M439" s="176"/>
      <c r="N439" s="176">
        <f ca="1">IFERROR(__xludf.DUMMYFUNCTION("IMPORTRANGE(""https://docs.google.com/spreadsheets/d/1IYY_tgx_IHuhSq3AJ5eI5OnqOPBNLWSHKh2a30DoXe8/edit?usp=sharing"",""ภูเก็ต!M334"")"),33830)</f>
        <v>33830</v>
      </c>
      <c r="O439" s="176">
        <f t="shared" ca="1" si="114"/>
        <v>44.513157894736842</v>
      </c>
      <c r="P439" s="176"/>
    </row>
    <row r="440" spans="1:16" ht="21.75" customHeight="1" x14ac:dyDescent="0.35">
      <c r="A440" s="381"/>
      <c r="B440" s="382"/>
      <c r="C440" s="163"/>
      <c r="D440" s="383"/>
      <c r="E440" s="165"/>
      <c r="F440" s="165"/>
      <c r="G440" s="384" t="s">
        <v>131</v>
      </c>
      <c r="H440" s="167" t="s">
        <v>12</v>
      </c>
      <c r="I440" s="195"/>
      <c r="J440" s="195"/>
      <c r="K440" s="231"/>
      <c r="L440" s="176"/>
      <c r="M440" s="176"/>
      <c r="N440" s="385">
        <f ca="1">IFERROR(__xludf.DUMMYFUNCTION("IMPORTRANGE(""https://docs.google.com/spreadsheets/d/1IYY_tgx_IHuhSq3AJ5eI5OnqOPBNLWSHKh2a30DoXe8/edit?usp=sharing"",""ภูเก็ต!M335"")"),20200)</f>
        <v>20200</v>
      </c>
      <c r="O440" s="176"/>
      <c r="P440" s="176"/>
    </row>
    <row r="441" spans="1:16" ht="21.75" customHeight="1" x14ac:dyDescent="0.35">
      <c r="A441" s="381"/>
      <c r="B441" s="382"/>
      <c r="C441" s="163"/>
      <c r="D441" s="383"/>
      <c r="E441" s="165"/>
      <c r="F441" s="165"/>
      <c r="G441" s="384" t="s">
        <v>132</v>
      </c>
      <c r="H441" s="167" t="s">
        <v>12</v>
      </c>
      <c r="I441" s="195"/>
      <c r="J441" s="195"/>
      <c r="K441" s="231"/>
      <c r="L441" s="176"/>
      <c r="M441" s="176"/>
      <c r="N441" s="385">
        <f ca="1">IFERROR(__xludf.DUMMYFUNCTION("IMPORTRANGE(""https://docs.google.com/spreadsheets/d/1IYY_tgx_IHuhSq3AJ5eI5OnqOPBNLWSHKh2a30DoXe8/edit?usp=sharing"",""ภูเก็ต!M336"")"),0)</f>
        <v>0</v>
      </c>
      <c r="O441" s="176"/>
      <c r="P441" s="176"/>
    </row>
    <row r="442" spans="1:16" ht="21.75" customHeight="1" x14ac:dyDescent="0.35">
      <c r="A442" s="381"/>
      <c r="B442" s="382"/>
      <c r="C442" s="163"/>
      <c r="D442" s="383"/>
      <c r="E442" s="165"/>
      <c r="F442" s="165"/>
      <c r="G442" s="384" t="s">
        <v>133</v>
      </c>
      <c r="H442" s="167" t="s">
        <v>12</v>
      </c>
      <c r="I442" s="195"/>
      <c r="J442" s="195"/>
      <c r="K442" s="231"/>
      <c r="L442" s="176"/>
      <c r="M442" s="176"/>
      <c r="N442" s="385">
        <f ca="1">IFERROR(__xludf.DUMMYFUNCTION("IMPORTRANGE(""https://docs.google.com/spreadsheets/d/1IYY_tgx_IHuhSq3AJ5eI5OnqOPBNLWSHKh2a30DoXe8/edit?usp=sharing"",""ภูเก็ต!M337"")"),0)</f>
        <v>0</v>
      </c>
      <c r="O442" s="176"/>
      <c r="P442" s="176"/>
    </row>
    <row r="443" spans="1:16" ht="21.75" customHeight="1" x14ac:dyDescent="0.35">
      <c r="A443" s="381"/>
      <c r="B443" s="382"/>
      <c r="C443" s="163"/>
      <c r="D443" s="383"/>
      <c r="E443" s="165"/>
      <c r="F443" s="165"/>
      <c r="G443" s="384" t="s">
        <v>134</v>
      </c>
      <c r="H443" s="167" t="s">
        <v>12</v>
      </c>
      <c r="I443" s="195"/>
      <c r="J443" s="195"/>
      <c r="K443" s="231"/>
      <c r="L443" s="176"/>
      <c r="M443" s="176"/>
      <c r="N443" s="385">
        <f ca="1">IFERROR(__xludf.DUMMYFUNCTION("IMPORTRANGE(""https://docs.google.com/spreadsheets/d/1IYY_tgx_IHuhSq3AJ5eI5OnqOPBNLWSHKh2a30DoXe8/edit?usp=sharing"",""ภูเก็ต!M338"")"),13630)</f>
        <v>13630</v>
      </c>
      <c r="O443" s="176"/>
      <c r="P443" s="176"/>
    </row>
    <row r="444" spans="1:16" ht="21.75" customHeight="1" x14ac:dyDescent="0.35">
      <c r="A444" s="183"/>
      <c r="B444" s="184"/>
      <c r="C444" s="163" t="s">
        <v>16</v>
      </c>
      <c r="D444" s="185" t="s">
        <v>44</v>
      </c>
      <c r="E444" s="186"/>
      <c r="F444" s="186"/>
      <c r="G444" s="187"/>
      <c r="H444" s="188"/>
      <c r="I444" s="168"/>
      <c r="J444" s="168"/>
      <c r="K444" s="169"/>
      <c r="L444" s="189"/>
      <c r="M444" s="189"/>
      <c r="N444" s="189"/>
      <c r="O444" s="189"/>
      <c r="P444" s="189"/>
    </row>
    <row r="445" spans="1:16" ht="21.75" customHeight="1" x14ac:dyDescent="0.35">
      <c r="A445" s="183"/>
      <c r="B445" s="184"/>
      <c r="C445" s="184"/>
      <c r="D445" s="190">
        <v>1</v>
      </c>
      <c r="E445" s="191" t="s">
        <v>45</v>
      </c>
      <c r="F445" s="192"/>
      <c r="G445" s="193"/>
      <c r="H445" s="194"/>
      <c r="I445" s="195"/>
      <c r="J445" s="217">
        <f ca="1">IFERROR(__xludf.DUMMYFUNCTION("IMPORTRANGE(""https://docs.google.com/spreadsheets/d/1IYY_tgx_IHuhSq3AJ5eI5OnqOPBNLWSHKh2a30DoXe8/edit?usp=sharing"",""ภูเก็ต!J340"")"),0)</f>
        <v>0</v>
      </c>
      <c r="K445" s="169"/>
      <c r="L445" s="189"/>
      <c r="M445" s="189"/>
      <c r="N445" s="189"/>
      <c r="O445" s="189"/>
      <c r="P445" s="189"/>
    </row>
    <row r="446" spans="1:16" ht="21.75" customHeight="1" x14ac:dyDescent="0.35">
      <c r="A446" s="183"/>
      <c r="B446" s="184"/>
      <c r="C446" s="184"/>
      <c r="D446" s="197">
        <v>2</v>
      </c>
      <c r="E446" s="198" t="s">
        <v>46</v>
      </c>
      <c r="F446" s="199"/>
      <c r="G446" s="200"/>
      <c r="H446" s="194"/>
      <c r="I446" s="195"/>
      <c r="J446" s="419">
        <f ca="1">IFERROR(__xludf.DUMMYFUNCTION("IMPORTRANGE(""https://docs.google.com/spreadsheets/d/1IYY_tgx_IHuhSq3AJ5eI5OnqOPBNLWSHKh2a30DoXe8/edit?usp=sharing"",""ภูเก็ต!J341"")"),1)</f>
        <v>1</v>
      </c>
      <c r="K446" s="169"/>
      <c r="L446" s="189" t="s">
        <v>40</v>
      </c>
      <c r="M446" s="189"/>
      <c r="N446" s="189" t="s">
        <v>40</v>
      </c>
      <c r="O446" s="189"/>
      <c r="P446" s="189"/>
    </row>
    <row r="447" spans="1:16" ht="21.75" customHeight="1" x14ac:dyDescent="0.35">
      <c r="A447" s="183"/>
      <c r="B447" s="184"/>
      <c r="C447" s="184"/>
      <c r="D447" s="201"/>
      <c r="E447" s="202" t="s">
        <v>161</v>
      </c>
      <c r="F447" s="203"/>
      <c r="G447" s="204"/>
      <c r="H447" s="194"/>
      <c r="I447" s="195"/>
      <c r="J447" s="196">
        <f ca="1">IFERROR(__xludf.DUMMYFUNCTION("IMPORTRANGE(""https://docs.google.com/spreadsheets/d/1IYY_tgx_IHuhSq3AJ5eI5OnqOPBNLWSHKh2a30DoXe8/edit?usp=sharing"",""ภูเก็ต!J342"")"),1)</f>
        <v>1</v>
      </c>
      <c r="K447" s="169"/>
      <c r="L447" s="189"/>
      <c r="M447" s="189"/>
      <c r="N447" s="189"/>
      <c r="O447" s="189"/>
      <c r="P447" s="189"/>
    </row>
    <row r="448" spans="1:16" ht="21.75" customHeight="1" x14ac:dyDescent="0.35">
      <c r="A448" s="183"/>
      <c r="B448" s="184"/>
      <c r="C448" s="184"/>
      <c r="D448" s="201"/>
      <c r="E448" s="202" t="s">
        <v>48</v>
      </c>
      <c r="F448" s="203"/>
      <c r="G448" s="204"/>
      <c r="H448" s="194"/>
      <c r="I448" s="195"/>
      <c r="J448" s="196">
        <f ca="1">IFERROR(__xludf.DUMMYFUNCTION("IMPORTRANGE(""https://docs.google.com/spreadsheets/d/1IYY_tgx_IHuhSq3AJ5eI5OnqOPBNLWSHKh2a30DoXe8/edit?usp=sharing"",""ภูเก็ต!J343"")"),1)</f>
        <v>1</v>
      </c>
      <c r="K448" s="169"/>
      <c r="L448" s="189"/>
      <c r="M448" s="189"/>
      <c r="N448" s="189"/>
      <c r="O448" s="189"/>
      <c r="P448" s="189"/>
    </row>
    <row r="449" spans="1:16" ht="21.75" customHeight="1" x14ac:dyDescent="0.35">
      <c r="A449" s="183"/>
      <c r="B449" s="184"/>
      <c r="C449" s="184"/>
      <c r="D449" s="201"/>
      <c r="E449" s="206"/>
      <c r="F449" s="420" t="s">
        <v>101</v>
      </c>
      <c r="G449" s="204"/>
      <c r="H449" s="194" t="s">
        <v>37</v>
      </c>
      <c r="I449" s="397">
        <f ca="1">IFERROR(__xludf.DUMMYFUNCTION("IMPORTRANGE(""https://docs.google.com/spreadsheets/d/1IYY_tgx_IHuhSq3AJ5eI5OnqOPBNLWSHKh2a30DoXe8/edit?usp=sharing"",""ภูเก็ต!I344"")"),10)</f>
        <v>10</v>
      </c>
      <c r="J449" s="208">
        <f ca="1">IFERROR(__xludf.DUMMYFUNCTION("IMPORTRANGE(""https://docs.google.com/spreadsheets/d/1IYY_tgx_IHuhSq3AJ5eI5OnqOPBNLWSHKh2a30DoXe8/edit?usp=sharing"",""ภูเก็ต!J344"")"),10)</f>
        <v>10</v>
      </c>
      <c r="K449" s="169">
        <f t="shared" ref="K449:K452" ca="1" si="115">IF(I449&gt;0,J449*100/I449,0)</f>
        <v>100</v>
      </c>
      <c r="L449" s="189"/>
      <c r="M449" s="189"/>
      <c r="N449" s="189"/>
      <c r="O449" s="189"/>
      <c r="P449" s="189"/>
    </row>
    <row r="450" spans="1:16" ht="21.75" customHeight="1" x14ac:dyDescent="0.35">
      <c r="A450" s="183"/>
      <c r="B450" s="184"/>
      <c r="C450" s="184"/>
      <c r="D450" s="201"/>
      <c r="E450" s="206"/>
      <c r="F450" s="203"/>
      <c r="G450" s="233" t="s">
        <v>162</v>
      </c>
      <c r="H450" s="194" t="s">
        <v>37</v>
      </c>
      <c r="I450" s="347">
        <f ca="1">IFERROR(__xludf.DUMMYFUNCTION("IMPORTRANGE(""https://docs.google.com/spreadsheets/d/1IYY_tgx_IHuhSq3AJ5eI5OnqOPBNLWSHKh2a30DoXe8/edit?usp=sharing"",""ภูเก็ต!I345"")"),10)</f>
        <v>10</v>
      </c>
      <c r="J450" s="196">
        <f ca="1">IFERROR(__xludf.DUMMYFUNCTION("IMPORTRANGE(""https://docs.google.com/spreadsheets/d/1IYY_tgx_IHuhSq3AJ5eI5OnqOPBNLWSHKh2a30DoXe8/edit?usp=sharing"",""ภูเก็ต!J345"")"),10)</f>
        <v>10</v>
      </c>
      <c r="K450" s="169">
        <f t="shared" ca="1" si="115"/>
        <v>100</v>
      </c>
      <c r="L450" s="189"/>
      <c r="M450" s="189"/>
      <c r="N450" s="189"/>
      <c r="O450" s="189"/>
      <c r="P450" s="189"/>
    </row>
    <row r="451" spans="1:16" ht="21.75" customHeight="1" x14ac:dyDescent="0.35">
      <c r="A451" s="183"/>
      <c r="B451" s="184"/>
      <c r="C451" s="184"/>
      <c r="D451" s="201"/>
      <c r="E451" s="206"/>
      <c r="F451" s="203"/>
      <c r="G451" s="287" t="s">
        <v>163</v>
      </c>
      <c r="H451" s="194" t="s">
        <v>37</v>
      </c>
      <c r="I451" s="347">
        <f ca="1">IFERROR(__xludf.DUMMYFUNCTION("IMPORTRANGE(""https://docs.google.com/spreadsheets/d/1IYY_tgx_IHuhSq3AJ5eI5OnqOPBNLWSHKh2a30DoXe8/edit?usp=sharing"",""ภูเก็ต!I346"")"),0)</f>
        <v>0</v>
      </c>
      <c r="J451" s="195">
        <f ca="1">IFERROR(__xludf.DUMMYFUNCTION("IMPORTRANGE(""https://docs.google.com/spreadsheets/d/1IYY_tgx_IHuhSq3AJ5eI5OnqOPBNLWSHKh2a30DoXe8/edit?usp=sharing"",""ภูเก็ต!J346"")"),0)</f>
        <v>0</v>
      </c>
      <c r="K451" s="169">
        <f t="shared" ca="1" si="115"/>
        <v>0</v>
      </c>
      <c r="L451" s="189"/>
      <c r="M451" s="189"/>
      <c r="N451" s="189"/>
      <c r="O451" s="189"/>
      <c r="P451" s="189"/>
    </row>
    <row r="452" spans="1:16" ht="21.75" customHeight="1" x14ac:dyDescent="0.35">
      <c r="A452" s="183"/>
      <c r="B452" s="184"/>
      <c r="C452" s="184"/>
      <c r="D452" s="201"/>
      <c r="E452" s="206"/>
      <c r="F452" s="203"/>
      <c r="G452" s="204" t="s">
        <v>164</v>
      </c>
      <c r="H452" s="194" t="s">
        <v>37</v>
      </c>
      <c r="I452" s="195">
        <f ca="1">IFERROR(__xludf.DUMMYFUNCTION("IMPORTRANGE(""https://docs.google.com/spreadsheets/d/1IYY_tgx_IHuhSq3AJ5eI5OnqOPBNLWSHKh2a30DoXe8/edit?usp=sharing"",""ภูเก็ต!I347"")"),0)</f>
        <v>0</v>
      </c>
      <c r="J452" s="195">
        <f ca="1">IFERROR(__xludf.DUMMYFUNCTION("IMPORTRANGE(""https://docs.google.com/spreadsheets/d/1IYY_tgx_IHuhSq3AJ5eI5OnqOPBNLWSHKh2a30DoXe8/edit?usp=sharing"",""ภูเก็ต!J347"")"),0)</f>
        <v>0</v>
      </c>
      <c r="K452" s="169">
        <f t="shared" ca="1" si="115"/>
        <v>0</v>
      </c>
      <c r="L452" s="189"/>
      <c r="M452" s="189"/>
      <c r="N452" s="189"/>
      <c r="O452" s="189"/>
      <c r="P452" s="189"/>
    </row>
    <row r="453" spans="1:16" ht="21.75" customHeight="1" x14ac:dyDescent="0.35">
      <c r="A453" s="183"/>
      <c r="B453" s="184"/>
      <c r="C453" s="184"/>
      <c r="D453" s="201"/>
      <c r="E453" s="202" t="s">
        <v>54</v>
      </c>
      <c r="F453" s="203"/>
      <c r="G453" s="204"/>
      <c r="H453" s="194"/>
      <c r="I453" s="195"/>
      <c r="J453" s="205">
        <f ca="1">IFERROR(__xludf.DUMMYFUNCTION("IMPORTRANGE(""https://docs.google.com/spreadsheets/d/1IYY_tgx_IHuhSq3AJ5eI5OnqOPBNLWSHKh2a30DoXe8/edit?usp=sharing"",""ภูเก็ต!J348"")"),0)</f>
        <v>0</v>
      </c>
      <c r="K453" s="169"/>
      <c r="L453" s="189"/>
      <c r="M453" s="189"/>
      <c r="N453" s="189"/>
      <c r="O453" s="189"/>
      <c r="P453" s="189"/>
    </row>
    <row r="454" spans="1:16" ht="21.75" customHeight="1" x14ac:dyDescent="0.35">
      <c r="A454" s="183"/>
      <c r="B454" s="184"/>
      <c r="C454" s="184"/>
      <c r="D454" s="213">
        <v>3</v>
      </c>
      <c r="E454" s="214" t="s">
        <v>55</v>
      </c>
      <c r="F454" s="215"/>
      <c r="G454" s="216"/>
      <c r="H454" s="194"/>
      <c r="I454" s="195"/>
      <c r="J454" s="217">
        <f ca="1">IFERROR(__xludf.DUMMYFUNCTION("IMPORTRANGE(""https://docs.google.com/spreadsheets/d/1IYY_tgx_IHuhSq3AJ5eI5OnqOPBNLWSHKh2a30DoXe8/edit?usp=sharing"",""ภูเก็ต!J349"")"),0)</f>
        <v>0</v>
      </c>
      <c r="K454" s="169"/>
      <c r="L454" s="189"/>
      <c r="M454" s="189"/>
      <c r="N454" s="189"/>
      <c r="O454" s="189"/>
      <c r="P454" s="189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IFERROR(__xludf.DUMMYFUNCTION("IMPORTRANGE(""https://docs.google.com/spreadsheets/d/1IYY_tgx_IHuhSq3AJ5eI5OnqOPBNLWSHKh2a30DoXe8/edit?usp=sharing"",""ภูเก็ต!I350"")"),0)</f>
        <v>0</v>
      </c>
      <c r="J455" s="377">
        <f ca="1">IFERROR(__xludf.DUMMYFUNCTION("IMPORTRANGE(""https://docs.google.com/spreadsheets/d/1IYY_tgx_IHuhSq3AJ5eI5OnqOPBNLWSHKh2a30DoXe8/edit?usp=sharing"",""ภูเก็ต!J350"")"),0)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IFERROR(__xludf.DUMMYFUNCTION("IMPORTRANGE(""https://docs.google.com/spreadsheets/d/1IYY_tgx_IHuhSq3AJ5eI5OnqOPBNLWSHKh2a30DoXe8/edit?usp=sharing"",""ภูเก็ต!L350"")"),0)</f>
        <v>0</v>
      </c>
      <c r="M455" s="379"/>
      <c r="N455" s="379">
        <f ca="1">IFERROR(__xludf.DUMMYFUNCTION("IMPORTRANGE(""https://docs.google.com/spreadsheets/d/1IYY_tgx_IHuhSq3AJ5eI5OnqOPBNLWSHKh2a30DoXe8/edit?usp=sharing"",""ภูเก็ต!M350"")"),0)</f>
        <v>0</v>
      </c>
      <c r="O455" s="379">
        <f t="shared" ref="O455:O459" ca="1" si="116">+IF(L455&gt;0,N455*100/L455,0)</f>
        <v>0</v>
      </c>
      <c r="P455" s="379"/>
    </row>
    <row r="456" spans="1:16" ht="21.75" customHeight="1" x14ac:dyDescent="0.35">
      <c r="A456" s="162"/>
      <c r="B456" s="163"/>
      <c r="C456" s="163" t="s">
        <v>16</v>
      </c>
      <c r="D456" s="164" t="s">
        <v>38</v>
      </c>
      <c r="E456" s="165"/>
      <c r="F456" s="165"/>
      <c r="G456" s="166" t="s">
        <v>39</v>
      </c>
      <c r="H456" s="167" t="s">
        <v>12</v>
      </c>
      <c r="I456" s="168" t="s">
        <v>40</v>
      </c>
      <c r="J456" s="168"/>
      <c r="K456" s="169"/>
      <c r="L456" s="170">
        <f ca="1">IFERROR(__xludf.DUMMYFUNCTION("IMPORTRANGE(""https://docs.google.com/spreadsheets/d/1IYY_tgx_IHuhSq3AJ5eI5OnqOPBNLWSHKh2a30DoXe8/edit?usp=sharing"",""ภูเก็ต!L351"")"),0)</f>
        <v>0</v>
      </c>
      <c r="M456" s="170"/>
      <c r="N456" s="176">
        <f ca="1">IFERROR(__xludf.DUMMYFUNCTION("IMPORTRANGE(""https://docs.google.com/spreadsheets/d/1IYY_tgx_IHuhSq3AJ5eI5OnqOPBNLWSHKh2a30DoXe8/edit?usp=sharing"",""ภูเก็ต!M351"")"),0)</f>
        <v>0</v>
      </c>
      <c r="O456" s="176">
        <f t="shared" ca="1" si="116"/>
        <v>0</v>
      </c>
      <c r="P456" s="176"/>
    </row>
    <row r="457" spans="1:16" ht="21.75" customHeight="1" x14ac:dyDescent="0.35">
      <c r="A457" s="162"/>
      <c r="B457" s="163"/>
      <c r="C457" s="163"/>
      <c r="D457" s="172"/>
      <c r="E457" s="165"/>
      <c r="F457" s="165" t="s">
        <v>40</v>
      </c>
      <c r="G457" s="166" t="s">
        <v>41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IFERROR(__xludf.DUMMYFUNCTION("IMPORTRANGE(""https://docs.google.com/spreadsheets/d/1IYY_tgx_IHuhSq3AJ5eI5OnqOPBNLWSHKh2a30DoXe8/edit?usp=sharing"",""ภูเก็ต!L352"")"),0)</f>
        <v>0</v>
      </c>
      <c r="M457" s="171"/>
      <c r="N457" s="176">
        <f ca="1">IFERROR(__xludf.DUMMYFUNCTION("IMPORTRANGE(""https://docs.google.com/spreadsheets/d/1IYY_tgx_IHuhSq3AJ5eI5OnqOPBNLWSHKh2a30DoXe8/edit?usp=sharing"",""ภูเก็ต!M352"")"),0)</f>
        <v>0</v>
      </c>
      <c r="O457" s="176">
        <f t="shared" ca="1" si="116"/>
        <v>0</v>
      </c>
      <c r="P457" s="176"/>
    </row>
    <row r="458" spans="1:16" ht="21.75" customHeight="1" x14ac:dyDescent="0.35">
      <c r="A458" s="162"/>
      <c r="B458" s="163"/>
      <c r="C458" s="163"/>
      <c r="D458" s="172"/>
      <c r="E458" s="165"/>
      <c r="F458" s="165"/>
      <c r="G458" s="380" t="s">
        <v>129</v>
      </c>
      <c r="H458" s="167" t="s">
        <v>12</v>
      </c>
      <c r="I458" s="168"/>
      <c r="J458" s="168"/>
      <c r="K458" s="169"/>
      <c r="L458" s="176">
        <f ca="1">IFERROR(__xludf.DUMMYFUNCTION("IMPORTRANGE(""https://docs.google.com/spreadsheets/d/1IYY_tgx_IHuhSq3AJ5eI5OnqOPBNLWSHKh2a30DoXe8/edit?usp=sharing"",""ภูเก็ต!L353"")"),0)</f>
        <v>0</v>
      </c>
      <c r="M458" s="176"/>
      <c r="N458" s="176">
        <f ca="1">IFERROR(__xludf.DUMMYFUNCTION("IMPORTRANGE(""https://docs.google.com/spreadsheets/d/1IYY_tgx_IHuhSq3AJ5eI5OnqOPBNLWSHKh2a30DoXe8/edit?usp=sharing"",""ภูเก็ต!M353"")"),0)</f>
        <v>0</v>
      </c>
      <c r="O458" s="176">
        <f t="shared" ca="1" si="116"/>
        <v>0</v>
      </c>
      <c r="P458" s="176"/>
    </row>
    <row r="459" spans="1:16" ht="21.75" customHeight="1" x14ac:dyDescent="0.35">
      <c r="A459" s="162"/>
      <c r="B459" s="163"/>
      <c r="C459" s="163"/>
      <c r="D459" s="172"/>
      <c r="E459" s="165"/>
      <c r="F459" s="165"/>
      <c r="G459" s="380" t="s">
        <v>130</v>
      </c>
      <c r="H459" s="167" t="s">
        <v>12</v>
      </c>
      <c r="I459" s="168"/>
      <c r="J459" s="168"/>
      <c r="K459" s="169"/>
      <c r="L459" s="176">
        <f ca="1">IFERROR(__xludf.DUMMYFUNCTION("IMPORTRANGE(""https://docs.google.com/spreadsheets/d/1IYY_tgx_IHuhSq3AJ5eI5OnqOPBNLWSHKh2a30DoXe8/edit?usp=sharing"",""ภูเก็ต!L354"")"),0)</f>
        <v>0</v>
      </c>
      <c r="M459" s="176"/>
      <c r="N459" s="176">
        <f ca="1">IFERROR(__xludf.DUMMYFUNCTION("IMPORTRANGE(""https://docs.google.com/spreadsheets/d/1IYY_tgx_IHuhSq3AJ5eI5OnqOPBNLWSHKh2a30DoXe8/edit?usp=sharing"",""ภูเก็ต!M354"")"),0)</f>
        <v>0</v>
      </c>
      <c r="O459" s="176">
        <f t="shared" ca="1" si="116"/>
        <v>0</v>
      </c>
      <c r="P459" s="176"/>
    </row>
    <row r="460" spans="1:16" ht="21.75" customHeight="1" x14ac:dyDescent="0.35">
      <c r="A460" s="381"/>
      <c r="B460" s="382"/>
      <c r="C460" s="163"/>
      <c r="D460" s="383"/>
      <c r="E460" s="165"/>
      <c r="F460" s="165"/>
      <c r="G460" s="384" t="s">
        <v>131</v>
      </c>
      <c r="H460" s="167" t="s">
        <v>12</v>
      </c>
      <c r="I460" s="195"/>
      <c r="J460" s="195"/>
      <c r="K460" s="231"/>
      <c r="L460" s="176"/>
      <c r="M460" s="176"/>
      <c r="N460" s="173">
        <f ca="1">IFERROR(__xludf.DUMMYFUNCTION("IMPORTRANGE(""https://docs.google.com/spreadsheets/d/1IYY_tgx_IHuhSq3AJ5eI5OnqOPBNLWSHKh2a30DoXe8/edit?usp=sharing"",""ภูเก็ต!M355"")"),0)</f>
        <v>0</v>
      </c>
      <c r="O460" s="176"/>
      <c r="P460" s="176"/>
    </row>
    <row r="461" spans="1:16" ht="21.75" customHeight="1" x14ac:dyDescent="0.35">
      <c r="A461" s="381"/>
      <c r="B461" s="382"/>
      <c r="C461" s="163"/>
      <c r="D461" s="383"/>
      <c r="E461" s="165"/>
      <c r="F461" s="165"/>
      <c r="G461" s="384" t="s">
        <v>132</v>
      </c>
      <c r="H461" s="167" t="s">
        <v>12</v>
      </c>
      <c r="I461" s="195"/>
      <c r="J461" s="195"/>
      <c r="K461" s="231"/>
      <c r="L461" s="176"/>
      <c r="M461" s="176"/>
      <c r="N461" s="173">
        <f ca="1">IFERROR(__xludf.DUMMYFUNCTION("IMPORTRANGE(""https://docs.google.com/spreadsheets/d/1IYY_tgx_IHuhSq3AJ5eI5OnqOPBNLWSHKh2a30DoXe8/edit?usp=sharing"",""ภูเก็ต!M356"")"),0)</f>
        <v>0</v>
      </c>
      <c r="O461" s="176"/>
      <c r="P461" s="176"/>
    </row>
    <row r="462" spans="1:16" ht="21.75" customHeight="1" x14ac:dyDescent="0.35">
      <c r="A462" s="381"/>
      <c r="B462" s="382"/>
      <c r="C462" s="163"/>
      <c r="D462" s="383"/>
      <c r="E462" s="165"/>
      <c r="F462" s="165"/>
      <c r="G462" s="384" t="s">
        <v>133</v>
      </c>
      <c r="H462" s="167" t="s">
        <v>12</v>
      </c>
      <c r="I462" s="195"/>
      <c r="J462" s="195"/>
      <c r="K462" s="231"/>
      <c r="L462" s="176"/>
      <c r="M462" s="176"/>
      <c r="N462" s="385">
        <f ca="1">IFERROR(__xludf.DUMMYFUNCTION("IMPORTRANGE(""https://docs.google.com/spreadsheets/d/1IYY_tgx_IHuhSq3AJ5eI5OnqOPBNLWSHKh2a30DoXe8/edit?usp=sharing"",""ภูเก็ต!M357"")"),0)</f>
        <v>0</v>
      </c>
      <c r="O462" s="176"/>
      <c r="P462" s="176"/>
    </row>
    <row r="463" spans="1:16" ht="21.75" customHeight="1" x14ac:dyDescent="0.35">
      <c r="A463" s="381"/>
      <c r="B463" s="382"/>
      <c r="C463" s="163"/>
      <c r="D463" s="383"/>
      <c r="E463" s="165"/>
      <c r="F463" s="165"/>
      <c r="G463" s="384" t="s">
        <v>134</v>
      </c>
      <c r="H463" s="167" t="s">
        <v>12</v>
      </c>
      <c r="I463" s="195"/>
      <c r="J463" s="195"/>
      <c r="K463" s="231"/>
      <c r="L463" s="176"/>
      <c r="M463" s="176"/>
      <c r="N463" s="385">
        <f ca="1">IFERROR(__xludf.DUMMYFUNCTION("IMPORTRANGE(""https://docs.google.com/spreadsheets/d/1IYY_tgx_IHuhSq3AJ5eI5OnqOPBNLWSHKh2a30DoXe8/edit?usp=sharing"",""ภูเก็ต!M358"")"),0)</f>
        <v>0</v>
      </c>
      <c r="O463" s="176"/>
      <c r="P463" s="176"/>
    </row>
    <row r="464" spans="1:16" ht="21.75" customHeight="1" x14ac:dyDescent="0.35">
      <c r="A464" s="183"/>
      <c r="B464" s="184"/>
      <c r="C464" s="421" t="s">
        <v>166</v>
      </c>
      <c r="D464" s="421"/>
      <c r="E464" s="422"/>
      <c r="F464" s="422"/>
      <c r="G464" s="423"/>
      <c r="H464" s="273" t="s">
        <v>122</v>
      </c>
      <c r="I464" s="274">
        <f ca="1">IFERROR(__xludf.DUMMYFUNCTION("IMPORTRANGE(""https://docs.google.com/spreadsheets/d/1IYY_tgx_IHuhSq3AJ5eI5OnqOPBNLWSHKh2a30DoXe8/edit?usp=sharing"",""ภูเก็ต!I359"")"),0)</f>
        <v>0</v>
      </c>
      <c r="J464" s="274">
        <f ca="1">IFERROR(__xludf.DUMMYFUNCTION("IMPORTRANGE(""https://docs.google.com/spreadsheets/d/1IYY_tgx_IHuhSq3AJ5eI5OnqOPBNLWSHKh2a30DoXe8/edit?usp=sharing"",""ภูเก็ต!J359"")"),0)</f>
        <v>0</v>
      </c>
      <c r="K464" s="275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1" t="s">
        <v>167</v>
      </c>
      <c r="F465" s="203"/>
      <c r="G465" s="204"/>
      <c r="H465" s="424" t="s">
        <v>122</v>
      </c>
      <c r="I465" s="425">
        <f ca="1">IFERROR(__xludf.DUMMYFUNCTION("IMPORTRANGE(""https://docs.google.com/spreadsheets/d/1IYY_tgx_IHuhSq3AJ5eI5OnqOPBNLWSHKh2a30DoXe8/edit?usp=sharing"",""ภูเก็ต!I360"")"),0)</f>
        <v>0</v>
      </c>
      <c r="J465" s="426">
        <f ca="1">IFERROR(__xludf.DUMMYFUNCTION("IMPORTRANGE(""https://docs.google.com/spreadsheets/d/1IYY_tgx_IHuhSq3AJ5eI5OnqOPBNLWSHKh2a30DoXe8/edit?usp=sharing"",""ภูเก็ต!J360"")"),0)</f>
        <v>0</v>
      </c>
      <c r="K465" s="209">
        <f t="shared" ca="1" si="117"/>
        <v>0</v>
      </c>
      <c r="L465" s="189"/>
      <c r="M465" s="189"/>
      <c r="N465" s="189"/>
      <c r="O465" s="189"/>
      <c r="P465" s="189"/>
    </row>
    <row r="466" spans="1:16" ht="21.75" customHeight="1" x14ac:dyDescent="0.35">
      <c r="A466" s="408"/>
      <c r="B466" s="409"/>
      <c r="C466" s="409"/>
      <c r="D466" s="410"/>
      <c r="E466" s="203"/>
      <c r="F466" s="203"/>
      <c r="G466" s="204"/>
      <c r="H466" s="424" t="s">
        <v>36</v>
      </c>
      <c r="I466" s="425">
        <f ca="1">IFERROR(__xludf.DUMMYFUNCTION("IMPORTRANGE(""https://docs.google.com/spreadsheets/d/1IYY_tgx_IHuhSq3AJ5eI5OnqOPBNLWSHKh2a30DoXe8/edit?usp=sharing"",""ภูเก็ต!I361"")"),0)</f>
        <v>0</v>
      </c>
      <c r="J466" s="426">
        <f ca="1">IFERROR(__xludf.DUMMYFUNCTION("IMPORTRANGE(""https://docs.google.com/spreadsheets/d/1IYY_tgx_IHuhSq3AJ5eI5OnqOPBNLWSHKh2a30DoXe8/edit?usp=sharing"",""ภูเก็ต!J361"")"),0)</f>
        <v>0</v>
      </c>
      <c r="K466" s="209">
        <f t="shared" ca="1" si="117"/>
        <v>0</v>
      </c>
      <c r="L466" s="189"/>
      <c r="M466" s="189"/>
      <c r="N466" s="189"/>
      <c r="O466" s="189"/>
      <c r="P466" s="189"/>
    </row>
    <row r="467" spans="1:16" ht="21.75" customHeight="1" x14ac:dyDescent="0.35">
      <c r="A467" s="408"/>
      <c r="B467" s="409"/>
      <c r="C467" s="409"/>
      <c r="D467" s="410"/>
      <c r="E467" s="203"/>
      <c r="F467" s="396" t="s">
        <v>168</v>
      </c>
      <c r="G467" s="427"/>
      <c r="H467" s="428" t="s">
        <v>122</v>
      </c>
      <c r="I467" s="210">
        <f ca="1">IFERROR(__xludf.DUMMYFUNCTION("IMPORTRANGE(""https://docs.google.com/spreadsheets/d/1IYY_tgx_IHuhSq3AJ5eI5OnqOPBNLWSHKh2a30DoXe8/edit?usp=sharing"",""ภูเก็ต!I362"")"),0)</f>
        <v>0</v>
      </c>
      <c r="J467" s="196">
        <f ca="1">IFERROR(__xludf.DUMMYFUNCTION("IMPORTRANGE(""https://docs.google.com/spreadsheets/d/1IYY_tgx_IHuhSq3AJ5eI5OnqOPBNLWSHKh2a30DoXe8/edit?usp=sharing"",""ภูเก็ต!J362"")"),0)</f>
        <v>0</v>
      </c>
      <c r="K467" s="169">
        <f t="shared" ca="1" si="117"/>
        <v>0</v>
      </c>
      <c r="L467" s="189"/>
      <c r="M467" s="189"/>
      <c r="N467" s="189"/>
      <c r="O467" s="189"/>
      <c r="P467" s="189"/>
    </row>
    <row r="468" spans="1:16" ht="21.75" customHeight="1" x14ac:dyDescent="0.35">
      <c r="A468" s="408"/>
      <c r="B468" s="409"/>
      <c r="C468" s="409"/>
      <c r="D468" s="410"/>
      <c r="E468" s="203"/>
      <c r="F468" s="203"/>
      <c r="G468" s="427"/>
      <c r="H468" s="428" t="s">
        <v>36</v>
      </c>
      <c r="I468" s="210">
        <f ca="1">IFERROR(__xludf.DUMMYFUNCTION("IMPORTRANGE(""https://docs.google.com/spreadsheets/d/1IYY_tgx_IHuhSq3AJ5eI5OnqOPBNLWSHKh2a30DoXe8/edit?usp=sharing"",""ภูเก็ต!I363"")"),0)</f>
        <v>0</v>
      </c>
      <c r="J468" s="196">
        <f ca="1">IFERROR(__xludf.DUMMYFUNCTION("IMPORTRANGE(""https://docs.google.com/spreadsheets/d/1IYY_tgx_IHuhSq3AJ5eI5OnqOPBNLWSHKh2a30DoXe8/edit?usp=sharing"",""ภูเก็ต!J363"")"),0)</f>
        <v>0</v>
      </c>
      <c r="K468" s="169">
        <f t="shared" ca="1" si="117"/>
        <v>0</v>
      </c>
      <c r="L468" s="189"/>
      <c r="M468" s="189"/>
      <c r="N468" s="189"/>
      <c r="O468" s="189"/>
      <c r="P468" s="189"/>
    </row>
    <row r="469" spans="1:16" ht="21.75" customHeight="1" x14ac:dyDescent="0.35">
      <c r="A469" s="408"/>
      <c r="B469" s="409"/>
      <c r="C469" s="409"/>
      <c r="D469" s="410"/>
      <c r="E469" s="203"/>
      <c r="F469" s="396" t="s">
        <v>169</v>
      </c>
      <c r="G469" s="427"/>
      <c r="H469" s="428" t="s">
        <v>122</v>
      </c>
      <c r="I469" s="210">
        <f ca="1">IFERROR(__xludf.DUMMYFUNCTION("IMPORTRANGE(""https://docs.google.com/spreadsheets/d/1IYY_tgx_IHuhSq3AJ5eI5OnqOPBNLWSHKh2a30DoXe8/edit?usp=sharing"",""ภูเก็ต!I364"")"),0)</f>
        <v>0</v>
      </c>
      <c r="J469" s="196">
        <f ca="1">IFERROR(__xludf.DUMMYFUNCTION("IMPORTRANGE(""https://docs.google.com/spreadsheets/d/1IYY_tgx_IHuhSq3AJ5eI5OnqOPBNLWSHKh2a30DoXe8/edit?usp=sharing"",""ภูเก็ต!J364"")"),0)</f>
        <v>0</v>
      </c>
      <c r="K469" s="169">
        <f t="shared" ca="1" si="117"/>
        <v>0</v>
      </c>
      <c r="L469" s="189"/>
      <c r="M469" s="189"/>
      <c r="N469" s="189"/>
      <c r="O469" s="189"/>
      <c r="P469" s="189"/>
    </row>
    <row r="470" spans="1:16" ht="21.75" customHeight="1" x14ac:dyDescent="0.35">
      <c r="A470" s="408"/>
      <c r="B470" s="409"/>
      <c r="C470" s="409"/>
      <c r="D470" s="410"/>
      <c r="E470" s="203"/>
      <c r="F470" s="203"/>
      <c r="G470" s="427"/>
      <c r="H470" s="428" t="s">
        <v>36</v>
      </c>
      <c r="I470" s="210">
        <f ca="1">IFERROR(__xludf.DUMMYFUNCTION("IMPORTRANGE(""https://docs.google.com/spreadsheets/d/1IYY_tgx_IHuhSq3AJ5eI5OnqOPBNLWSHKh2a30DoXe8/edit?usp=sharing"",""ภูเก็ต!I365"")"),0)</f>
        <v>0</v>
      </c>
      <c r="J470" s="196">
        <f ca="1">IFERROR(__xludf.DUMMYFUNCTION("IMPORTRANGE(""https://docs.google.com/spreadsheets/d/1IYY_tgx_IHuhSq3AJ5eI5OnqOPBNLWSHKh2a30DoXe8/edit?usp=sharing"",""ภูเก็ต!J365"")"),0)</f>
        <v>0</v>
      </c>
      <c r="K470" s="169">
        <f t="shared" ca="1" si="117"/>
        <v>0</v>
      </c>
      <c r="L470" s="189"/>
      <c r="M470" s="189"/>
      <c r="N470" s="189"/>
      <c r="O470" s="189"/>
      <c r="P470" s="189"/>
    </row>
    <row r="471" spans="1:16" ht="21.75" customHeight="1" x14ac:dyDescent="0.35">
      <c r="A471" s="408"/>
      <c r="B471" s="409"/>
      <c r="C471" s="409"/>
      <c r="D471" s="410"/>
      <c r="E471" s="203"/>
      <c r="F471" s="396" t="s">
        <v>170</v>
      </c>
      <c r="G471" s="427"/>
      <c r="H471" s="428" t="s">
        <v>122</v>
      </c>
      <c r="I471" s="210">
        <f ca="1">IFERROR(__xludf.DUMMYFUNCTION("IMPORTRANGE(""https://docs.google.com/spreadsheets/d/1IYY_tgx_IHuhSq3AJ5eI5OnqOPBNLWSHKh2a30DoXe8/edit?usp=sharing"",""ภูเก็ต!I366"")"),0)</f>
        <v>0</v>
      </c>
      <c r="J471" s="196">
        <f ca="1">IFERROR(__xludf.DUMMYFUNCTION("IMPORTRANGE(""https://docs.google.com/spreadsheets/d/1IYY_tgx_IHuhSq3AJ5eI5OnqOPBNLWSHKh2a30DoXe8/edit?usp=sharing"",""ภูเก็ต!J366"")"),0)</f>
        <v>0</v>
      </c>
      <c r="K471" s="169">
        <f t="shared" ca="1" si="117"/>
        <v>0</v>
      </c>
      <c r="L471" s="189"/>
      <c r="M471" s="189"/>
      <c r="N471" s="189"/>
      <c r="O471" s="189"/>
      <c r="P471" s="189"/>
    </row>
    <row r="472" spans="1:16" ht="21.75" customHeight="1" x14ac:dyDescent="0.35">
      <c r="A472" s="408"/>
      <c r="B472" s="409"/>
      <c r="C472" s="409"/>
      <c r="D472" s="410"/>
      <c r="E472" s="203"/>
      <c r="F472" s="203"/>
      <c r="G472" s="203"/>
      <c r="H472" s="428" t="s">
        <v>36</v>
      </c>
      <c r="I472" s="210">
        <f ca="1">IFERROR(__xludf.DUMMYFUNCTION("IMPORTRANGE(""https://docs.google.com/spreadsheets/d/1IYY_tgx_IHuhSq3AJ5eI5OnqOPBNLWSHKh2a30DoXe8/edit?usp=sharing"",""ภูเก็ต!I367"")"),0)</f>
        <v>0</v>
      </c>
      <c r="J472" s="196">
        <f ca="1">IFERROR(__xludf.DUMMYFUNCTION("IMPORTRANGE(""https://docs.google.com/spreadsheets/d/1IYY_tgx_IHuhSq3AJ5eI5OnqOPBNLWSHKh2a30DoXe8/edit?usp=sharing"",""ภูเก็ต!J367"")"),0)</f>
        <v>0</v>
      </c>
      <c r="K472" s="169">
        <f t="shared" ca="1" si="117"/>
        <v>0</v>
      </c>
      <c r="L472" s="189"/>
      <c r="M472" s="189"/>
      <c r="N472" s="189"/>
      <c r="O472" s="189"/>
      <c r="P472" s="189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3"/>
      <c r="G473" s="204"/>
      <c r="H473" s="424" t="s">
        <v>122</v>
      </c>
      <c r="I473" s="426">
        <f ca="1">IFERROR(__xludf.DUMMYFUNCTION("IMPORTRANGE(""https://docs.google.com/spreadsheets/d/1IYY_tgx_IHuhSq3AJ5eI5OnqOPBNLWSHKh2a30DoXe8/edit?usp=sharing"",""ภูเก็ต!I368"")"),0)</f>
        <v>0</v>
      </c>
      <c r="J473" s="426">
        <f ca="1">IFERROR(__xludf.DUMMYFUNCTION("IMPORTRANGE(""https://docs.google.com/spreadsheets/d/1IYY_tgx_IHuhSq3AJ5eI5OnqOPBNLWSHKh2a30DoXe8/edit?usp=sharing"",""ภูเก็ต!J368"")"),0)</f>
        <v>0</v>
      </c>
      <c r="K473" s="209">
        <f t="shared" ca="1" si="117"/>
        <v>0</v>
      </c>
      <c r="L473" s="189"/>
      <c r="M473" s="189"/>
      <c r="N473" s="189"/>
      <c r="O473" s="189"/>
      <c r="P473" s="189"/>
    </row>
    <row r="474" spans="1:16" ht="21.75" customHeight="1" x14ac:dyDescent="0.35">
      <c r="A474" s="408"/>
      <c r="B474" s="409"/>
      <c r="C474" s="409"/>
      <c r="D474" s="410"/>
      <c r="E474" s="203"/>
      <c r="F474" s="203"/>
      <c r="G474" s="204"/>
      <c r="H474" s="424" t="s">
        <v>36</v>
      </c>
      <c r="I474" s="425">
        <f ca="1">IFERROR(__xludf.DUMMYFUNCTION("IMPORTRANGE(""https://docs.google.com/spreadsheets/d/1IYY_tgx_IHuhSq3AJ5eI5OnqOPBNLWSHKh2a30DoXe8/edit?usp=sharing"",""ภูเก็ต!I369"")"),0)</f>
        <v>0</v>
      </c>
      <c r="J474" s="426">
        <f ca="1">IFERROR(__xludf.DUMMYFUNCTION("IMPORTRANGE(""https://docs.google.com/spreadsheets/d/1IYY_tgx_IHuhSq3AJ5eI5OnqOPBNLWSHKh2a30DoXe8/edit?usp=sharing"",""ภูเก็ต!J369"")"),0)</f>
        <v>0</v>
      </c>
      <c r="K474" s="169">
        <f t="shared" ca="1" si="117"/>
        <v>0</v>
      </c>
      <c r="L474" s="189"/>
      <c r="M474" s="189"/>
      <c r="N474" s="189"/>
      <c r="O474" s="189"/>
      <c r="P474" s="189"/>
    </row>
    <row r="475" spans="1:16" ht="21.75" customHeight="1" x14ac:dyDescent="0.35">
      <c r="A475" s="408"/>
      <c r="B475" s="409"/>
      <c r="C475" s="409"/>
      <c r="D475" s="410"/>
      <c r="E475" s="203"/>
      <c r="F475" s="202" t="s">
        <v>172</v>
      </c>
      <c r="G475" s="427"/>
      <c r="H475" s="428" t="s">
        <v>122</v>
      </c>
      <c r="I475" s="210">
        <f ca="1">IFERROR(__xludf.DUMMYFUNCTION("IMPORTRANGE(""https://docs.google.com/spreadsheets/d/1IYY_tgx_IHuhSq3AJ5eI5OnqOPBNLWSHKh2a30DoXe8/edit?usp=sharing"",""ภูเก็ต!I370"")"),0)</f>
        <v>0</v>
      </c>
      <c r="J475" s="196">
        <f ca="1">IFERROR(__xludf.DUMMYFUNCTION("IMPORTRANGE(""https://docs.google.com/spreadsheets/d/1IYY_tgx_IHuhSq3AJ5eI5OnqOPBNLWSHKh2a30DoXe8/edit?usp=sharing"",""ภูเก็ต!J370"")"),0)</f>
        <v>0</v>
      </c>
      <c r="K475" s="169">
        <f t="shared" ca="1" si="117"/>
        <v>0</v>
      </c>
      <c r="L475" s="189"/>
      <c r="M475" s="189"/>
      <c r="N475" s="189"/>
      <c r="O475" s="189"/>
      <c r="P475" s="189"/>
    </row>
    <row r="476" spans="1:16" ht="21.75" customHeight="1" x14ac:dyDescent="0.35">
      <c r="A476" s="408"/>
      <c r="B476" s="409"/>
      <c r="C476" s="409"/>
      <c r="D476" s="410"/>
      <c r="E476" s="203"/>
      <c r="F476" s="203"/>
      <c r="G476" s="427"/>
      <c r="H476" s="428" t="s">
        <v>36</v>
      </c>
      <c r="I476" s="210">
        <f ca="1">IFERROR(__xludf.DUMMYFUNCTION("IMPORTRANGE(""https://docs.google.com/spreadsheets/d/1IYY_tgx_IHuhSq3AJ5eI5OnqOPBNLWSHKh2a30DoXe8/edit?usp=sharing"",""ภูเก็ต!I371"")"),0)</f>
        <v>0</v>
      </c>
      <c r="J476" s="196">
        <f ca="1">IFERROR(__xludf.DUMMYFUNCTION("IMPORTRANGE(""https://docs.google.com/spreadsheets/d/1IYY_tgx_IHuhSq3AJ5eI5OnqOPBNLWSHKh2a30DoXe8/edit?usp=sharing"",""ภูเก็ต!J371"")"),0)</f>
        <v>0</v>
      </c>
      <c r="K476" s="169">
        <f t="shared" ca="1" si="117"/>
        <v>0</v>
      </c>
      <c r="L476" s="189"/>
      <c r="M476" s="189"/>
      <c r="N476" s="189"/>
      <c r="O476" s="189"/>
      <c r="P476" s="189"/>
    </row>
    <row r="477" spans="1:16" ht="21.75" customHeight="1" x14ac:dyDescent="0.35">
      <c r="A477" s="408"/>
      <c r="B477" s="409"/>
      <c r="C477" s="409"/>
      <c r="D477" s="410"/>
      <c r="E477" s="203"/>
      <c r="F477" s="202" t="s">
        <v>173</v>
      </c>
      <c r="G477" s="427"/>
      <c r="H477" s="428" t="s">
        <v>122</v>
      </c>
      <c r="I477" s="210">
        <f ca="1">IFERROR(__xludf.DUMMYFUNCTION("IMPORTRANGE(""https://docs.google.com/spreadsheets/d/1IYY_tgx_IHuhSq3AJ5eI5OnqOPBNLWSHKh2a30DoXe8/edit?usp=sharing"",""ภูเก็ต!I372"")"),0)</f>
        <v>0</v>
      </c>
      <c r="J477" s="196">
        <f ca="1">IFERROR(__xludf.DUMMYFUNCTION("IMPORTRANGE(""https://docs.google.com/spreadsheets/d/1IYY_tgx_IHuhSq3AJ5eI5OnqOPBNLWSHKh2a30DoXe8/edit?usp=sharing"",""ภูเก็ต!J372"")"),0)</f>
        <v>0</v>
      </c>
      <c r="K477" s="169">
        <f t="shared" ca="1" si="117"/>
        <v>0</v>
      </c>
      <c r="L477" s="189"/>
      <c r="M477" s="189"/>
      <c r="N477" s="189"/>
      <c r="O477" s="189"/>
      <c r="P477" s="189"/>
    </row>
    <row r="478" spans="1:16" ht="21.75" customHeight="1" x14ac:dyDescent="0.35">
      <c r="A478" s="408"/>
      <c r="B478" s="409"/>
      <c r="C478" s="409"/>
      <c r="D478" s="410"/>
      <c r="E478" s="203"/>
      <c r="F478" s="203"/>
      <c r="G478" s="427"/>
      <c r="H478" s="428" t="s">
        <v>36</v>
      </c>
      <c r="I478" s="210">
        <f ca="1">IFERROR(__xludf.DUMMYFUNCTION("IMPORTRANGE(""https://docs.google.com/spreadsheets/d/1IYY_tgx_IHuhSq3AJ5eI5OnqOPBNLWSHKh2a30DoXe8/edit?usp=sharing"",""ภูเก็ต!I373"")"),0)</f>
        <v>0</v>
      </c>
      <c r="J478" s="196">
        <f ca="1">IFERROR(__xludf.DUMMYFUNCTION("IMPORTRANGE(""https://docs.google.com/spreadsheets/d/1IYY_tgx_IHuhSq3AJ5eI5OnqOPBNLWSHKh2a30DoXe8/edit?usp=sharing"",""ภูเก็ต!J373"")"),0)</f>
        <v>0</v>
      </c>
      <c r="K478" s="169">
        <f t="shared" ca="1" si="117"/>
        <v>0</v>
      </c>
      <c r="L478" s="189"/>
      <c r="M478" s="189"/>
      <c r="N478" s="189"/>
      <c r="O478" s="189"/>
      <c r="P478" s="189"/>
    </row>
    <row r="479" spans="1:16" ht="21.75" customHeight="1" x14ac:dyDescent="0.35">
      <c r="A479" s="408"/>
      <c r="B479" s="409"/>
      <c r="C479" s="409"/>
      <c r="D479" s="410"/>
      <c r="E479" s="203"/>
      <c r="F479" s="202" t="s">
        <v>174</v>
      </c>
      <c r="G479" s="427"/>
      <c r="H479" s="428" t="s">
        <v>122</v>
      </c>
      <c r="I479" s="210">
        <f ca="1">IFERROR(__xludf.DUMMYFUNCTION("IMPORTRANGE(""https://docs.google.com/spreadsheets/d/1IYY_tgx_IHuhSq3AJ5eI5OnqOPBNLWSHKh2a30DoXe8/edit?usp=sharing"",""ภูเก็ต!I374"")"),0)</f>
        <v>0</v>
      </c>
      <c r="J479" s="196">
        <f ca="1">IFERROR(__xludf.DUMMYFUNCTION("IMPORTRANGE(""https://docs.google.com/spreadsheets/d/1IYY_tgx_IHuhSq3AJ5eI5OnqOPBNLWSHKh2a30DoXe8/edit?usp=sharing"",""ภูเก็ต!J374"")"),0)</f>
        <v>0</v>
      </c>
      <c r="K479" s="169">
        <f t="shared" ca="1" si="117"/>
        <v>0</v>
      </c>
      <c r="L479" s="189"/>
      <c r="M479" s="189"/>
      <c r="N479" s="189"/>
      <c r="O479" s="189"/>
      <c r="P479" s="189"/>
    </row>
    <row r="480" spans="1:16" ht="21.75" customHeight="1" x14ac:dyDescent="0.35">
      <c r="A480" s="408"/>
      <c r="B480" s="409"/>
      <c r="C480" s="409"/>
      <c r="D480" s="410"/>
      <c r="E480" s="203"/>
      <c r="F480" s="203"/>
      <c r="G480" s="204"/>
      <c r="H480" s="428" t="s">
        <v>36</v>
      </c>
      <c r="I480" s="210">
        <f ca="1">IFERROR(__xludf.DUMMYFUNCTION("IMPORTRANGE(""https://docs.google.com/spreadsheets/d/1IYY_tgx_IHuhSq3AJ5eI5OnqOPBNLWSHKh2a30DoXe8/edit?usp=sharing"",""ภูเก็ต!I375"")"),0)</f>
        <v>0</v>
      </c>
      <c r="J480" s="196">
        <f ca="1">IFERROR(__xludf.DUMMYFUNCTION("IMPORTRANGE(""https://docs.google.com/spreadsheets/d/1IYY_tgx_IHuhSq3AJ5eI5OnqOPBNLWSHKh2a30DoXe8/edit?usp=sharing"",""ภูเก็ต!J375"")"),0)</f>
        <v>0</v>
      </c>
      <c r="K480" s="169">
        <f t="shared" ca="1" si="117"/>
        <v>0</v>
      </c>
      <c r="L480" s="189"/>
      <c r="M480" s="189"/>
      <c r="N480" s="189"/>
      <c r="O480" s="189"/>
      <c r="P480" s="189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IFERROR(__xludf.DUMMYFUNCTION("IMPORTRANGE(""https://docs.google.com/spreadsheets/d/1IYY_tgx_IHuhSq3AJ5eI5OnqOPBNLWSHKh2a30DoXe8/edit?usp=sharing"",""ภูเก็ต!I376"")"),0)</f>
        <v>0</v>
      </c>
      <c r="J481" s="426">
        <f ca="1">IFERROR(__xludf.DUMMYFUNCTION("IMPORTRANGE(""https://docs.google.com/spreadsheets/d/1IYY_tgx_IHuhSq3AJ5eI5OnqOPBNLWSHKh2a30DoXe8/edit?usp=sharing"",""ภูเก็ต!J376"")"),0)</f>
        <v>0</v>
      </c>
      <c r="K481" s="209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3"/>
      <c r="F482" s="203"/>
      <c r="G482" s="204"/>
      <c r="H482" s="424" t="s">
        <v>36</v>
      </c>
      <c r="I482" s="425">
        <f ca="1">IFERROR(__xludf.DUMMYFUNCTION("IMPORTRANGE(""https://docs.google.com/spreadsheets/d/1IYY_tgx_IHuhSq3AJ5eI5OnqOPBNLWSHKh2a30DoXe8/edit?usp=sharing"",""ภูเก็ต!I377"")"),0)</f>
        <v>0</v>
      </c>
      <c r="J482" s="426">
        <f ca="1">IFERROR(__xludf.DUMMYFUNCTION("IMPORTRANGE(""https://docs.google.com/spreadsheets/d/1IYY_tgx_IHuhSq3AJ5eI5OnqOPBNLWSHKh2a30DoXe8/edit?usp=sharing"",""ภูเก็ต!J377"")"),0)</f>
        <v>0</v>
      </c>
      <c r="K482" s="169">
        <f t="shared" ca="1" si="117"/>
        <v>0</v>
      </c>
      <c r="L482" s="189"/>
      <c r="M482" s="189"/>
      <c r="N482" s="189"/>
      <c r="O482" s="189"/>
      <c r="P482" s="189"/>
    </row>
    <row r="483" spans="1:16" ht="21.75" customHeight="1" x14ac:dyDescent="0.35">
      <c r="A483" s="408"/>
      <c r="B483" s="409"/>
      <c r="C483" s="409"/>
      <c r="D483" s="410"/>
      <c r="E483" s="203"/>
      <c r="F483" s="202" t="s">
        <v>176</v>
      </c>
      <c r="G483" s="427"/>
      <c r="H483" s="428" t="s">
        <v>122</v>
      </c>
      <c r="I483" s="210">
        <f ca="1">IFERROR(__xludf.DUMMYFUNCTION("IMPORTRANGE(""https://docs.google.com/spreadsheets/d/1IYY_tgx_IHuhSq3AJ5eI5OnqOPBNLWSHKh2a30DoXe8/edit?usp=sharing"",""ภูเก็ต!I378"")"),0)</f>
        <v>0</v>
      </c>
      <c r="J483" s="196">
        <f ca="1">IFERROR(__xludf.DUMMYFUNCTION("IMPORTRANGE(""https://docs.google.com/spreadsheets/d/1IYY_tgx_IHuhSq3AJ5eI5OnqOPBNLWSHKh2a30DoXe8/edit?usp=sharing"",""ภูเก็ต!J378"")"),0)</f>
        <v>0</v>
      </c>
      <c r="K483" s="169">
        <f t="shared" ca="1" si="117"/>
        <v>0</v>
      </c>
      <c r="L483" s="189"/>
      <c r="M483" s="189"/>
      <c r="N483" s="189"/>
      <c r="O483" s="189"/>
      <c r="P483" s="189"/>
    </row>
    <row r="484" spans="1:16" ht="21.75" customHeight="1" x14ac:dyDescent="0.35">
      <c r="A484" s="408"/>
      <c r="B484" s="409"/>
      <c r="C484" s="409"/>
      <c r="D484" s="410"/>
      <c r="E484" s="203"/>
      <c r="F484" s="203"/>
      <c r="G484" s="427"/>
      <c r="H484" s="428" t="s">
        <v>36</v>
      </c>
      <c r="I484" s="210">
        <f ca="1">IFERROR(__xludf.DUMMYFUNCTION("IMPORTRANGE(""https://docs.google.com/spreadsheets/d/1IYY_tgx_IHuhSq3AJ5eI5OnqOPBNLWSHKh2a30DoXe8/edit?usp=sharing"",""ภูเก็ต!I379"")"),0)</f>
        <v>0</v>
      </c>
      <c r="J484" s="196">
        <f ca="1">IFERROR(__xludf.DUMMYFUNCTION("IMPORTRANGE(""https://docs.google.com/spreadsheets/d/1IYY_tgx_IHuhSq3AJ5eI5OnqOPBNLWSHKh2a30DoXe8/edit?usp=sharing"",""ภูเก็ต!J379"")"),0)</f>
        <v>0</v>
      </c>
      <c r="K484" s="169">
        <f t="shared" ca="1" si="117"/>
        <v>0</v>
      </c>
      <c r="L484" s="189"/>
      <c r="M484" s="189"/>
      <c r="N484" s="189"/>
      <c r="O484" s="189"/>
      <c r="P484" s="189"/>
    </row>
    <row r="485" spans="1:16" ht="21.75" customHeight="1" x14ac:dyDescent="0.35">
      <c r="A485" s="408"/>
      <c r="B485" s="409"/>
      <c r="C485" s="409"/>
      <c r="D485" s="410"/>
      <c r="E485" s="203"/>
      <c r="F485" s="202" t="s">
        <v>177</v>
      </c>
      <c r="G485" s="427"/>
      <c r="H485" s="428" t="s">
        <v>122</v>
      </c>
      <c r="I485" s="210">
        <f ca="1">IFERROR(__xludf.DUMMYFUNCTION("IMPORTRANGE(""https://docs.google.com/spreadsheets/d/1IYY_tgx_IHuhSq3AJ5eI5OnqOPBNLWSHKh2a30DoXe8/edit?usp=sharing"",""ภูเก็ต!I380"")"),0)</f>
        <v>0</v>
      </c>
      <c r="J485" s="196">
        <f ca="1">IFERROR(__xludf.DUMMYFUNCTION("IMPORTRANGE(""https://docs.google.com/spreadsheets/d/1IYY_tgx_IHuhSq3AJ5eI5OnqOPBNLWSHKh2a30DoXe8/edit?usp=sharing"",""ภูเก็ต!J380"")"),0)</f>
        <v>0</v>
      </c>
      <c r="K485" s="169">
        <f t="shared" ca="1" si="117"/>
        <v>0</v>
      </c>
      <c r="L485" s="189"/>
      <c r="M485" s="189"/>
      <c r="N485" s="189"/>
      <c r="O485" s="189"/>
      <c r="P485" s="189"/>
    </row>
    <row r="486" spans="1:16" ht="21.75" customHeight="1" x14ac:dyDescent="0.35">
      <c r="A486" s="408"/>
      <c r="B486" s="409"/>
      <c r="C486" s="409"/>
      <c r="D486" s="410"/>
      <c r="E486" s="203"/>
      <c r="F486" s="203"/>
      <c r="G486" s="427"/>
      <c r="H486" s="428" t="s">
        <v>36</v>
      </c>
      <c r="I486" s="210">
        <f ca="1">IFERROR(__xludf.DUMMYFUNCTION("IMPORTRANGE(""https://docs.google.com/spreadsheets/d/1IYY_tgx_IHuhSq3AJ5eI5OnqOPBNLWSHKh2a30DoXe8/edit?usp=sharing"",""ภูเก็ต!I381"")"),0)</f>
        <v>0</v>
      </c>
      <c r="J486" s="196">
        <f ca="1">IFERROR(__xludf.DUMMYFUNCTION("IMPORTRANGE(""https://docs.google.com/spreadsheets/d/1IYY_tgx_IHuhSq3AJ5eI5OnqOPBNLWSHKh2a30DoXe8/edit?usp=sharing"",""ภูเก็ต!J381"")"),0)</f>
        <v>0</v>
      </c>
      <c r="K486" s="169">
        <f t="shared" ca="1" si="117"/>
        <v>0</v>
      </c>
      <c r="L486" s="189"/>
      <c r="M486" s="189"/>
      <c r="N486" s="189"/>
      <c r="O486" s="189"/>
      <c r="P486" s="189"/>
    </row>
    <row r="487" spans="1:16" ht="21.75" customHeight="1" x14ac:dyDescent="0.35">
      <c r="A487" s="408"/>
      <c r="B487" s="409"/>
      <c r="C487" s="409"/>
      <c r="D487" s="410"/>
      <c r="E487" s="203"/>
      <c r="F487" s="202" t="s">
        <v>178</v>
      </c>
      <c r="G487" s="427"/>
      <c r="H487" s="428" t="s">
        <v>122</v>
      </c>
      <c r="I487" s="210">
        <f ca="1">IFERROR(__xludf.DUMMYFUNCTION("IMPORTRANGE(""https://docs.google.com/spreadsheets/d/1IYY_tgx_IHuhSq3AJ5eI5OnqOPBNLWSHKh2a30DoXe8/edit?usp=sharing"",""ภูเก็ต!I382"")"),0)</f>
        <v>0</v>
      </c>
      <c r="J487" s="426">
        <f ca="1">IFERROR(__xludf.DUMMYFUNCTION("IMPORTRANGE(""https://docs.google.com/spreadsheets/d/1IYY_tgx_IHuhSq3AJ5eI5OnqOPBNLWSHKh2a30DoXe8/edit?usp=sharing"",""ภูเก็ต!J382"")"),0)</f>
        <v>0</v>
      </c>
      <c r="K487" s="169">
        <f t="shared" ca="1" si="117"/>
        <v>0</v>
      </c>
      <c r="L487" s="189"/>
      <c r="M487" s="189"/>
      <c r="N487" s="189"/>
      <c r="O487" s="189"/>
      <c r="P487" s="189"/>
    </row>
    <row r="488" spans="1:16" ht="21.75" customHeight="1" x14ac:dyDescent="0.35">
      <c r="A488" s="408"/>
      <c r="B488" s="409"/>
      <c r="C488" s="409"/>
      <c r="D488" s="410"/>
      <c r="E488" s="203"/>
      <c r="F488" s="203"/>
      <c r="G488" s="203"/>
      <c r="H488" s="428" t="s">
        <v>36</v>
      </c>
      <c r="I488" s="210">
        <f ca="1">IFERROR(__xludf.DUMMYFUNCTION("IMPORTRANGE(""https://docs.google.com/spreadsheets/d/1IYY_tgx_IHuhSq3AJ5eI5OnqOPBNLWSHKh2a30DoXe8/edit?usp=sharing"",""ภูเก็ต!I383"")"),0)</f>
        <v>0</v>
      </c>
      <c r="J488" s="426">
        <f ca="1">IFERROR(__xludf.DUMMYFUNCTION("IMPORTRANGE(""https://docs.google.com/spreadsheets/d/1IYY_tgx_IHuhSq3AJ5eI5OnqOPBNLWSHKh2a30DoXe8/edit?usp=sharing"",""ภูเก็ต!J383"")"),0)</f>
        <v>0</v>
      </c>
      <c r="K488" s="169">
        <f t="shared" ca="1" si="117"/>
        <v>0</v>
      </c>
      <c r="L488" s="189"/>
      <c r="M488" s="189"/>
      <c r="N488" s="189"/>
      <c r="O488" s="189"/>
      <c r="P488" s="189"/>
    </row>
    <row r="489" spans="1:16" ht="21.75" customHeight="1" x14ac:dyDescent="0.35">
      <c r="A489" s="408"/>
      <c r="B489" s="409"/>
      <c r="C489" s="409"/>
      <c r="D489" s="410"/>
      <c r="E489" s="203"/>
      <c r="F489" s="203"/>
      <c r="G489" s="202" t="s">
        <v>179</v>
      </c>
      <c r="H489" s="428" t="s">
        <v>122</v>
      </c>
      <c r="I489" s="210">
        <f ca="1">IFERROR(__xludf.DUMMYFUNCTION("IMPORTRANGE(""https://docs.google.com/spreadsheets/d/1IYY_tgx_IHuhSq3AJ5eI5OnqOPBNLWSHKh2a30DoXe8/edit?usp=sharing"",""ภูเก็ต!I384"")"),0)</f>
        <v>0</v>
      </c>
      <c r="J489" s="196">
        <f ca="1">IFERROR(__xludf.DUMMYFUNCTION("IMPORTRANGE(""https://docs.google.com/spreadsheets/d/1IYY_tgx_IHuhSq3AJ5eI5OnqOPBNLWSHKh2a30DoXe8/edit?usp=sharing"",""ภูเก็ต!J384"")"),0)</f>
        <v>0</v>
      </c>
      <c r="K489" s="169">
        <f t="shared" ca="1" si="117"/>
        <v>0</v>
      </c>
      <c r="L489" s="189"/>
      <c r="M489" s="189"/>
      <c r="N489" s="189"/>
      <c r="O489" s="189"/>
      <c r="P489" s="189"/>
    </row>
    <row r="490" spans="1:16" ht="21.75" customHeight="1" x14ac:dyDescent="0.35">
      <c r="A490" s="408"/>
      <c r="B490" s="409"/>
      <c r="C490" s="409"/>
      <c r="D490" s="410"/>
      <c r="E490" s="203"/>
      <c r="F490" s="203"/>
      <c r="G490" s="203"/>
      <c r="H490" s="428" t="s">
        <v>36</v>
      </c>
      <c r="I490" s="210">
        <f ca="1">IFERROR(__xludf.DUMMYFUNCTION("IMPORTRANGE(""https://docs.google.com/spreadsheets/d/1IYY_tgx_IHuhSq3AJ5eI5OnqOPBNLWSHKh2a30DoXe8/edit?usp=sharing"",""ภูเก็ต!I385"")"),0)</f>
        <v>0</v>
      </c>
      <c r="J490" s="196">
        <f ca="1">IFERROR(__xludf.DUMMYFUNCTION("IMPORTRANGE(""https://docs.google.com/spreadsheets/d/1IYY_tgx_IHuhSq3AJ5eI5OnqOPBNLWSHKh2a30DoXe8/edit?usp=sharing"",""ภูเก็ต!J385"")"),0)</f>
        <v>0</v>
      </c>
      <c r="K490" s="169">
        <f t="shared" ca="1" si="117"/>
        <v>0</v>
      </c>
      <c r="L490" s="189"/>
      <c r="M490" s="189"/>
      <c r="N490" s="189"/>
      <c r="O490" s="189"/>
      <c r="P490" s="189"/>
    </row>
    <row r="491" spans="1:16" ht="21.75" customHeight="1" x14ac:dyDescent="0.35">
      <c r="A491" s="408"/>
      <c r="B491" s="409"/>
      <c r="C491" s="409"/>
      <c r="D491" s="410"/>
      <c r="E491" s="203"/>
      <c r="F491" s="203"/>
      <c r="G491" s="202" t="s">
        <v>180</v>
      </c>
      <c r="H491" s="428" t="s">
        <v>122</v>
      </c>
      <c r="I491" s="210">
        <f ca="1">IFERROR(__xludf.DUMMYFUNCTION("IMPORTRANGE(""https://docs.google.com/spreadsheets/d/1IYY_tgx_IHuhSq3AJ5eI5OnqOPBNLWSHKh2a30DoXe8/edit?usp=sharing"",""ภูเก็ต!I386"")"),0)</f>
        <v>0</v>
      </c>
      <c r="J491" s="196">
        <f ca="1">IFERROR(__xludf.DUMMYFUNCTION("IMPORTRANGE(""https://docs.google.com/spreadsheets/d/1IYY_tgx_IHuhSq3AJ5eI5OnqOPBNLWSHKh2a30DoXe8/edit?usp=sharing"",""ภูเก็ต!J386"")"),0)</f>
        <v>0</v>
      </c>
      <c r="K491" s="169">
        <f t="shared" ca="1" si="117"/>
        <v>0</v>
      </c>
      <c r="L491" s="189"/>
      <c r="M491" s="189"/>
      <c r="N491" s="189"/>
      <c r="O491" s="189"/>
      <c r="P491" s="189"/>
    </row>
    <row r="492" spans="1:16" ht="21.75" customHeight="1" x14ac:dyDescent="0.35">
      <c r="A492" s="408"/>
      <c r="B492" s="409"/>
      <c r="C492" s="409"/>
      <c r="D492" s="410"/>
      <c r="E492" s="203"/>
      <c r="F492" s="203"/>
      <c r="G492" s="204"/>
      <c r="H492" s="428" t="s">
        <v>36</v>
      </c>
      <c r="I492" s="210">
        <f ca="1">IFERROR(__xludf.DUMMYFUNCTION("IMPORTRANGE(""https://docs.google.com/spreadsheets/d/1IYY_tgx_IHuhSq3AJ5eI5OnqOPBNLWSHKh2a30DoXe8/edit?usp=sharing"",""ภูเก็ต!I387"")"),0)</f>
        <v>0</v>
      </c>
      <c r="J492" s="196">
        <f ca="1">IFERROR(__xludf.DUMMYFUNCTION("IMPORTRANGE(""https://docs.google.com/spreadsheets/d/1IYY_tgx_IHuhSq3AJ5eI5OnqOPBNLWSHKh2a30DoXe8/edit?usp=sharing"",""ภูเก็ต!J387"")"),0)</f>
        <v>0</v>
      </c>
      <c r="K492" s="169">
        <f t="shared" ca="1" si="117"/>
        <v>0</v>
      </c>
      <c r="L492" s="189"/>
      <c r="M492" s="189"/>
      <c r="N492" s="189"/>
      <c r="O492" s="189"/>
      <c r="P492" s="189"/>
    </row>
    <row r="493" spans="1:16" ht="21.75" customHeight="1" x14ac:dyDescent="0.35">
      <c r="A493" s="408"/>
      <c r="B493" s="409"/>
      <c r="C493" s="409"/>
      <c r="D493" s="410"/>
      <c r="E493" s="203"/>
      <c r="F493" s="202" t="s">
        <v>181</v>
      </c>
      <c r="G493" s="427"/>
      <c r="H493" s="428" t="s">
        <v>122</v>
      </c>
      <c r="I493" s="210">
        <f ca="1">IFERROR(__xludf.DUMMYFUNCTION("IMPORTRANGE(""https://docs.google.com/spreadsheets/d/1IYY_tgx_IHuhSq3AJ5eI5OnqOPBNLWSHKh2a30DoXe8/edit?usp=sharing"",""ภูเก็ต!I388"")"),0)</f>
        <v>0</v>
      </c>
      <c r="J493" s="196">
        <f ca="1">IFERROR(__xludf.DUMMYFUNCTION("IMPORTRANGE(""https://docs.google.com/spreadsheets/d/1IYY_tgx_IHuhSq3AJ5eI5OnqOPBNLWSHKh2a30DoXe8/edit?usp=sharing"",""ภูเก็ต!J388"")"),0)</f>
        <v>0</v>
      </c>
      <c r="K493" s="169">
        <f t="shared" ca="1" si="117"/>
        <v>0</v>
      </c>
      <c r="L493" s="189"/>
      <c r="M493" s="189"/>
      <c r="N493" s="189"/>
      <c r="O493" s="189"/>
      <c r="P493" s="189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IFERROR(__xludf.DUMMYFUNCTION("IMPORTRANGE(""https://docs.google.com/spreadsheets/d/1IYY_tgx_IHuhSq3AJ5eI5OnqOPBNLWSHKh2a30DoXe8/edit?usp=sharing"",""ภูเก็ต!I389"")"),0)</f>
        <v>0</v>
      </c>
      <c r="J494" s="442">
        <f ca="1">IFERROR(__xludf.DUMMYFUNCTION("IMPORTRANGE(""https://docs.google.com/spreadsheets/d/1IYY_tgx_IHuhSq3AJ5eI5OnqOPBNLWSHKh2a30DoXe8/edit?usp=sharing"",""ภูเก็ต!J389"")"),0)</f>
        <v>0</v>
      </c>
      <c r="K494" s="294">
        <f t="shared" ca="1" si="117"/>
        <v>0</v>
      </c>
      <c r="L494" s="252"/>
      <c r="M494" s="252"/>
      <c r="N494" s="252"/>
      <c r="O494" s="252"/>
      <c r="P494" s="252"/>
    </row>
    <row r="495" spans="1:16" ht="21.75" customHeight="1" x14ac:dyDescent="0.35">
      <c r="A495" s="408"/>
      <c r="B495" s="409"/>
      <c r="C495" s="409"/>
      <c r="D495" s="410"/>
      <c r="E495" s="203"/>
      <c r="F495" s="203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IFERROR(__xludf.DUMMYFUNCTION("IMPORTRANGE(""https://docs.google.com/spreadsheets/d/1IYY_tgx_IHuhSq3AJ5eI5OnqOPBNLWSHKh2a30DoXe8/edit?usp=sharing"",""ภูเก็ต!I390"")"),0)</f>
        <v>0</v>
      </c>
      <c r="J495" s="442">
        <f ca="1">IFERROR(__xludf.DUMMYFUNCTION("IMPORTRANGE(""https://docs.google.com/spreadsheets/d/1IYY_tgx_IHuhSq3AJ5eI5OnqOPBNLWSHKh2a30DoXe8/edit?usp=sharing"",""ภูเก็ต!J390"")"),0)</f>
        <v>0</v>
      </c>
      <c r="K495" s="169">
        <f t="shared" ca="1" si="117"/>
        <v>0</v>
      </c>
      <c r="L495" s="189"/>
      <c r="M495" s="189"/>
      <c r="N495" s="189"/>
      <c r="O495" s="189"/>
      <c r="P495" s="189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IFERROR(__xludf.DUMMYFUNCTION("IMPORTRANGE(""https://docs.google.com/spreadsheets/d/1IYY_tgx_IHuhSq3AJ5eI5OnqOPBNLWSHKh2a30DoXe8/edit?usp=sharing"",""ภูเก็ต!I391"")"),0)</f>
        <v>0</v>
      </c>
      <c r="J496" s="442">
        <f ca="1">IFERROR(__xludf.DUMMYFUNCTION("IMPORTRANGE(""https://docs.google.com/spreadsheets/d/1IYY_tgx_IHuhSq3AJ5eI5OnqOPBNLWSHKh2a30DoXe8/edit?usp=sharing"",""ภูเก็ต!J391"")"),0)</f>
        <v>0</v>
      </c>
      <c r="K496" s="294">
        <f t="shared" ca="1" si="117"/>
        <v>0</v>
      </c>
      <c r="L496" s="252"/>
      <c r="M496" s="252"/>
      <c r="N496" s="252"/>
      <c r="O496" s="252"/>
      <c r="P496" s="252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IFERROR(__xludf.DUMMYFUNCTION("IMPORTRANGE(""https://docs.google.com/spreadsheets/d/1IYY_tgx_IHuhSq3AJ5eI5OnqOPBNLWSHKh2a30DoXe8/edit?usp=sharing"",""ภูเก็ต!I392"")"),0)</f>
        <v>0</v>
      </c>
      <c r="J497" s="449">
        <f ca="1">IFERROR(__xludf.DUMMYFUNCTION("IMPORTRANGE(""https://docs.google.com/spreadsheets/d/1IYY_tgx_IHuhSq3AJ5eI5OnqOPBNLWSHKh2a30DoXe8/edit?usp=sharing"",""ภูเก็ต!J392"")"),0)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3"/>
      <c r="B498" s="184"/>
      <c r="C498" s="184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IFERROR(__xludf.DUMMYFUNCTION("IMPORTRANGE(""https://docs.google.com/spreadsheets/d/1IYY_tgx_IHuhSq3AJ5eI5OnqOPBNLWSHKh2a30DoXe8/edit?usp=sharing"",""ภูเก็ต!I393"")"),0)</f>
        <v>0</v>
      </c>
      <c r="J498" s="426">
        <f ca="1">IFERROR(__xludf.DUMMYFUNCTION("IMPORTRANGE(""https://docs.google.com/spreadsheets/d/1IYY_tgx_IHuhSq3AJ5eI5OnqOPBNLWSHKh2a30DoXe8/edit?usp=sharing"",""ภูเก็ต!J393"")"),0)</f>
        <v>0</v>
      </c>
      <c r="K498" s="169">
        <f t="shared" ca="1" si="117"/>
        <v>0</v>
      </c>
      <c r="L498" s="189"/>
      <c r="M498" s="189"/>
      <c r="N498" s="189"/>
      <c r="O498" s="189"/>
      <c r="P498" s="189"/>
    </row>
    <row r="499" spans="1:16" ht="21.75" customHeight="1" x14ac:dyDescent="0.35">
      <c r="A499" s="183"/>
      <c r="B499" s="184"/>
      <c r="C499" s="184"/>
      <c r="D499" s="201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IFERROR(__xludf.DUMMYFUNCTION("IMPORTRANGE(""https://docs.google.com/spreadsheets/d/1IYY_tgx_IHuhSq3AJ5eI5OnqOPBNLWSHKh2a30DoXe8/edit?usp=sharing"",""ภูเก็ต!I394"")"),0)</f>
        <v>0</v>
      </c>
      <c r="J499" s="426">
        <f ca="1">IFERROR(__xludf.DUMMYFUNCTION("IMPORTRANGE(""https://docs.google.com/spreadsheets/d/1IYY_tgx_IHuhSq3AJ5eI5OnqOPBNLWSHKh2a30DoXe8/edit?usp=sharing"",""ภูเก็ต!J394"")"),0)</f>
        <v>0</v>
      </c>
      <c r="K499" s="209">
        <f t="shared" ca="1" si="117"/>
        <v>0</v>
      </c>
      <c r="L499" s="189"/>
      <c r="M499" s="189"/>
      <c r="N499" s="189"/>
      <c r="O499" s="189"/>
      <c r="P499" s="189"/>
    </row>
    <row r="500" spans="1:16" ht="21.75" customHeight="1" x14ac:dyDescent="0.35">
      <c r="A500" s="183"/>
      <c r="B500" s="184"/>
      <c r="C500" s="184"/>
      <c r="D500" s="410"/>
      <c r="E500" s="410" t="s">
        <v>185</v>
      </c>
      <c r="F500" s="203"/>
      <c r="G500" s="204"/>
      <c r="H500" s="428" t="s">
        <v>122</v>
      </c>
      <c r="I500" s="210">
        <f ca="1">IFERROR(__xludf.DUMMYFUNCTION("IMPORTRANGE(""https://docs.google.com/spreadsheets/d/1IYY_tgx_IHuhSq3AJ5eI5OnqOPBNLWSHKh2a30DoXe8/edit?usp=sharing"",""ภูเก็ต!I395"")"),0)</f>
        <v>0</v>
      </c>
      <c r="J500" s="168">
        <f ca="1">IFERROR(__xludf.DUMMYFUNCTION("IMPORTRANGE(""https://docs.google.com/spreadsheets/d/1IYY_tgx_IHuhSq3AJ5eI5OnqOPBNLWSHKh2a30DoXe8/edit?usp=sharing"",""ภูเก็ต!J395"")"),0)</f>
        <v>0</v>
      </c>
      <c r="K500" s="169">
        <f t="shared" ca="1" si="117"/>
        <v>0</v>
      </c>
      <c r="L500" s="189"/>
      <c r="M500" s="189"/>
      <c r="N500" s="189"/>
      <c r="O500" s="189"/>
      <c r="P500" s="189"/>
    </row>
    <row r="501" spans="1:16" ht="21.75" customHeight="1" x14ac:dyDescent="0.35">
      <c r="A501" s="183"/>
      <c r="B501" s="184"/>
      <c r="C501" s="184"/>
      <c r="D501" s="201"/>
      <c r="E501" s="203"/>
      <c r="F501" s="203"/>
      <c r="G501" s="204"/>
      <c r="H501" s="428" t="s">
        <v>36</v>
      </c>
      <c r="I501" s="210">
        <f ca="1">IFERROR(__xludf.DUMMYFUNCTION("IMPORTRANGE(""https://docs.google.com/spreadsheets/d/1IYY_tgx_IHuhSq3AJ5eI5OnqOPBNLWSHKh2a30DoXe8/edit?usp=sharing"",""ภูเก็ต!I396"")"),0)</f>
        <v>0</v>
      </c>
      <c r="J501" s="168">
        <f ca="1">IFERROR(__xludf.DUMMYFUNCTION("IMPORTRANGE(""https://docs.google.com/spreadsheets/d/1IYY_tgx_IHuhSq3AJ5eI5OnqOPBNLWSHKh2a30DoXe8/edit?usp=sharing"",""ภูเก็ต!J396"")"),0)</f>
        <v>0</v>
      </c>
      <c r="K501" s="169">
        <f t="shared" ca="1" si="117"/>
        <v>0</v>
      </c>
      <c r="L501" s="189"/>
      <c r="M501" s="189"/>
      <c r="N501" s="189"/>
      <c r="O501" s="189"/>
      <c r="P501" s="189"/>
    </row>
    <row r="502" spans="1:16" ht="21.75" customHeight="1" x14ac:dyDescent="0.35">
      <c r="A502" s="183"/>
      <c r="B502" s="184"/>
      <c r="C502" s="184"/>
      <c r="D502" s="201"/>
      <c r="E502" s="203"/>
      <c r="F502" s="405" t="s">
        <v>186</v>
      </c>
      <c r="G502" s="427"/>
      <c r="H502" s="428" t="s">
        <v>122</v>
      </c>
      <c r="I502" s="210">
        <f ca="1">IFERROR(__xludf.DUMMYFUNCTION("IMPORTRANGE(""https://docs.google.com/spreadsheets/d/1IYY_tgx_IHuhSq3AJ5eI5OnqOPBNLWSHKh2a30DoXe8/edit?usp=sharing"",""ภูเก็ต!I397"")"),0)</f>
        <v>0</v>
      </c>
      <c r="J502" s="196">
        <f ca="1">IFERROR(__xludf.DUMMYFUNCTION("IMPORTRANGE(""https://docs.google.com/spreadsheets/d/1IYY_tgx_IHuhSq3AJ5eI5OnqOPBNLWSHKh2a30DoXe8/edit?usp=sharing"",""ภูเก็ต!J397"")"),0)</f>
        <v>0</v>
      </c>
      <c r="K502" s="169">
        <f t="shared" ca="1" si="117"/>
        <v>0</v>
      </c>
      <c r="L502" s="189"/>
      <c r="M502" s="189"/>
      <c r="N502" s="189"/>
      <c r="O502" s="189"/>
      <c r="P502" s="189"/>
    </row>
    <row r="503" spans="1:16" ht="21.75" customHeight="1" x14ac:dyDescent="0.35">
      <c r="A503" s="183"/>
      <c r="B503" s="184"/>
      <c r="C503" s="184"/>
      <c r="D503" s="201"/>
      <c r="E503" s="203"/>
      <c r="F503" s="203"/>
      <c r="G503" s="427"/>
      <c r="H503" s="428" t="s">
        <v>36</v>
      </c>
      <c r="I503" s="195">
        <f ca="1">IFERROR(__xludf.DUMMYFUNCTION("IMPORTRANGE(""https://docs.google.com/spreadsheets/d/1IYY_tgx_IHuhSq3AJ5eI5OnqOPBNLWSHKh2a30DoXe8/edit?usp=sharing"",""ภูเก็ต!I398"")"),0)</f>
        <v>0</v>
      </c>
      <c r="J503" s="205">
        <f ca="1">IFERROR(__xludf.DUMMYFUNCTION("IMPORTRANGE(""https://docs.google.com/spreadsheets/d/1IYY_tgx_IHuhSq3AJ5eI5OnqOPBNLWSHKh2a30DoXe8/edit?usp=sharing"",""ภูเก็ต!J398"")"),0)</f>
        <v>0</v>
      </c>
      <c r="K503" s="169">
        <f t="shared" ca="1" si="117"/>
        <v>0</v>
      </c>
      <c r="L503" s="189"/>
      <c r="M503" s="189"/>
      <c r="N503" s="189"/>
      <c r="O503" s="189"/>
      <c r="P503" s="189"/>
    </row>
    <row r="504" spans="1:16" ht="21.75" customHeight="1" x14ac:dyDescent="0.35">
      <c r="A504" s="183"/>
      <c r="B504" s="184"/>
      <c r="C504" s="184"/>
      <c r="D504" s="201"/>
      <c r="E504" s="203"/>
      <c r="F504" s="396" t="s">
        <v>187</v>
      </c>
      <c r="G504" s="427"/>
      <c r="H504" s="428" t="s">
        <v>122</v>
      </c>
      <c r="I504" s="211">
        <f ca="1">IFERROR(__xludf.DUMMYFUNCTION("IMPORTRANGE(""https://docs.google.com/spreadsheets/d/1IYY_tgx_IHuhSq3AJ5eI5OnqOPBNLWSHKh2a30DoXe8/edit?usp=sharing"",""ภูเก็ต!I399"")"),0)</f>
        <v>0</v>
      </c>
      <c r="J504" s="196">
        <f ca="1">IFERROR(__xludf.DUMMYFUNCTION("IMPORTRANGE(""https://docs.google.com/spreadsheets/d/1IYY_tgx_IHuhSq3AJ5eI5OnqOPBNLWSHKh2a30DoXe8/edit?usp=sharing"",""ภูเก็ต!J399"")"),0)</f>
        <v>0</v>
      </c>
      <c r="K504" s="169">
        <f t="shared" ca="1" si="117"/>
        <v>0</v>
      </c>
      <c r="L504" s="189"/>
      <c r="M504" s="189"/>
      <c r="N504" s="189"/>
      <c r="O504" s="189"/>
      <c r="P504" s="189"/>
    </row>
    <row r="505" spans="1:16" ht="21.75" customHeight="1" x14ac:dyDescent="0.35">
      <c r="A505" s="183"/>
      <c r="B505" s="184"/>
      <c r="C505" s="184"/>
      <c r="D505" s="201"/>
      <c r="E505" s="203"/>
      <c r="F505" s="203"/>
      <c r="G505" s="427"/>
      <c r="H505" s="428" t="s">
        <v>36</v>
      </c>
      <c r="I505" s="195">
        <f ca="1">IFERROR(__xludf.DUMMYFUNCTION("IMPORTRANGE(""https://docs.google.com/spreadsheets/d/1IYY_tgx_IHuhSq3AJ5eI5OnqOPBNLWSHKh2a30DoXe8/edit?usp=sharing"",""ภูเก็ต!I400"")"),0)</f>
        <v>0</v>
      </c>
      <c r="J505" s="205">
        <f ca="1">IFERROR(__xludf.DUMMYFUNCTION("IMPORTRANGE(""https://docs.google.com/spreadsheets/d/1IYY_tgx_IHuhSq3AJ5eI5OnqOPBNLWSHKh2a30DoXe8/edit?usp=sharing"",""ภูเก็ต!J400"")"),0)</f>
        <v>0</v>
      </c>
      <c r="K505" s="169">
        <f t="shared" ca="1" si="117"/>
        <v>0</v>
      </c>
      <c r="L505" s="189"/>
      <c r="M505" s="189"/>
      <c r="N505" s="189"/>
      <c r="O505" s="189"/>
      <c r="P505" s="189"/>
    </row>
    <row r="506" spans="1:16" ht="21.75" customHeight="1" x14ac:dyDescent="0.35">
      <c r="A506" s="183"/>
      <c r="B506" s="184"/>
      <c r="C506" s="184"/>
      <c r="D506" s="201"/>
      <c r="E506" s="203"/>
      <c r="F506" s="405" t="s">
        <v>188</v>
      </c>
      <c r="G506" s="427"/>
      <c r="H506" s="428" t="s">
        <v>122</v>
      </c>
      <c r="I506" s="211">
        <f ca="1">IFERROR(__xludf.DUMMYFUNCTION("IMPORTRANGE(""https://docs.google.com/spreadsheets/d/1IYY_tgx_IHuhSq3AJ5eI5OnqOPBNLWSHKh2a30DoXe8/edit?usp=sharing"",""ภูเก็ต!I401"")"),0)</f>
        <v>0</v>
      </c>
      <c r="J506" s="196">
        <f ca="1">IFERROR(__xludf.DUMMYFUNCTION("IMPORTRANGE(""https://docs.google.com/spreadsheets/d/1IYY_tgx_IHuhSq3AJ5eI5OnqOPBNLWSHKh2a30DoXe8/edit?usp=sharing"",""ภูเก็ต!J401"")"),0)</f>
        <v>0</v>
      </c>
      <c r="K506" s="169">
        <f t="shared" ca="1" si="117"/>
        <v>0</v>
      </c>
      <c r="L506" s="189"/>
      <c r="M506" s="189"/>
      <c r="N506" s="189"/>
      <c r="O506" s="189"/>
      <c r="P506" s="189"/>
    </row>
    <row r="507" spans="1:16" ht="21.75" customHeight="1" x14ac:dyDescent="0.35">
      <c r="A507" s="183"/>
      <c r="B507" s="184"/>
      <c r="C507" s="184"/>
      <c r="D507" s="201"/>
      <c r="E507" s="203"/>
      <c r="F507" s="203"/>
      <c r="G507" s="203"/>
      <c r="H507" s="428" t="s">
        <v>36</v>
      </c>
      <c r="I507" s="195">
        <f ca="1">IFERROR(__xludf.DUMMYFUNCTION("IMPORTRANGE(""https://docs.google.com/spreadsheets/d/1IYY_tgx_IHuhSq3AJ5eI5OnqOPBNLWSHKh2a30DoXe8/edit?usp=sharing"",""ภูเก็ต!I402"")"),0)</f>
        <v>0</v>
      </c>
      <c r="J507" s="205">
        <f ca="1">IFERROR(__xludf.DUMMYFUNCTION("IMPORTRANGE(""https://docs.google.com/spreadsheets/d/1IYY_tgx_IHuhSq3AJ5eI5OnqOPBNLWSHKh2a30DoXe8/edit?usp=sharing"",""ภูเก็ต!J402"")"),0)</f>
        <v>0</v>
      </c>
      <c r="K507" s="169">
        <f t="shared" ca="1" si="117"/>
        <v>0</v>
      </c>
      <c r="L507" s="189"/>
      <c r="M507" s="189"/>
      <c r="N507" s="189"/>
      <c r="O507" s="189"/>
      <c r="P507" s="189"/>
    </row>
    <row r="508" spans="1:16" ht="21.75" customHeight="1" x14ac:dyDescent="0.35">
      <c r="A508" s="183"/>
      <c r="B508" s="184"/>
      <c r="C508" s="184"/>
      <c r="D508" s="201"/>
      <c r="E508" s="202" t="s">
        <v>189</v>
      </c>
      <c r="F508" s="203"/>
      <c r="G508" s="427"/>
      <c r="H508" s="428" t="s">
        <v>122</v>
      </c>
      <c r="I508" s="195">
        <f ca="1">IFERROR(__xludf.DUMMYFUNCTION("IMPORTRANGE(""https://docs.google.com/spreadsheets/d/1IYY_tgx_IHuhSq3AJ5eI5OnqOPBNLWSHKh2a30DoXe8/edit?usp=sharing"",""ภูเก็ต!I403"")"),0)</f>
        <v>0</v>
      </c>
      <c r="J508" s="168">
        <f ca="1">IFERROR(__xludf.DUMMYFUNCTION("IMPORTRANGE(""https://docs.google.com/spreadsheets/d/1IYY_tgx_IHuhSq3AJ5eI5OnqOPBNLWSHKh2a30DoXe8/edit?usp=sharing"",""ภูเก็ต!J403"")"),0)</f>
        <v>0</v>
      </c>
      <c r="K508" s="169">
        <f t="shared" ca="1" si="117"/>
        <v>0</v>
      </c>
      <c r="L508" s="189"/>
      <c r="M508" s="189"/>
      <c r="N508" s="189"/>
      <c r="O508" s="189"/>
      <c r="P508" s="189"/>
    </row>
    <row r="509" spans="1:16" ht="21.75" customHeight="1" x14ac:dyDescent="0.35">
      <c r="A509" s="183"/>
      <c r="B509" s="184"/>
      <c r="C509" s="184"/>
      <c r="D509" s="201"/>
      <c r="E509" s="203"/>
      <c r="F509" s="203"/>
      <c r="G509" s="203"/>
      <c r="H509" s="428" t="s">
        <v>36</v>
      </c>
      <c r="I509" s="195">
        <f ca="1">IFERROR(__xludf.DUMMYFUNCTION("IMPORTRANGE(""https://docs.google.com/spreadsheets/d/1IYY_tgx_IHuhSq3AJ5eI5OnqOPBNLWSHKh2a30DoXe8/edit?usp=sharing"",""ภูเก็ต!I404"")"),0)</f>
        <v>0</v>
      </c>
      <c r="J509" s="168">
        <f ca="1">IFERROR(__xludf.DUMMYFUNCTION("IMPORTRANGE(""https://docs.google.com/spreadsheets/d/1IYY_tgx_IHuhSq3AJ5eI5OnqOPBNLWSHKh2a30DoXe8/edit?usp=sharing"",""ภูเก็ต!J404"")"),0)</f>
        <v>0</v>
      </c>
      <c r="K509" s="169">
        <f t="shared" ca="1" si="117"/>
        <v>0</v>
      </c>
      <c r="L509" s="189"/>
      <c r="M509" s="189"/>
      <c r="N509" s="189"/>
      <c r="O509" s="189"/>
      <c r="P509" s="189"/>
    </row>
    <row r="510" spans="1:16" ht="21.75" customHeight="1" x14ac:dyDescent="0.35">
      <c r="A510" s="183"/>
      <c r="B510" s="184"/>
      <c r="C510" s="184"/>
      <c r="D510" s="201"/>
      <c r="E510" s="203"/>
      <c r="F510" s="202" t="s">
        <v>190</v>
      </c>
      <c r="G510" s="203"/>
      <c r="H510" s="428" t="s">
        <v>122</v>
      </c>
      <c r="I510" s="195">
        <f ca="1">IFERROR(__xludf.DUMMYFUNCTION("IMPORTRANGE(""https://docs.google.com/spreadsheets/d/1IYY_tgx_IHuhSq3AJ5eI5OnqOPBNLWSHKh2a30DoXe8/edit?usp=sharing"",""ภูเก็ต!I405"")"),0)</f>
        <v>0</v>
      </c>
      <c r="J510" s="205">
        <f ca="1">IFERROR(__xludf.DUMMYFUNCTION("IMPORTRANGE(""https://docs.google.com/spreadsheets/d/1IYY_tgx_IHuhSq3AJ5eI5OnqOPBNLWSHKh2a30DoXe8/edit?usp=sharing"",""ภูเก็ต!J405"")"),0)</f>
        <v>0</v>
      </c>
      <c r="K510" s="169">
        <f t="shared" ca="1" si="117"/>
        <v>0</v>
      </c>
      <c r="L510" s="189"/>
      <c r="M510" s="189"/>
      <c r="N510" s="189"/>
      <c r="O510" s="189"/>
      <c r="P510" s="189"/>
    </row>
    <row r="511" spans="1:16" ht="21.75" customHeight="1" x14ac:dyDescent="0.35">
      <c r="A511" s="183"/>
      <c r="B511" s="184"/>
      <c r="C511" s="184"/>
      <c r="D511" s="201"/>
      <c r="E511" s="203"/>
      <c r="F511" s="203"/>
      <c r="G511" s="203"/>
      <c r="H511" s="428" t="s">
        <v>36</v>
      </c>
      <c r="I511" s="195">
        <f ca="1">IFERROR(__xludf.DUMMYFUNCTION("IMPORTRANGE(""https://docs.google.com/spreadsheets/d/1IYY_tgx_IHuhSq3AJ5eI5OnqOPBNLWSHKh2a30DoXe8/edit?usp=sharing"",""ภูเก็ต!I406"")"),0)</f>
        <v>0</v>
      </c>
      <c r="J511" s="205">
        <f ca="1">IFERROR(__xludf.DUMMYFUNCTION("IMPORTRANGE(""https://docs.google.com/spreadsheets/d/1IYY_tgx_IHuhSq3AJ5eI5OnqOPBNLWSHKh2a30DoXe8/edit?usp=sharing"",""ภูเก็ต!J406"")"),0)</f>
        <v>0</v>
      </c>
      <c r="K511" s="169">
        <f t="shared" ca="1" si="117"/>
        <v>0</v>
      </c>
      <c r="L511" s="189"/>
      <c r="M511" s="189"/>
      <c r="N511" s="189"/>
      <c r="O511" s="189"/>
      <c r="P511" s="189"/>
    </row>
    <row r="512" spans="1:16" ht="21.75" customHeight="1" x14ac:dyDescent="0.35">
      <c r="A512" s="183"/>
      <c r="B512" s="184"/>
      <c r="C512" s="184"/>
      <c r="D512" s="201"/>
      <c r="E512" s="203"/>
      <c r="F512" s="202" t="s">
        <v>191</v>
      </c>
      <c r="G512" s="203"/>
      <c r="H512" s="428" t="s">
        <v>122</v>
      </c>
      <c r="I512" s="195">
        <f ca="1">IFERROR(__xludf.DUMMYFUNCTION("IMPORTRANGE(""https://docs.google.com/spreadsheets/d/1IYY_tgx_IHuhSq3AJ5eI5OnqOPBNLWSHKh2a30DoXe8/edit?usp=sharing"",""ภูเก็ต!I407"")"),0)</f>
        <v>0</v>
      </c>
      <c r="J512" s="205">
        <f ca="1">IFERROR(__xludf.DUMMYFUNCTION("IMPORTRANGE(""https://docs.google.com/spreadsheets/d/1IYY_tgx_IHuhSq3AJ5eI5OnqOPBNLWSHKh2a30DoXe8/edit?usp=sharing"",""ภูเก็ต!J407"")"),0)</f>
        <v>0</v>
      </c>
      <c r="K512" s="169">
        <f t="shared" ca="1" si="117"/>
        <v>0</v>
      </c>
      <c r="L512" s="189"/>
      <c r="M512" s="189"/>
      <c r="N512" s="189"/>
      <c r="O512" s="189"/>
      <c r="P512" s="189"/>
    </row>
    <row r="513" spans="1:16" ht="21.75" customHeight="1" x14ac:dyDescent="0.35">
      <c r="A513" s="183"/>
      <c r="B513" s="184"/>
      <c r="C513" s="184"/>
      <c r="D513" s="201"/>
      <c r="E513" s="203"/>
      <c r="F513" s="203"/>
      <c r="G513" s="204"/>
      <c r="H513" s="428" t="s">
        <v>36</v>
      </c>
      <c r="I513" s="195">
        <f ca="1">IFERROR(__xludf.DUMMYFUNCTION("IMPORTRANGE(""https://docs.google.com/spreadsheets/d/1IYY_tgx_IHuhSq3AJ5eI5OnqOPBNLWSHKh2a30DoXe8/edit?usp=sharing"",""ภูเก็ต!I408"")"),0)</f>
        <v>0</v>
      </c>
      <c r="J513" s="205">
        <f ca="1">IFERROR(__xludf.DUMMYFUNCTION("IMPORTRANGE(""https://docs.google.com/spreadsheets/d/1IYY_tgx_IHuhSq3AJ5eI5OnqOPBNLWSHKh2a30DoXe8/edit?usp=sharing"",""ภูเก็ต!J408"")"),0)</f>
        <v>0</v>
      </c>
      <c r="K513" s="169">
        <f t="shared" ca="1" si="117"/>
        <v>0</v>
      </c>
      <c r="L513" s="189"/>
      <c r="M513" s="189"/>
      <c r="N513" s="189"/>
      <c r="O513" s="189"/>
      <c r="P513" s="189"/>
    </row>
    <row r="514" spans="1:16" ht="21.75" customHeight="1" x14ac:dyDescent="0.35">
      <c r="A514" s="183"/>
      <c r="B514" s="184"/>
      <c r="C514" s="184"/>
      <c r="D514" s="410"/>
      <c r="E514" s="456" t="s">
        <v>192</v>
      </c>
      <c r="F514" s="203"/>
      <c r="G514" s="204"/>
      <c r="H514" s="428" t="s">
        <v>122</v>
      </c>
      <c r="I514" s="195">
        <f ca="1">IFERROR(__xludf.DUMMYFUNCTION("IMPORTRANGE(""https://docs.google.com/spreadsheets/d/1IYY_tgx_IHuhSq3AJ5eI5OnqOPBNLWSHKh2a30DoXe8/edit?usp=sharing"",""ภูเก็ต!I409"")"),0)</f>
        <v>0</v>
      </c>
      <c r="J514" s="205">
        <f ca="1">IFERROR(__xludf.DUMMYFUNCTION("IMPORTRANGE(""https://docs.google.com/spreadsheets/d/1IYY_tgx_IHuhSq3AJ5eI5OnqOPBNLWSHKh2a30DoXe8/edit?usp=sharing"",""ภูเก็ต!J409"")"),0)</f>
        <v>0</v>
      </c>
      <c r="K514" s="169">
        <f t="shared" ca="1" si="117"/>
        <v>0</v>
      </c>
      <c r="L514" s="189"/>
      <c r="M514" s="189"/>
      <c r="N514" s="189"/>
      <c r="O514" s="189"/>
      <c r="P514" s="189"/>
    </row>
    <row r="515" spans="1:16" ht="21.75" customHeight="1" x14ac:dyDescent="0.35">
      <c r="A515" s="183"/>
      <c r="B515" s="184"/>
      <c r="C515" s="184"/>
      <c r="D515" s="201"/>
      <c r="E515" s="203"/>
      <c r="F515" s="203"/>
      <c r="G515" s="204"/>
      <c r="H515" s="428" t="s">
        <v>36</v>
      </c>
      <c r="I515" s="195">
        <f ca="1">IFERROR(__xludf.DUMMYFUNCTION("IMPORTRANGE(""https://docs.google.com/spreadsheets/d/1IYY_tgx_IHuhSq3AJ5eI5OnqOPBNLWSHKh2a30DoXe8/edit?usp=sharing"",""ภูเก็ต!I410"")"),0)</f>
        <v>0</v>
      </c>
      <c r="J515" s="205">
        <f ca="1">IFERROR(__xludf.DUMMYFUNCTION("IMPORTRANGE(""https://docs.google.com/spreadsheets/d/1IYY_tgx_IHuhSq3AJ5eI5OnqOPBNLWSHKh2a30DoXe8/edit?usp=sharing"",""ภูเก็ต!J410"")"),0)</f>
        <v>0</v>
      </c>
      <c r="K515" s="169">
        <f t="shared" ca="1" si="117"/>
        <v>0</v>
      </c>
      <c r="L515" s="189"/>
      <c r="M515" s="189"/>
      <c r="N515" s="189"/>
      <c r="O515" s="189"/>
      <c r="P515" s="189"/>
    </row>
    <row r="516" spans="1:16" ht="21.75" customHeight="1" x14ac:dyDescent="0.35">
      <c r="A516" s="183"/>
      <c r="B516" s="184"/>
      <c r="C516" s="421" t="s">
        <v>193</v>
      </c>
      <c r="D516" s="421"/>
      <c r="E516" s="457"/>
      <c r="F516" s="457"/>
      <c r="G516" s="458"/>
      <c r="H516" s="459" t="s">
        <v>122</v>
      </c>
      <c r="I516" s="274">
        <f ca="1">IFERROR(__xludf.DUMMYFUNCTION("IMPORTRANGE(""https://docs.google.com/spreadsheets/d/1IYY_tgx_IHuhSq3AJ5eI5OnqOPBNLWSHKh2a30DoXe8/edit?usp=sharing"",""ภูเก็ต!I411"")"),0)</f>
        <v>0</v>
      </c>
      <c r="J516" s="274">
        <f ca="1">IFERROR(__xludf.DUMMYFUNCTION("IMPORTRANGE(""https://docs.google.com/spreadsheets/d/1IYY_tgx_IHuhSq3AJ5eI5OnqOPBNLWSHKh2a30DoXe8/edit?usp=sharing"",""ภูเก็ต!J411"")"),0)</f>
        <v>0</v>
      </c>
      <c r="K516" s="275">
        <v>0</v>
      </c>
      <c r="L516" s="189"/>
      <c r="M516" s="189"/>
      <c r="N516" s="189"/>
      <c r="O516" s="189"/>
      <c r="P516" s="189"/>
    </row>
    <row r="517" spans="1:16" ht="21.75" customHeight="1" x14ac:dyDescent="0.35">
      <c r="A517" s="183"/>
      <c r="B517" s="184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IFERROR(__xludf.DUMMYFUNCTION("IMPORTRANGE(""https://docs.google.com/spreadsheets/d/1IYY_tgx_IHuhSq3AJ5eI5OnqOPBNLWSHKh2a30DoXe8/edit?usp=sharing"",""ภูเก็ต!I412"")"),0)</f>
        <v>0</v>
      </c>
      <c r="J517" s="290">
        <f ca="1">IFERROR(__xludf.DUMMYFUNCTION("IMPORTRANGE(""https://docs.google.com/spreadsheets/d/1IYY_tgx_IHuhSq3AJ5eI5OnqOPBNLWSHKh2a30DoXe8/edit?usp=sharing"",""ภูเก็ต!J412"")"),0)</f>
        <v>0</v>
      </c>
      <c r="K517" s="291">
        <v>0</v>
      </c>
      <c r="L517" s="189"/>
      <c r="M517" s="189"/>
      <c r="N517" s="189"/>
      <c r="O517" s="189"/>
      <c r="P517" s="189"/>
    </row>
    <row r="518" spans="1:16" ht="21.75" customHeight="1" x14ac:dyDescent="0.35">
      <c r="A518" s="183"/>
      <c r="B518" s="184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IFERROR(__xludf.DUMMYFUNCTION("IMPORTRANGE(""https://docs.google.com/spreadsheets/d/1IYY_tgx_IHuhSq3AJ5eI5OnqOPBNLWSHKh2a30DoXe8/edit?usp=sharing"",""ภูเก็ต!I413"")"),0)</f>
        <v>0</v>
      </c>
      <c r="J518" s="290">
        <f ca="1">IFERROR(__xludf.DUMMYFUNCTION("IMPORTRANGE(""https://docs.google.com/spreadsheets/d/1IYY_tgx_IHuhSq3AJ5eI5OnqOPBNLWSHKh2a30DoXe8/edit?usp=sharing"",""ภูเก็ต!J413"")"),0)</f>
        <v>0</v>
      </c>
      <c r="K518" s="291">
        <v>0</v>
      </c>
      <c r="L518" s="189"/>
      <c r="M518" s="189"/>
      <c r="N518" s="189"/>
      <c r="O518" s="189"/>
      <c r="P518" s="189"/>
    </row>
    <row r="519" spans="1:16" ht="21.75" customHeight="1" x14ac:dyDescent="0.35">
      <c r="A519" s="183"/>
      <c r="B519" s="184"/>
      <c r="C519" s="184"/>
      <c r="D519" s="201"/>
      <c r="E519" s="203"/>
      <c r="F519" s="203"/>
      <c r="G519" s="233" t="s">
        <v>196</v>
      </c>
      <c r="H519" s="428" t="s">
        <v>122</v>
      </c>
      <c r="I519" s="195">
        <f ca="1">IFERROR(__xludf.DUMMYFUNCTION("IMPORTRANGE(""https://docs.google.com/spreadsheets/d/1IYY_tgx_IHuhSq3AJ5eI5OnqOPBNLWSHKh2a30DoXe8/edit?usp=sharing"",""ภูเก็ต!I414"")"),0)</f>
        <v>0</v>
      </c>
      <c r="J519" s="195">
        <f ca="1">IFERROR(__xludf.DUMMYFUNCTION("IMPORTRANGE(""https://docs.google.com/spreadsheets/d/1IYY_tgx_IHuhSq3AJ5eI5OnqOPBNLWSHKh2a30DoXe8/edit?usp=sharing"",""ภูเก็ต!J414"")"),0)</f>
        <v>0</v>
      </c>
      <c r="K519" s="169">
        <v>0</v>
      </c>
      <c r="L519" s="189"/>
      <c r="M519" s="189"/>
      <c r="N519" s="189"/>
      <c r="O519" s="189"/>
      <c r="P519" s="189"/>
    </row>
    <row r="520" spans="1:16" ht="21.75" customHeight="1" x14ac:dyDescent="0.35">
      <c r="A520" s="183"/>
      <c r="B520" s="184"/>
      <c r="C520" s="184"/>
      <c r="D520" s="201"/>
      <c r="E520" s="203"/>
      <c r="F520" s="203"/>
      <c r="G520" s="204"/>
      <c r="H520" s="428" t="s">
        <v>36</v>
      </c>
      <c r="I520" s="195">
        <f ca="1">IFERROR(__xludf.DUMMYFUNCTION("IMPORTRANGE(""https://docs.google.com/spreadsheets/d/1IYY_tgx_IHuhSq3AJ5eI5OnqOPBNLWSHKh2a30DoXe8/edit?usp=sharing"",""ภูเก็ต!I415"")"),0)</f>
        <v>0</v>
      </c>
      <c r="J520" s="195">
        <f ca="1">IFERROR(__xludf.DUMMYFUNCTION("IMPORTRANGE(""https://docs.google.com/spreadsheets/d/1IYY_tgx_IHuhSq3AJ5eI5OnqOPBNLWSHKh2a30DoXe8/edit?usp=sharing"",""ภูเก็ต!J415"")"),0)</f>
        <v>0</v>
      </c>
      <c r="K520" s="169">
        <v>0</v>
      </c>
      <c r="L520" s="189"/>
      <c r="M520" s="189"/>
      <c r="N520" s="189"/>
      <c r="O520" s="189"/>
      <c r="P520" s="189"/>
    </row>
    <row r="521" spans="1:16" ht="21.75" customHeight="1" x14ac:dyDescent="0.35">
      <c r="A521" s="183"/>
      <c r="B521" s="184"/>
      <c r="C521" s="184"/>
      <c r="D521" s="201"/>
      <c r="E521" s="203"/>
      <c r="F521" s="203"/>
      <c r="G521" s="233" t="s">
        <v>197</v>
      </c>
      <c r="H521" s="428" t="s">
        <v>122</v>
      </c>
      <c r="I521" s="195">
        <f ca="1">IFERROR(__xludf.DUMMYFUNCTION("IMPORTRANGE(""https://docs.google.com/spreadsheets/d/1IYY_tgx_IHuhSq3AJ5eI5OnqOPBNLWSHKh2a30DoXe8/edit?usp=sharing"",""ภูเก็ต!I416"")"),0)</f>
        <v>0</v>
      </c>
      <c r="J521" s="195">
        <f ca="1">IFERROR(__xludf.DUMMYFUNCTION("IMPORTRANGE(""https://docs.google.com/spreadsheets/d/1IYY_tgx_IHuhSq3AJ5eI5OnqOPBNLWSHKh2a30DoXe8/edit?usp=sharing"",""ภูเก็ต!J416"")"),0)</f>
        <v>0</v>
      </c>
      <c r="K521" s="169">
        <v>0</v>
      </c>
      <c r="L521" s="189"/>
      <c r="M521" s="189"/>
      <c r="N521" s="189"/>
      <c r="O521" s="189"/>
      <c r="P521" s="189"/>
    </row>
    <row r="522" spans="1:16" ht="21.75" customHeight="1" x14ac:dyDescent="0.35">
      <c r="A522" s="183"/>
      <c r="B522" s="184"/>
      <c r="C522" s="184"/>
      <c r="D522" s="201"/>
      <c r="E522" s="203"/>
      <c r="F522" s="203"/>
      <c r="G522" s="204"/>
      <c r="H522" s="428" t="s">
        <v>36</v>
      </c>
      <c r="I522" s="195">
        <f ca="1">IFERROR(__xludf.DUMMYFUNCTION("IMPORTRANGE(""https://docs.google.com/spreadsheets/d/1IYY_tgx_IHuhSq3AJ5eI5OnqOPBNLWSHKh2a30DoXe8/edit?usp=sharing"",""ภูเก็ต!I417"")"),0)</f>
        <v>0</v>
      </c>
      <c r="J522" s="195">
        <f ca="1">IFERROR(__xludf.DUMMYFUNCTION("IMPORTRANGE(""https://docs.google.com/spreadsheets/d/1IYY_tgx_IHuhSq3AJ5eI5OnqOPBNLWSHKh2a30DoXe8/edit?usp=sharing"",""ภูเก็ต!J417"")"),0)</f>
        <v>0</v>
      </c>
      <c r="K522" s="169">
        <v>0</v>
      </c>
      <c r="L522" s="189"/>
      <c r="M522" s="189"/>
      <c r="N522" s="189"/>
      <c r="O522" s="189"/>
      <c r="P522" s="189"/>
    </row>
    <row r="523" spans="1:16" ht="21.75" customHeight="1" x14ac:dyDescent="0.35">
      <c r="A523" s="183"/>
      <c r="B523" s="184"/>
      <c r="C523" s="184"/>
      <c r="D523" s="201"/>
      <c r="E523" s="203"/>
      <c r="F523" s="203"/>
      <c r="G523" s="464" t="s">
        <v>198</v>
      </c>
      <c r="H523" s="428" t="s">
        <v>122</v>
      </c>
      <c r="I523" s="195">
        <f ca="1">IFERROR(__xludf.DUMMYFUNCTION("IMPORTRANGE(""https://docs.google.com/spreadsheets/d/1IYY_tgx_IHuhSq3AJ5eI5OnqOPBNLWSHKh2a30DoXe8/edit?usp=sharing"",""ภูเก็ต!I418"")"),0)</f>
        <v>0</v>
      </c>
      <c r="J523" s="195">
        <f ca="1">IFERROR(__xludf.DUMMYFUNCTION("IMPORTRANGE(""https://docs.google.com/spreadsheets/d/1IYY_tgx_IHuhSq3AJ5eI5OnqOPBNLWSHKh2a30DoXe8/edit?usp=sharing"",""ภูเก็ต!J418"")"),0)</f>
        <v>0</v>
      </c>
      <c r="K523" s="169">
        <v>0</v>
      </c>
      <c r="L523" s="189"/>
      <c r="M523" s="189"/>
      <c r="N523" s="189"/>
      <c r="O523" s="189"/>
      <c r="P523" s="189"/>
    </row>
    <row r="524" spans="1:16" ht="21.75" customHeight="1" x14ac:dyDescent="0.35">
      <c r="A524" s="183"/>
      <c r="B524" s="184"/>
      <c r="C524" s="184"/>
      <c r="D524" s="201"/>
      <c r="E524" s="203"/>
      <c r="F524" s="203"/>
      <c r="G524" s="204"/>
      <c r="H524" s="428" t="s">
        <v>36</v>
      </c>
      <c r="I524" s="195">
        <f ca="1">IFERROR(__xludf.DUMMYFUNCTION("IMPORTRANGE(""https://docs.google.com/spreadsheets/d/1IYY_tgx_IHuhSq3AJ5eI5OnqOPBNLWSHKh2a30DoXe8/edit?usp=sharing"",""ภูเก็ต!I419"")"),0)</f>
        <v>0</v>
      </c>
      <c r="J524" s="195">
        <f ca="1">IFERROR(__xludf.DUMMYFUNCTION("IMPORTRANGE(""https://docs.google.com/spreadsheets/d/1IYY_tgx_IHuhSq3AJ5eI5OnqOPBNLWSHKh2a30DoXe8/edit?usp=sharing"",""ภูเก็ต!J419"")"),0)</f>
        <v>0</v>
      </c>
      <c r="K524" s="169">
        <v>0</v>
      </c>
      <c r="L524" s="189"/>
      <c r="M524" s="189"/>
      <c r="N524" s="189"/>
      <c r="O524" s="189"/>
      <c r="P524" s="189"/>
    </row>
    <row r="525" spans="1:16" ht="21.75" customHeight="1" x14ac:dyDescent="0.35">
      <c r="A525" s="183"/>
      <c r="B525" s="184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IFERROR(__xludf.DUMMYFUNCTION("IMPORTRANGE(""https://docs.google.com/spreadsheets/d/1IYY_tgx_IHuhSq3AJ5eI5OnqOPBNLWSHKh2a30DoXe8/edit?usp=sharing"",""ภูเก็ต!I420"")"),0)</f>
        <v>0</v>
      </c>
      <c r="J525" s="290">
        <f ca="1">IFERROR(__xludf.DUMMYFUNCTION("IMPORTRANGE(""https://docs.google.com/spreadsheets/d/1IYY_tgx_IHuhSq3AJ5eI5OnqOPBNLWSHKh2a30DoXe8/edit?usp=sharing"",""ภูเก็ต!J420"")"),0)</f>
        <v>0</v>
      </c>
      <c r="K525" s="291">
        <v>0</v>
      </c>
      <c r="L525" s="189"/>
      <c r="M525" s="189"/>
      <c r="N525" s="189"/>
      <c r="O525" s="189"/>
      <c r="P525" s="189"/>
    </row>
    <row r="526" spans="1:16" ht="21.75" customHeight="1" x14ac:dyDescent="0.35">
      <c r="A526" s="183"/>
      <c r="B526" s="184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IFERROR(__xludf.DUMMYFUNCTION("IMPORTRANGE(""https://docs.google.com/spreadsheets/d/1IYY_tgx_IHuhSq3AJ5eI5OnqOPBNLWSHKh2a30DoXe8/edit?usp=sharing"",""ภูเก็ต!I421"")"),0)</f>
        <v>0</v>
      </c>
      <c r="J526" s="290">
        <f ca="1">IFERROR(__xludf.DUMMYFUNCTION("IMPORTRANGE(""https://docs.google.com/spreadsheets/d/1IYY_tgx_IHuhSq3AJ5eI5OnqOPBNLWSHKh2a30DoXe8/edit?usp=sharing"",""ภูเก็ต!J421"")"),0)</f>
        <v>0</v>
      </c>
      <c r="K526" s="291">
        <v>0</v>
      </c>
      <c r="L526" s="189"/>
      <c r="M526" s="189"/>
      <c r="N526" s="189"/>
      <c r="O526" s="189"/>
      <c r="P526" s="189"/>
    </row>
    <row r="527" spans="1:16" ht="21.75" customHeight="1" x14ac:dyDescent="0.35">
      <c r="A527" s="183"/>
      <c r="B527" s="184"/>
      <c r="C527" s="184"/>
      <c r="D527" s="201"/>
      <c r="E527" s="203"/>
      <c r="F527" s="203"/>
      <c r="G527" s="233" t="s">
        <v>196</v>
      </c>
      <c r="H527" s="428" t="s">
        <v>122</v>
      </c>
      <c r="I527" s="195">
        <f ca="1">IFERROR(__xludf.DUMMYFUNCTION("IMPORTRANGE(""https://docs.google.com/spreadsheets/d/1IYY_tgx_IHuhSq3AJ5eI5OnqOPBNLWSHKh2a30DoXe8/edit?usp=sharing"",""ภูเก็ต!I422"")"),0)</f>
        <v>0</v>
      </c>
      <c r="J527" s="205">
        <f ca="1">IFERROR(__xludf.DUMMYFUNCTION("IMPORTRANGE(""https://docs.google.com/spreadsheets/d/1IYY_tgx_IHuhSq3AJ5eI5OnqOPBNLWSHKh2a30DoXe8/edit?usp=sharing"",""ภูเก็ต!J422"")"),0)</f>
        <v>0</v>
      </c>
      <c r="K527" s="169">
        <v>0</v>
      </c>
      <c r="L527" s="189"/>
      <c r="M527" s="189"/>
      <c r="N527" s="189"/>
      <c r="O527" s="189"/>
      <c r="P527" s="189"/>
    </row>
    <row r="528" spans="1:16" ht="21.75" customHeight="1" x14ac:dyDescent="0.35">
      <c r="A528" s="183"/>
      <c r="B528" s="184"/>
      <c r="C528" s="184"/>
      <c r="D528" s="201"/>
      <c r="E528" s="203"/>
      <c r="F528" s="203"/>
      <c r="G528" s="204"/>
      <c r="H528" s="428" t="s">
        <v>36</v>
      </c>
      <c r="I528" s="195">
        <f ca="1">IFERROR(__xludf.DUMMYFUNCTION("IMPORTRANGE(""https://docs.google.com/spreadsheets/d/1IYY_tgx_IHuhSq3AJ5eI5OnqOPBNLWSHKh2a30DoXe8/edit?usp=sharing"",""ภูเก็ต!I423"")"),0)</f>
        <v>0</v>
      </c>
      <c r="J528" s="205">
        <f ca="1">IFERROR(__xludf.DUMMYFUNCTION("IMPORTRANGE(""https://docs.google.com/spreadsheets/d/1IYY_tgx_IHuhSq3AJ5eI5OnqOPBNLWSHKh2a30DoXe8/edit?usp=sharing"",""ภูเก็ต!J423"")"),0)</f>
        <v>0</v>
      </c>
      <c r="K528" s="169">
        <v>0</v>
      </c>
      <c r="L528" s="189"/>
      <c r="M528" s="189"/>
      <c r="N528" s="189"/>
      <c r="O528" s="189"/>
      <c r="P528" s="189"/>
    </row>
    <row r="529" spans="1:16" ht="21.75" customHeight="1" x14ac:dyDescent="0.35">
      <c r="A529" s="183"/>
      <c r="B529" s="184"/>
      <c r="C529" s="184"/>
      <c r="D529" s="201"/>
      <c r="E529" s="203"/>
      <c r="F529" s="203"/>
      <c r="G529" s="233" t="s">
        <v>197</v>
      </c>
      <c r="H529" s="428" t="s">
        <v>122</v>
      </c>
      <c r="I529" s="195">
        <f ca="1">IFERROR(__xludf.DUMMYFUNCTION("IMPORTRANGE(""https://docs.google.com/spreadsheets/d/1IYY_tgx_IHuhSq3AJ5eI5OnqOPBNLWSHKh2a30DoXe8/edit?usp=sharing"",""ภูเก็ต!I424"")"),0)</f>
        <v>0</v>
      </c>
      <c r="J529" s="205">
        <f ca="1">IFERROR(__xludf.DUMMYFUNCTION("IMPORTRANGE(""https://docs.google.com/spreadsheets/d/1IYY_tgx_IHuhSq3AJ5eI5OnqOPBNLWSHKh2a30DoXe8/edit?usp=sharing"",""ภูเก็ต!J424"")"),0)</f>
        <v>0</v>
      </c>
      <c r="K529" s="169">
        <v>0</v>
      </c>
      <c r="L529" s="189"/>
      <c r="M529" s="189"/>
      <c r="N529" s="189"/>
      <c r="O529" s="189"/>
      <c r="P529" s="189"/>
    </row>
    <row r="530" spans="1:16" ht="21.75" customHeight="1" x14ac:dyDescent="0.35">
      <c r="A530" s="183"/>
      <c r="B530" s="184"/>
      <c r="C530" s="184"/>
      <c r="D530" s="201"/>
      <c r="E530" s="203"/>
      <c r="F530" s="203"/>
      <c r="G530" s="204"/>
      <c r="H530" s="428" t="s">
        <v>36</v>
      </c>
      <c r="I530" s="195">
        <f ca="1">IFERROR(__xludf.DUMMYFUNCTION("IMPORTRANGE(""https://docs.google.com/spreadsheets/d/1IYY_tgx_IHuhSq3AJ5eI5OnqOPBNLWSHKh2a30DoXe8/edit?usp=sharing"",""ภูเก็ต!I425"")"),0)</f>
        <v>0</v>
      </c>
      <c r="J530" s="205">
        <f ca="1">IFERROR(__xludf.DUMMYFUNCTION("IMPORTRANGE(""https://docs.google.com/spreadsheets/d/1IYY_tgx_IHuhSq3AJ5eI5OnqOPBNLWSHKh2a30DoXe8/edit?usp=sharing"",""ภูเก็ต!J425"")"),0)</f>
        <v>0</v>
      </c>
      <c r="K530" s="169">
        <v>0</v>
      </c>
      <c r="L530" s="189"/>
      <c r="M530" s="189"/>
      <c r="N530" s="189"/>
      <c r="O530" s="189"/>
      <c r="P530" s="189"/>
    </row>
    <row r="531" spans="1:16" ht="21.75" customHeight="1" x14ac:dyDescent="0.35">
      <c r="A531" s="183"/>
      <c r="B531" s="184"/>
      <c r="C531" s="184"/>
      <c r="D531" s="201"/>
      <c r="E531" s="203"/>
      <c r="F531" s="203"/>
      <c r="G531" s="233" t="s">
        <v>201</v>
      </c>
      <c r="H531" s="428" t="s">
        <v>122</v>
      </c>
      <c r="I531" s="195">
        <f ca="1">IFERROR(__xludf.DUMMYFUNCTION("IMPORTRANGE(""https://docs.google.com/spreadsheets/d/1IYY_tgx_IHuhSq3AJ5eI5OnqOPBNLWSHKh2a30DoXe8/edit?usp=sharing"",""ภูเก็ต!I426"")"),0)</f>
        <v>0</v>
      </c>
      <c r="J531" s="205">
        <f ca="1">IFERROR(__xludf.DUMMYFUNCTION("IMPORTRANGE(""https://docs.google.com/spreadsheets/d/1IYY_tgx_IHuhSq3AJ5eI5OnqOPBNLWSHKh2a30DoXe8/edit?usp=sharing"",""ภูเก็ต!J426"")"),0)</f>
        <v>0</v>
      </c>
      <c r="K531" s="169">
        <v>0</v>
      </c>
      <c r="L531" s="189"/>
      <c r="M531" s="189"/>
      <c r="N531" s="189"/>
      <c r="O531" s="189"/>
      <c r="P531" s="189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IFERROR(__xludf.DUMMYFUNCTION("IMPORTRANGE(""https://docs.google.com/spreadsheets/d/1IYY_tgx_IHuhSq3AJ5eI5OnqOPBNLWSHKh2a30DoXe8/edit?usp=sharing"",""ภูเก็ต!I427"")"),0)</f>
        <v>0</v>
      </c>
      <c r="J532" s="472">
        <f ca="1">IFERROR(__xludf.DUMMYFUNCTION("IMPORTRANGE(""https://docs.google.com/spreadsheets/d/1IYY_tgx_IHuhSq3AJ5eI5OnqOPBNLWSHKh2a30DoXe8/edit?usp=sharing"",""ภูเก็ต!J427"")"),0)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IFERROR(__xludf.DUMMYFUNCTION("IMPORTRANGE(""https://docs.google.com/spreadsheets/d/1IYY_tgx_IHuhSq3AJ5eI5OnqOPBNLWSHKh2a30DoXe8/edit?usp=sharing"",""ภูเก็ต!I428"")"),13)</f>
        <v>13</v>
      </c>
      <c r="J533" s="416">
        <f ca="1">IFERROR(__xludf.DUMMYFUNCTION("IMPORTRANGE(""https://docs.google.com/spreadsheets/d/1IYY_tgx_IHuhSq3AJ5eI5OnqOPBNLWSHKh2a30DoXe8/edit?usp=sharing"",""ภูเก็ต!J428"")"),13)</f>
        <v>13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IFERROR(__xludf.DUMMYFUNCTION("IMPORTRANGE(""https://docs.google.com/spreadsheets/d/1IYY_tgx_IHuhSq3AJ5eI5OnqOPBNLWSHKh2a30DoXe8/edit?usp=sharing"",""ภูเก็ต!L428"")"),26700)</f>
        <v>26700</v>
      </c>
      <c r="M533" s="418"/>
      <c r="N533" s="418">
        <f ca="1">IFERROR(__xludf.DUMMYFUNCTION("IMPORTRANGE(""https://docs.google.com/spreadsheets/d/1IYY_tgx_IHuhSq3AJ5eI5OnqOPBNLWSHKh2a30DoXe8/edit?usp=sharing"",""ภูเก็ต!M428"")"),7380)</f>
        <v>7380</v>
      </c>
      <c r="O533" s="418">
        <f t="shared" ref="O533:O537" ca="1" si="118">+IF(L533&gt;0,N533*100/L533,0)</f>
        <v>27.640449438202246</v>
      </c>
      <c r="P533" s="418"/>
    </row>
    <row r="534" spans="1:16" ht="21.75" customHeight="1" x14ac:dyDescent="0.35">
      <c r="A534" s="162"/>
      <c r="B534" s="163"/>
      <c r="C534" s="163" t="s">
        <v>16</v>
      </c>
      <c r="D534" s="164" t="s">
        <v>38</v>
      </c>
      <c r="E534" s="165"/>
      <c r="F534" s="165"/>
      <c r="G534" s="166" t="s">
        <v>39</v>
      </c>
      <c r="H534" s="167" t="s">
        <v>12</v>
      </c>
      <c r="I534" s="168" t="s">
        <v>40</v>
      </c>
      <c r="J534" s="168"/>
      <c r="K534" s="169"/>
      <c r="L534" s="170">
        <f ca="1">IFERROR(__xludf.DUMMYFUNCTION("IMPORTRANGE(""https://docs.google.com/spreadsheets/d/1IYY_tgx_IHuhSq3AJ5eI5OnqOPBNLWSHKh2a30DoXe8/edit?usp=sharing"",""ภูเก็ต!L429"")"),0)</f>
        <v>0</v>
      </c>
      <c r="M534" s="170"/>
      <c r="N534" s="176">
        <f ca="1">IFERROR(__xludf.DUMMYFUNCTION("IMPORTRANGE(""https://docs.google.com/spreadsheets/d/1IYY_tgx_IHuhSq3AJ5eI5OnqOPBNLWSHKh2a30DoXe8/edit?usp=sharing"",""ภูเก็ต!M429"")"),0)</f>
        <v>0</v>
      </c>
      <c r="O534" s="176">
        <f t="shared" ca="1" si="118"/>
        <v>0</v>
      </c>
      <c r="P534" s="176"/>
    </row>
    <row r="535" spans="1:16" ht="21.75" customHeight="1" x14ac:dyDescent="0.35">
      <c r="A535" s="162"/>
      <c r="B535" s="163"/>
      <c r="C535" s="163"/>
      <c r="D535" s="172"/>
      <c r="E535" s="165"/>
      <c r="F535" s="165" t="s">
        <v>40</v>
      </c>
      <c r="G535" s="166" t="s">
        <v>41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IFERROR(__xludf.DUMMYFUNCTION("IMPORTRANGE(""https://docs.google.com/spreadsheets/d/1IYY_tgx_IHuhSq3AJ5eI5OnqOPBNLWSHKh2a30DoXe8/edit?usp=sharing"",""ภูเก็ต!L430"")"),26700)</f>
        <v>26700</v>
      </c>
      <c r="M535" s="171"/>
      <c r="N535" s="176">
        <f ca="1">IFERROR(__xludf.DUMMYFUNCTION("IMPORTRANGE(""https://docs.google.com/spreadsheets/d/1IYY_tgx_IHuhSq3AJ5eI5OnqOPBNLWSHKh2a30DoXe8/edit?usp=sharing"",""ภูเก็ต!M430"")"),7380)</f>
        <v>7380</v>
      </c>
      <c r="O535" s="176">
        <f t="shared" ca="1" si="118"/>
        <v>27.640449438202246</v>
      </c>
      <c r="P535" s="176"/>
    </row>
    <row r="536" spans="1:16" ht="21.75" customHeight="1" x14ac:dyDescent="0.35">
      <c r="A536" s="162"/>
      <c r="B536" s="163"/>
      <c r="C536" s="163"/>
      <c r="D536" s="172"/>
      <c r="E536" s="165"/>
      <c r="F536" s="165"/>
      <c r="G536" s="380" t="s">
        <v>129</v>
      </c>
      <c r="H536" s="167" t="s">
        <v>12</v>
      </c>
      <c r="I536" s="168"/>
      <c r="J536" s="168"/>
      <c r="K536" s="169"/>
      <c r="L536" s="176">
        <f ca="1">IFERROR(__xludf.DUMMYFUNCTION("IMPORTRANGE(""https://docs.google.com/spreadsheets/d/1IYY_tgx_IHuhSq3AJ5eI5OnqOPBNLWSHKh2a30DoXe8/edit?usp=sharing"",""ภูเก็ต!L431"")"),0)</f>
        <v>0</v>
      </c>
      <c r="M536" s="176"/>
      <c r="N536" s="176">
        <f ca="1">IFERROR(__xludf.DUMMYFUNCTION("IMPORTRANGE(""https://docs.google.com/spreadsheets/d/1IYY_tgx_IHuhSq3AJ5eI5OnqOPBNLWSHKh2a30DoXe8/edit?usp=sharing"",""ภูเก็ต!M431"")"),0)</f>
        <v>0</v>
      </c>
      <c r="O536" s="176">
        <f t="shared" ca="1" si="118"/>
        <v>0</v>
      </c>
      <c r="P536" s="176"/>
    </row>
    <row r="537" spans="1:16" ht="21.75" customHeight="1" x14ac:dyDescent="0.35">
      <c r="A537" s="162"/>
      <c r="B537" s="163"/>
      <c r="C537" s="163"/>
      <c r="D537" s="172"/>
      <c r="E537" s="165"/>
      <c r="F537" s="165"/>
      <c r="G537" s="380" t="s">
        <v>130</v>
      </c>
      <c r="H537" s="167" t="s">
        <v>12</v>
      </c>
      <c r="I537" s="168"/>
      <c r="J537" s="168"/>
      <c r="K537" s="169"/>
      <c r="L537" s="176">
        <f ca="1">IFERROR(__xludf.DUMMYFUNCTION("IMPORTRANGE(""https://docs.google.com/spreadsheets/d/1IYY_tgx_IHuhSq3AJ5eI5OnqOPBNLWSHKh2a30DoXe8/edit?usp=sharing"",""ภูเก็ต!L432"")"),26700)</f>
        <v>26700</v>
      </c>
      <c r="M537" s="176"/>
      <c r="N537" s="176">
        <f ca="1">IFERROR(__xludf.DUMMYFUNCTION("IMPORTRANGE(""https://docs.google.com/spreadsheets/d/1IYY_tgx_IHuhSq3AJ5eI5OnqOPBNLWSHKh2a30DoXe8/edit?usp=sharing"",""ภูเก็ต!M432"")"),7380)</f>
        <v>7380</v>
      </c>
      <c r="O537" s="176">
        <f t="shared" ca="1" si="118"/>
        <v>27.640449438202246</v>
      </c>
      <c r="P537" s="176"/>
    </row>
    <row r="538" spans="1:16" ht="21.75" customHeight="1" x14ac:dyDescent="0.35">
      <c r="A538" s="381"/>
      <c r="B538" s="382"/>
      <c r="C538" s="163"/>
      <c r="D538" s="383"/>
      <c r="E538" s="165"/>
      <c r="F538" s="165"/>
      <c r="G538" s="384" t="s">
        <v>131</v>
      </c>
      <c r="H538" s="167" t="s">
        <v>12</v>
      </c>
      <c r="I538" s="195"/>
      <c r="J538" s="195"/>
      <c r="K538" s="231"/>
      <c r="L538" s="176"/>
      <c r="M538" s="176"/>
      <c r="N538" s="385">
        <f ca="1">IFERROR(__xludf.DUMMYFUNCTION("IMPORTRANGE(""https://docs.google.com/spreadsheets/d/1IYY_tgx_IHuhSq3AJ5eI5OnqOPBNLWSHKh2a30DoXe8/edit?usp=sharing"",""ภูเก็ต!M433"")"),7380)</f>
        <v>7380</v>
      </c>
      <c r="O538" s="176"/>
      <c r="P538" s="176"/>
    </row>
    <row r="539" spans="1:16" ht="21.75" customHeight="1" x14ac:dyDescent="0.35">
      <c r="A539" s="381"/>
      <c r="B539" s="382"/>
      <c r="C539" s="163"/>
      <c r="D539" s="383"/>
      <c r="E539" s="165"/>
      <c r="F539" s="165"/>
      <c r="G539" s="384" t="s">
        <v>132</v>
      </c>
      <c r="H539" s="167" t="s">
        <v>12</v>
      </c>
      <c r="I539" s="195"/>
      <c r="J539" s="195"/>
      <c r="K539" s="231"/>
      <c r="L539" s="176"/>
      <c r="M539" s="176"/>
      <c r="N539" s="385">
        <f ca="1">IFERROR(__xludf.DUMMYFUNCTION("IMPORTRANGE(""https://docs.google.com/spreadsheets/d/1IYY_tgx_IHuhSq3AJ5eI5OnqOPBNLWSHKh2a30DoXe8/edit?usp=sharing"",""ภูเก็ต!M434"")"),0)</f>
        <v>0</v>
      </c>
      <c r="O539" s="176"/>
      <c r="P539" s="176"/>
    </row>
    <row r="540" spans="1:16" ht="21.75" customHeight="1" x14ac:dyDescent="0.35">
      <c r="A540" s="381"/>
      <c r="B540" s="382"/>
      <c r="C540" s="163"/>
      <c r="D540" s="383"/>
      <c r="E540" s="165"/>
      <c r="F540" s="165"/>
      <c r="G540" s="384" t="s">
        <v>133</v>
      </c>
      <c r="H540" s="167" t="s">
        <v>12</v>
      </c>
      <c r="I540" s="195"/>
      <c r="J540" s="195"/>
      <c r="K540" s="231"/>
      <c r="L540" s="176"/>
      <c r="M540" s="176"/>
      <c r="N540" s="385">
        <f ca="1">IFERROR(__xludf.DUMMYFUNCTION("IMPORTRANGE(""https://docs.google.com/spreadsheets/d/1IYY_tgx_IHuhSq3AJ5eI5OnqOPBNLWSHKh2a30DoXe8/edit?usp=sharing"",""ภูเก็ต!M435"")"),0)</f>
        <v>0</v>
      </c>
      <c r="O540" s="176"/>
      <c r="P540" s="176"/>
    </row>
    <row r="541" spans="1:16" ht="21.75" customHeight="1" x14ac:dyDescent="0.35">
      <c r="A541" s="381"/>
      <c r="B541" s="382"/>
      <c r="C541" s="163"/>
      <c r="D541" s="383"/>
      <c r="E541" s="165"/>
      <c r="F541" s="165"/>
      <c r="G541" s="384" t="s">
        <v>134</v>
      </c>
      <c r="H541" s="167" t="s">
        <v>12</v>
      </c>
      <c r="I541" s="195"/>
      <c r="J541" s="195"/>
      <c r="K541" s="231"/>
      <c r="L541" s="176"/>
      <c r="M541" s="176"/>
      <c r="N541" s="385">
        <f ca="1">IFERROR(__xludf.DUMMYFUNCTION("IMPORTRANGE(""https://docs.google.com/spreadsheets/d/1IYY_tgx_IHuhSq3AJ5eI5OnqOPBNLWSHKh2a30DoXe8/edit?usp=sharing"",""ภูเก็ต!M436"")"),0)</f>
        <v>0</v>
      </c>
      <c r="O541" s="176"/>
      <c r="P541" s="176"/>
    </row>
    <row r="542" spans="1:16" ht="21.75" customHeight="1" x14ac:dyDescent="0.35">
      <c r="A542" s="183"/>
      <c r="B542" s="184"/>
      <c r="C542" s="163" t="s">
        <v>16</v>
      </c>
      <c r="D542" s="185" t="s">
        <v>44</v>
      </c>
      <c r="E542" s="186"/>
      <c r="F542" s="186"/>
      <c r="G542" s="187"/>
      <c r="H542" s="188"/>
      <c r="I542" s="168"/>
      <c r="J542" s="168"/>
      <c r="K542" s="169"/>
      <c r="L542" s="189"/>
      <c r="M542" s="189"/>
      <c r="N542" s="189"/>
      <c r="O542" s="189"/>
      <c r="P542" s="189"/>
    </row>
    <row r="543" spans="1:16" ht="21.75" customHeight="1" x14ac:dyDescent="0.35">
      <c r="A543" s="183"/>
      <c r="B543" s="184"/>
      <c r="C543" s="184"/>
      <c r="D543" s="190">
        <v>1</v>
      </c>
      <c r="E543" s="191" t="s">
        <v>45</v>
      </c>
      <c r="F543" s="192"/>
      <c r="G543" s="193"/>
      <c r="H543" s="194"/>
      <c r="I543" s="195"/>
      <c r="J543" s="205">
        <f ca="1">IFERROR(__xludf.DUMMYFUNCTION("IMPORTRANGE(""https://docs.google.com/spreadsheets/d/1IYY_tgx_IHuhSq3AJ5eI5OnqOPBNLWSHKh2a30DoXe8/edit?usp=sharing"",""ภูเก็ต!J438"")"),0)</f>
        <v>0</v>
      </c>
      <c r="K543" s="169"/>
      <c r="L543" s="189"/>
      <c r="M543" s="189"/>
      <c r="N543" s="189"/>
      <c r="O543" s="189"/>
      <c r="P543" s="189"/>
    </row>
    <row r="544" spans="1:16" ht="21.75" customHeight="1" x14ac:dyDescent="0.35">
      <c r="A544" s="183"/>
      <c r="B544" s="184"/>
      <c r="C544" s="184"/>
      <c r="D544" s="197">
        <v>2</v>
      </c>
      <c r="E544" s="198" t="s">
        <v>46</v>
      </c>
      <c r="F544" s="199"/>
      <c r="G544" s="200"/>
      <c r="H544" s="194"/>
      <c r="I544" s="195"/>
      <c r="J544" s="196">
        <f ca="1">IFERROR(__xludf.DUMMYFUNCTION("IMPORTRANGE(""https://docs.google.com/spreadsheets/d/1IYY_tgx_IHuhSq3AJ5eI5OnqOPBNLWSHKh2a30DoXe8/edit?usp=sharing"",""ภูเก็ต!J439"")"),1)</f>
        <v>1</v>
      </c>
      <c r="K544" s="169"/>
      <c r="L544" s="189" t="s">
        <v>40</v>
      </c>
      <c r="M544" s="189"/>
      <c r="N544" s="189" t="s">
        <v>40</v>
      </c>
      <c r="O544" s="189"/>
      <c r="P544" s="189"/>
    </row>
    <row r="545" spans="1:16" ht="21.75" customHeight="1" x14ac:dyDescent="0.35">
      <c r="A545" s="183"/>
      <c r="B545" s="184"/>
      <c r="C545" s="184"/>
      <c r="D545" s="201"/>
      <c r="E545" s="202" t="s">
        <v>47</v>
      </c>
      <c r="F545" s="203"/>
      <c r="G545" s="204"/>
      <c r="H545" s="194"/>
      <c r="I545" s="195"/>
      <c r="J545" s="196">
        <f ca="1">IFERROR(__xludf.DUMMYFUNCTION("IMPORTRANGE(""https://docs.google.com/spreadsheets/d/1IYY_tgx_IHuhSq3AJ5eI5OnqOPBNLWSHKh2a30DoXe8/edit?usp=sharing"",""ภูเก็ต!J440"")"),1)</f>
        <v>1</v>
      </c>
      <c r="K545" s="169"/>
      <c r="L545" s="189"/>
      <c r="M545" s="189"/>
      <c r="N545" s="189"/>
      <c r="O545" s="189"/>
      <c r="P545" s="189"/>
    </row>
    <row r="546" spans="1:16" ht="21.75" customHeight="1" x14ac:dyDescent="0.35">
      <c r="A546" s="183"/>
      <c r="B546" s="184"/>
      <c r="C546" s="184"/>
      <c r="D546" s="201"/>
      <c r="E546" s="202" t="s">
        <v>48</v>
      </c>
      <c r="F546" s="203"/>
      <c r="G546" s="204"/>
      <c r="H546" s="194"/>
      <c r="I546" s="195"/>
      <c r="J546" s="205">
        <f ca="1">IFERROR(__xludf.DUMMYFUNCTION("IMPORTRANGE(""https://docs.google.com/spreadsheets/d/1IYY_tgx_IHuhSq3AJ5eI5OnqOPBNLWSHKh2a30DoXe8/edit?usp=sharing"",""ภูเก็ต!J441"")"),1)</f>
        <v>1</v>
      </c>
      <c r="K546" s="169"/>
      <c r="L546" s="189"/>
      <c r="M546" s="189"/>
      <c r="N546" s="189"/>
      <c r="O546" s="189"/>
      <c r="P546" s="189"/>
    </row>
    <row r="547" spans="1:16" ht="21.75" customHeight="1" x14ac:dyDescent="0.35">
      <c r="A547" s="183"/>
      <c r="B547" s="184"/>
      <c r="C547" s="184"/>
      <c r="D547" s="201"/>
      <c r="E547" s="206"/>
      <c r="F547" s="203"/>
      <c r="G547" s="233" t="s">
        <v>203</v>
      </c>
      <c r="H547" s="194" t="s">
        <v>37</v>
      </c>
      <c r="I547" s="211">
        <f ca="1">IFERROR(__xludf.DUMMYFUNCTION("IMPORTRANGE(""https://docs.google.com/spreadsheets/d/1IYY_tgx_IHuhSq3AJ5eI5OnqOPBNLWSHKh2a30DoXe8/edit?usp=sharing"",""ภูเก็ต!I442"")"),13)</f>
        <v>13</v>
      </c>
      <c r="J547" s="196">
        <f ca="1">IFERROR(__xludf.DUMMYFUNCTION("IMPORTRANGE(""https://docs.google.com/spreadsheets/d/1IYY_tgx_IHuhSq3AJ5eI5OnqOPBNLWSHKh2a30DoXe8/edit?usp=sharing"",""ภูเก็ต!J442"")"),13)</f>
        <v>13</v>
      </c>
      <c r="K547" s="169">
        <f t="shared" ref="K547:K548" ca="1" si="119">IF(I547&gt;0,J547*100/I547,0)</f>
        <v>100</v>
      </c>
      <c r="L547" s="189"/>
      <c r="M547" s="189"/>
      <c r="N547" s="189"/>
      <c r="O547" s="189"/>
      <c r="P547" s="189"/>
    </row>
    <row r="548" spans="1:16" ht="21.75" hidden="1" customHeight="1" x14ac:dyDescent="0.35">
      <c r="A548" s="183"/>
      <c r="B548" s="184"/>
      <c r="C548" s="184"/>
      <c r="D548" s="201"/>
      <c r="E548" s="206"/>
      <c r="F548" s="203"/>
      <c r="G548" s="233" t="s">
        <v>204</v>
      </c>
      <c r="H548" s="194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5">
        <f ca="1">IFERROR(__xludf.DUMMYFUNCTION("IMPORTRANGE(""https://docs.google.com/spreadsheets/d/1IYY_tgx_IHuhSq3AJ5eI5OnqOPBNLWSHKh2a30DoXe8/edit?usp=sharing"",""ภูเก็ต!J166"")"),0)</f>
        <v>0</v>
      </c>
      <c r="K548" s="169">
        <f t="shared" ca="1" si="119"/>
        <v>0</v>
      </c>
      <c r="L548" s="189"/>
      <c r="M548" s="189"/>
      <c r="N548" s="189"/>
      <c r="O548" s="189"/>
      <c r="P548" s="189"/>
    </row>
    <row r="549" spans="1:16" ht="21.75" customHeight="1" x14ac:dyDescent="0.35">
      <c r="A549" s="183"/>
      <c r="B549" s="184"/>
      <c r="C549" s="184"/>
      <c r="D549" s="201"/>
      <c r="E549" s="202" t="s">
        <v>54</v>
      </c>
      <c r="F549" s="203"/>
      <c r="G549" s="204"/>
      <c r="H549" s="194"/>
      <c r="I549" s="195"/>
      <c r="J549" s="205">
        <f ca="1">IFERROR(__xludf.DUMMYFUNCTION("IMPORTRANGE(""https://docs.google.com/spreadsheets/d/1IYY_tgx_IHuhSq3AJ5eI5OnqOPBNLWSHKh2a30DoXe8/edit?usp=sharing"",""ภูเก็ต!J444"")"),0)</f>
        <v>0</v>
      </c>
      <c r="K549" s="169"/>
      <c r="L549" s="189"/>
      <c r="M549" s="189"/>
      <c r="N549" s="189"/>
      <c r="O549" s="189"/>
      <c r="P549" s="189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IFERROR(__xludf.DUMMYFUNCTION("IMPORTRANGE(""https://docs.google.com/spreadsheets/d/1IYY_tgx_IHuhSq3AJ5eI5OnqOPBNLWSHKh2a30DoXe8/edit?usp=sharing"",""ภูเก็ต!J445"")"),0)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IFERROR(__xludf.DUMMYFUNCTION("IMPORTRANGE(""https://docs.google.com/spreadsheets/d/1IYY_tgx_IHuhSq3AJ5eI5OnqOPBNLWSHKh2a30DoXe8/edit?usp=sharing"",""ภูเก็ต!I446"")"),0)</f>
        <v>0</v>
      </c>
      <c r="J551" s="416">
        <f ca="1">IFERROR(__xludf.DUMMYFUNCTION("IMPORTRANGE(""https://docs.google.com/spreadsheets/d/1IYY_tgx_IHuhSq3AJ5eI5OnqOPBNLWSHKh2a30DoXe8/edit?usp=sharing"",""ภูเก็ต!J446"")"),0)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IFERROR(__xludf.DUMMYFUNCTION("IMPORTRANGE(""https://docs.google.com/spreadsheets/d/1IYY_tgx_IHuhSq3AJ5eI5OnqOPBNLWSHKh2a30DoXe8/edit?usp=sharing"",""ภูเก็ต!L446"")"),0)</f>
        <v>0</v>
      </c>
      <c r="M551" s="418"/>
      <c r="N551" s="418">
        <f ca="1">IFERROR(__xludf.DUMMYFUNCTION("IMPORTRANGE(""https://docs.google.com/spreadsheets/d/1IYY_tgx_IHuhSq3AJ5eI5OnqOPBNLWSHKh2a30DoXe8/edit?usp=sharing"",""ภูเก็ต!M446"")"),0)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164" t="s">
        <v>38</v>
      </c>
      <c r="E552" s="165"/>
      <c r="F552" s="165"/>
      <c r="G552" s="166" t="s">
        <v>39</v>
      </c>
      <c r="H552" s="167" t="s">
        <v>12</v>
      </c>
      <c r="I552" s="168" t="s">
        <v>40</v>
      </c>
      <c r="J552" s="168"/>
      <c r="K552" s="169"/>
      <c r="L552" s="170">
        <f ca="1">IFERROR(__xludf.DUMMYFUNCTION("IMPORTRANGE(""https://docs.google.com/spreadsheets/d/1IYY_tgx_IHuhSq3AJ5eI5OnqOPBNLWSHKh2a30DoXe8/edit?usp=sharing"",""ภูเก็ต!L447"")"),0)</f>
        <v>0</v>
      </c>
      <c r="M552" s="170"/>
      <c r="N552" s="176">
        <f ca="1">IFERROR(__xludf.DUMMYFUNCTION("IMPORTRANGE(""https://docs.google.com/spreadsheets/d/1IYY_tgx_IHuhSq3AJ5eI5OnqOPBNLWSHKh2a30DoXe8/edit?usp=sharing"",""ภูเก็ต!M447"")"),0)</f>
        <v>0</v>
      </c>
      <c r="O552" s="176">
        <f t="shared" ca="1" si="120"/>
        <v>0</v>
      </c>
      <c r="P552" s="176"/>
    </row>
    <row r="553" spans="1:16" ht="21.75" customHeight="1" x14ac:dyDescent="0.35">
      <c r="A553" s="162"/>
      <c r="B553" s="163"/>
      <c r="C553" s="163"/>
      <c r="D553" s="172"/>
      <c r="E553" s="165"/>
      <c r="F553" s="165" t="s">
        <v>40</v>
      </c>
      <c r="G553" s="166" t="s">
        <v>41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IFERROR(__xludf.DUMMYFUNCTION("IMPORTRANGE(""https://docs.google.com/spreadsheets/d/1IYY_tgx_IHuhSq3AJ5eI5OnqOPBNLWSHKh2a30DoXe8/edit?usp=sharing"",""ภูเก็ต!L448"")"),0)</f>
        <v>0</v>
      </c>
      <c r="M553" s="171"/>
      <c r="N553" s="176">
        <f ca="1">IFERROR(__xludf.DUMMYFUNCTION("IMPORTRANGE(""https://docs.google.com/spreadsheets/d/1IYY_tgx_IHuhSq3AJ5eI5OnqOPBNLWSHKh2a30DoXe8/edit?usp=sharing"",""ภูเก็ต!M448"")"),0)</f>
        <v>0</v>
      </c>
      <c r="O553" s="176">
        <f t="shared" ca="1" si="120"/>
        <v>0</v>
      </c>
      <c r="P553" s="176"/>
    </row>
    <row r="554" spans="1:16" ht="21.75" customHeight="1" x14ac:dyDescent="0.35">
      <c r="A554" s="162"/>
      <c r="B554" s="163"/>
      <c r="C554" s="163"/>
      <c r="D554" s="172"/>
      <c r="E554" s="165"/>
      <c r="F554" s="165"/>
      <c r="G554" s="380" t="s">
        <v>129</v>
      </c>
      <c r="H554" s="167" t="s">
        <v>12</v>
      </c>
      <c r="I554" s="168"/>
      <c r="J554" s="168"/>
      <c r="K554" s="169"/>
      <c r="L554" s="176">
        <f ca="1">IFERROR(__xludf.DUMMYFUNCTION("IMPORTRANGE(""https://docs.google.com/spreadsheets/d/1IYY_tgx_IHuhSq3AJ5eI5OnqOPBNLWSHKh2a30DoXe8/edit?usp=sharing"",""ภูเก็ต!L449"")"),0)</f>
        <v>0</v>
      </c>
      <c r="M554" s="176"/>
      <c r="N554" s="176">
        <f ca="1">IFERROR(__xludf.DUMMYFUNCTION("IMPORTRANGE(""https://docs.google.com/spreadsheets/d/1IYY_tgx_IHuhSq3AJ5eI5OnqOPBNLWSHKh2a30DoXe8/edit?usp=sharing"",""ภูเก็ต!M449"")"),0)</f>
        <v>0</v>
      </c>
      <c r="O554" s="176">
        <f t="shared" ca="1" si="120"/>
        <v>0</v>
      </c>
      <c r="P554" s="176"/>
    </row>
    <row r="555" spans="1:16" ht="21.75" customHeight="1" x14ac:dyDescent="0.35">
      <c r="A555" s="162"/>
      <c r="B555" s="163"/>
      <c r="C555" s="163"/>
      <c r="D555" s="172"/>
      <c r="E555" s="165"/>
      <c r="F555" s="165"/>
      <c r="G555" s="380" t="s">
        <v>130</v>
      </c>
      <c r="H555" s="167" t="s">
        <v>12</v>
      </c>
      <c r="I555" s="168"/>
      <c r="J555" s="168"/>
      <c r="K555" s="169"/>
      <c r="L555" s="176">
        <f ca="1">IFERROR(__xludf.DUMMYFUNCTION("IMPORTRANGE(""https://docs.google.com/spreadsheets/d/1IYY_tgx_IHuhSq3AJ5eI5OnqOPBNLWSHKh2a30DoXe8/edit?usp=sharing"",""ภูเก็ต!L450"")"),0)</f>
        <v>0</v>
      </c>
      <c r="M555" s="176"/>
      <c r="N555" s="176">
        <f ca="1">IFERROR(__xludf.DUMMYFUNCTION("IMPORTRANGE(""https://docs.google.com/spreadsheets/d/1IYY_tgx_IHuhSq3AJ5eI5OnqOPBNLWSHKh2a30DoXe8/edit?usp=sharing"",""ภูเก็ต!M450"")"),0)</f>
        <v>0</v>
      </c>
      <c r="O555" s="176">
        <f t="shared" ca="1" si="120"/>
        <v>0</v>
      </c>
      <c r="P555" s="176"/>
    </row>
    <row r="556" spans="1:16" ht="21.75" customHeight="1" x14ac:dyDescent="0.35">
      <c r="A556" s="381"/>
      <c r="B556" s="382"/>
      <c r="C556" s="163"/>
      <c r="D556" s="383"/>
      <c r="E556" s="165"/>
      <c r="F556" s="165"/>
      <c r="G556" s="384" t="s">
        <v>131</v>
      </c>
      <c r="H556" s="167" t="s">
        <v>12</v>
      </c>
      <c r="I556" s="195"/>
      <c r="J556" s="195"/>
      <c r="K556" s="231"/>
      <c r="L556" s="176"/>
      <c r="M556" s="176"/>
      <c r="N556" s="173">
        <f ca="1">IFERROR(__xludf.DUMMYFUNCTION("IMPORTRANGE(""https://docs.google.com/spreadsheets/d/1IYY_tgx_IHuhSq3AJ5eI5OnqOPBNLWSHKh2a30DoXe8/edit?usp=sharing"",""ภูเก็ต!M451"")"),0)</f>
        <v>0</v>
      </c>
      <c r="O556" s="176"/>
      <c r="P556" s="176"/>
    </row>
    <row r="557" spans="1:16" ht="21.75" customHeight="1" x14ac:dyDescent="0.35">
      <c r="A557" s="381"/>
      <c r="B557" s="382"/>
      <c r="C557" s="163"/>
      <c r="D557" s="383"/>
      <c r="E557" s="165"/>
      <c r="F557" s="165"/>
      <c r="G557" s="384" t="s">
        <v>132</v>
      </c>
      <c r="H557" s="167" t="s">
        <v>12</v>
      </c>
      <c r="I557" s="195"/>
      <c r="J557" s="195"/>
      <c r="K557" s="231"/>
      <c r="L557" s="176"/>
      <c r="M557" s="176"/>
      <c r="N557" s="173">
        <f ca="1">IFERROR(__xludf.DUMMYFUNCTION("IMPORTRANGE(""https://docs.google.com/spreadsheets/d/1IYY_tgx_IHuhSq3AJ5eI5OnqOPBNLWSHKh2a30DoXe8/edit?usp=sharing"",""ภูเก็ต!M452"")"),0)</f>
        <v>0</v>
      </c>
      <c r="O557" s="176"/>
      <c r="P557" s="176"/>
    </row>
    <row r="558" spans="1:16" ht="21.75" customHeight="1" x14ac:dyDescent="0.35">
      <c r="A558" s="381"/>
      <c r="B558" s="382"/>
      <c r="C558" s="163"/>
      <c r="D558" s="383"/>
      <c r="E558" s="165"/>
      <c r="F558" s="165"/>
      <c r="G558" s="384" t="s">
        <v>133</v>
      </c>
      <c r="H558" s="167" t="s">
        <v>12</v>
      </c>
      <c r="I558" s="195"/>
      <c r="J558" s="195"/>
      <c r="K558" s="231"/>
      <c r="L558" s="176"/>
      <c r="M558" s="176"/>
      <c r="N558" s="173">
        <f ca="1">IFERROR(__xludf.DUMMYFUNCTION("IMPORTRANGE(""https://docs.google.com/spreadsheets/d/1IYY_tgx_IHuhSq3AJ5eI5OnqOPBNLWSHKh2a30DoXe8/edit?usp=sharing"",""ภูเก็ต!M453"")"),0)</f>
        <v>0</v>
      </c>
      <c r="O558" s="176"/>
      <c r="P558" s="176"/>
    </row>
    <row r="559" spans="1:16" ht="21.75" customHeight="1" x14ac:dyDescent="0.35">
      <c r="A559" s="381"/>
      <c r="B559" s="382"/>
      <c r="C559" s="163"/>
      <c r="D559" s="383"/>
      <c r="E559" s="165"/>
      <c r="F559" s="165"/>
      <c r="G559" s="384" t="s">
        <v>134</v>
      </c>
      <c r="H559" s="167" t="s">
        <v>12</v>
      </c>
      <c r="I559" s="195"/>
      <c r="J559" s="195"/>
      <c r="K559" s="231"/>
      <c r="L559" s="176"/>
      <c r="M559" s="176"/>
      <c r="N559" s="173">
        <f ca="1">IFERROR(__xludf.DUMMYFUNCTION("IMPORTRANGE(""https://docs.google.com/spreadsheets/d/1IYY_tgx_IHuhSq3AJ5eI5OnqOPBNLWSHKh2a30DoXe8/edit?usp=sharing"",""ภูเก็ต!M454"")"),0)</f>
        <v>0</v>
      </c>
      <c r="O559" s="176"/>
      <c r="P559" s="176"/>
    </row>
    <row r="560" spans="1:16" ht="21.75" customHeight="1" x14ac:dyDescent="0.35">
      <c r="A560" s="183"/>
      <c r="B560" s="184"/>
      <c r="C560" s="184"/>
      <c r="D560" s="201"/>
      <c r="E560" s="203"/>
      <c r="F560" s="285" t="s">
        <v>206</v>
      </c>
      <c r="G560" s="204"/>
      <c r="H560" s="481" t="s">
        <v>122</v>
      </c>
      <c r="I560" s="168">
        <f ca="1">IFERROR(__xludf.DUMMYFUNCTION("IMPORTRANGE(""https://docs.google.com/spreadsheets/d/1IYY_tgx_IHuhSq3AJ5eI5OnqOPBNLWSHKh2a30DoXe8/edit?usp=sharing"",""ภูเก็ต!I455"")"),0)</f>
        <v>0</v>
      </c>
      <c r="J560" s="168">
        <f ca="1">IFERROR(__xludf.DUMMYFUNCTION("IMPORTRANGE(""https://docs.google.com/spreadsheets/d/1IYY_tgx_IHuhSq3AJ5eI5OnqOPBNLWSHKh2a30DoXe8/edit?usp=sharing"",""ภูเก็ต!J455"")"),0)</f>
        <v>0</v>
      </c>
      <c r="K560" s="231">
        <f t="shared" ref="K560:K564" ca="1" si="121">IF(I560&gt;0,J560*100/I560,0)</f>
        <v>0</v>
      </c>
      <c r="L560" s="176"/>
      <c r="M560" s="176"/>
      <c r="N560" s="176"/>
      <c r="O560" s="189"/>
      <c r="P560" s="189"/>
    </row>
    <row r="561" spans="1:16" ht="21.75" customHeight="1" x14ac:dyDescent="0.35">
      <c r="A561" s="183"/>
      <c r="B561" s="184"/>
      <c r="C561" s="184"/>
      <c r="D561" s="201"/>
      <c r="E561" s="203"/>
      <c r="F561" s="203"/>
      <c r="G561" s="204"/>
      <c r="H561" s="481" t="s">
        <v>36</v>
      </c>
      <c r="I561" s="168">
        <f ca="1">IFERROR(__xludf.DUMMYFUNCTION("IMPORTRANGE(""https://docs.google.com/spreadsheets/d/1IYY_tgx_IHuhSq3AJ5eI5OnqOPBNLWSHKh2a30DoXe8/edit?usp=sharing"",""ภูเก็ต!I456"")"),0)</f>
        <v>0</v>
      </c>
      <c r="J561" s="211">
        <f ca="1">IFERROR(__xludf.DUMMYFUNCTION("IMPORTRANGE(""https://docs.google.com/spreadsheets/d/1IYY_tgx_IHuhSq3AJ5eI5OnqOPBNLWSHKh2a30DoXe8/edit?usp=sharing"",""ภูเก็ต!J456"")"),0)</f>
        <v>0</v>
      </c>
      <c r="K561" s="231">
        <f t="shared" ca="1" si="121"/>
        <v>0</v>
      </c>
      <c r="L561" s="176"/>
      <c r="M561" s="176"/>
      <c r="N561" s="176"/>
      <c r="O561" s="189"/>
      <c r="P561" s="189"/>
    </row>
    <row r="562" spans="1:16" ht="21.75" customHeight="1" x14ac:dyDescent="0.35">
      <c r="A562" s="183"/>
      <c r="B562" s="184"/>
      <c r="C562" s="184"/>
      <c r="D562" s="201"/>
      <c r="E562" s="203"/>
      <c r="F562" s="203" t="s">
        <v>207</v>
      </c>
      <c r="G562" s="204"/>
      <c r="H562" s="481" t="s">
        <v>122</v>
      </c>
      <c r="I562" s="168">
        <f ca="1">IFERROR(__xludf.DUMMYFUNCTION("IMPORTRANGE(""https://docs.google.com/spreadsheets/d/1IYY_tgx_IHuhSq3AJ5eI5OnqOPBNLWSHKh2a30DoXe8/edit?usp=sharing"",""ภูเก็ต!I457"")"),0)</f>
        <v>0</v>
      </c>
      <c r="J562" s="211" t="str">
        <f ca="1">IFERROR(__xludf.DUMMYFUNCTION("IMPORTRANGE(""https://docs.google.com/spreadsheets/d/1IYY_tgx_IHuhSq3AJ5eI5OnqOPBNLWSHKh2a30DoXe8/edit?usp=sharing"",""ภูเก็ต!J457"")"),"")</f>
        <v/>
      </c>
      <c r="K562" s="169">
        <f t="shared" ca="1" si="121"/>
        <v>0</v>
      </c>
      <c r="L562" s="189"/>
      <c r="M562" s="189"/>
      <c r="N562" s="189"/>
      <c r="O562" s="189"/>
      <c r="P562" s="189"/>
    </row>
    <row r="563" spans="1:16" ht="21.75" customHeight="1" x14ac:dyDescent="0.35">
      <c r="A563" s="183"/>
      <c r="B563" s="184"/>
      <c r="C563" s="184"/>
      <c r="D563" s="201"/>
      <c r="E563" s="203"/>
      <c r="F563" s="203"/>
      <c r="G563" s="204"/>
      <c r="H563" s="481" t="s">
        <v>36</v>
      </c>
      <c r="I563" s="168">
        <f ca="1">IFERROR(__xludf.DUMMYFUNCTION("IMPORTRANGE(""https://docs.google.com/spreadsheets/d/1IYY_tgx_IHuhSq3AJ5eI5OnqOPBNLWSHKh2a30DoXe8/edit?usp=sharing"",""ภูเก็ต!I458"")"),0)</f>
        <v>0</v>
      </c>
      <c r="J563" s="195" t="str">
        <f ca="1">IFERROR(__xludf.DUMMYFUNCTION("IMPORTRANGE(""https://docs.google.com/spreadsheets/d/1IYY_tgx_IHuhSq3AJ5eI5OnqOPBNLWSHKh2a30DoXe8/edit?usp=sharing"",""ภูเก็ต!J458"")"),"")</f>
        <v/>
      </c>
      <c r="K563" s="169">
        <f t="shared" ca="1" si="121"/>
        <v>0</v>
      </c>
      <c r="L563" s="189"/>
      <c r="M563" s="189"/>
      <c r="N563" s="189"/>
      <c r="O563" s="189"/>
      <c r="P563" s="189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IFERROR(__xludf.DUMMYFUNCTION("IMPORTRANGE(""https://docs.google.com/spreadsheets/d/1IYY_tgx_IHuhSq3AJ5eI5OnqOPBNLWSHKh2a30DoXe8/edit?usp=sharing"",""ภูเก็ต!I459"")"),50)</f>
        <v>50</v>
      </c>
      <c r="J564" s="377">
        <f ca="1">IFERROR(__xludf.DUMMYFUNCTION("IMPORTRANGE(""https://docs.google.com/spreadsheets/d/1IYY_tgx_IHuhSq3AJ5eI5OnqOPBNLWSHKh2a30DoXe8/edit?usp=sharing"",""ภูเก็ต!J459"")"),0)</f>
        <v>0</v>
      </c>
      <c r="K564" s="378">
        <f t="shared" ca="1" si="121"/>
        <v>0</v>
      </c>
      <c r="L564" s="379">
        <f ca="1">IFERROR(__xludf.DUMMYFUNCTION("IMPORTRANGE(""https://docs.google.com/spreadsheets/d/1IYY_tgx_IHuhSq3AJ5eI5OnqOPBNLWSHKh2a30DoXe8/edit?usp=sharing"",""ภูเก็ต!L459"")"),119920)</f>
        <v>119920</v>
      </c>
      <c r="M564" s="379"/>
      <c r="N564" s="379">
        <f ca="1">IFERROR(__xludf.DUMMYFUNCTION("IMPORTRANGE(""https://docs.google.com/spreadsheets/d/1IYY_tgx_IHuhSq3AJ5eI5OnqOPBNLWSHKh2a30DoXe8/edit?usp=sharing"",""ภูเก็ต!M459"")"),40700)</f>
        <v>40700</v>
      </c>
      <c r="O564" s="379">
        <f t="shared" ref="O564:O568" ca="1" si="122">+IF(L564&gt;0,N564*100/L564,0)</f>
        <v>33.939292861907937</v>
      </c>
      <c r="P564" s="379"/>
    </row>
    <row r="565" spans="1:16" ht="21.75" customHeight="1" x14ac:dyDescent="0.35">
      <c r="A565" s="162"/>
      <c r="B565" s="163"/>
      <c r="C565" s="163" t="s">
        <v>16</v>
      </c>
      <c r="D565" s="164" t="s">
        <v>38</v>
      </c>
      <c r="E565" s="165"/>
      <c r="F565" s="165"/>
      <c r="G565" s="166" t="s">
        <v>39</v>
      </c>
      <c r="H565" s="167" t="s">
        <v>12</v>
      </c>
      <c r="I565" s="168" t="s">
        <v>40</v>
      </c>
      <c r="J565" s="168"/>
      <c r="K565" s="169"/>
      <c r="L565" s="170">
        <f ca="1">IFERROR(__xludf.DUMMYFUNCTION("IMPORTRANGE(""https://docs.google.com/spreadsheets/d/1IYY_tgx_IHuhSq3AJ5eI5OnqOPBNLWSHKh2a30DoXe8/edit?usp=sharing"",""ภูเก็ต!L460"")"),0)</f>
        <v>0</v>
      </c>
      <c r="M565" s="170"/>
      <c r="N565" s="176">
        <f ca="1">IFERROR(__xludf.DUMMYFUNCTION("IMPORTRANGE(""https://docs.google.com/spreadsheets/d/1IYY_tgx_IHuhSq3AJ5eI5OnqOPBNLWSHKh2a30DoXe8/edit?usp=sharing"",""ภูเก็ต!M460"")"),0)</f>
        <v>0</v>
      </c>
      <c r="O565" s="176">
        <f t="shared" ca="1" si="122"/>
        <v>0</v>
      </c>
      <c r="P565" s="176"/>
    </row>
    <row r="566" spans="1:16" ht="21.75" customHeight="1" x14ac:dyDescent="0.35">
      <c r="A566" s="162"/>
      <c r="B566" s="163"/>
      <c r="C566" s="163"/>
      <c r="D566" s="172"/>
      <c r="E566" s="165"/>
      <c r="F566" s="165" t="s">
        <v>40</v>
      </c>
      <c r="G566" s="166" t="s">
        <v>41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IFERROR(__xludf.DUMMYFUNCTION("IMPORTRANGE(""https://docs.google.com/spreadsheets/d/1IYY_tgx_IHuhSq3AJ5eI5OnqOPBNLWSHKh2a30DoXe8/edit?usp=sharing"",""ภูเก็ต!L461"")"),119920)</f>
        <v>119920</v>
      </c>
      <c r="M566" s="171"/>
      <c r="N566" s="176">
        <f ca="1">IFERROR(__xludf.DUMMYFUNCTION("IMPORTRANGE(""https://docs.google.com/spreadsheets/d/1IYY_tgx_IHuhSq3AJ5eI5OnqOPBNLWSHKh2a30DoXe8/edit?usp=sharing"",""ภูเก็ต!M461"")"),40700)</f>
        <v>40700</v>
      </c>
      <c r="O566" s="176">
        <f t="shared" ca="1" si="122"/>
        <v>33.939292861907937</v>
      </c>
      <c r="P566" s="176"/>
    </row>
    <row r="567" spans="1:16" ht="21.75" customHeight="1" x14ac:dyDescent="0.35">
      <c r="A567" s="162"/>
      <c r="B567" s="163"/>
      <c r="C567" s="163"/>
      <c r="D567" s="172"/>
      <c r="E567" s="165"/>
      <c r="F567" s="165"/>
      <c r="G567" s="380" t="s">
        <v>129</v>
      </c>
      <c r="H567" s="167" t="s">
        <v>12</v>
      </c>
      <c r="I567" s="168"/>
      <c r="J567" s="168"/>
      <c r="K567" s="169"/>
      <c r="L567" s="176">
        <f ca="1">IFERROR(__xludf.DUMMYFUNCTION("IMPORTRANGE(""https://docs.google.com/spreadsheets/d/1IYY_tgx_IHuhSq3AJ5eI5OnqOPBNLWSHKh2a30DoXe8/edit?usp=sharing"",""ภูเก็ต!L462"")"),0)</f>
        <v>0</v>
      </c>
      <c r="M567" s="176"/>
      <c r="N567" s="176">
        <f ca="1">IFERROR(__xludf.DUMMYFUNCTION("IMPORTRANGE(""https://docs.google.com/spreadsheets/d/1IYY_tgx_IHuhSq3AJ5eI5OnqOPBNLWSHKh2a30DoXe8/edit?usp=sharing"",""ภูเก็ต!M462"")"),0)</f>
        <v>0</v>
      </c>
      <c r="O567" s="176">
        <f t="shared" ca="1" si="122"/>
        <v>0</v>
      </c>
      <c r="P567" s="176"/>
    </row>
    <row r="568" spans="1:16" ht="21.75" customHeight="1" x14ac:dyDescent="0.35">
      <c r="A568" s="162"/>
      <c r="B568" s="163"/>
      <c r="C568" s="163"/>
      <c r="D568" s="172"/>
      <c r="E568" s="165"/>
      <c r="F568" s="165"/>
      <c r="G568" s="380" t="s">
        <v>130</v>
      </c>
      <c r="H568" s="167" t="s">
        <v>12</v>
      </c>
      <c r="I568" s="168"/>
      <c r="J568" s="168"/>
      <c r="K568" s="169"/>
      <c r="L568" s="176">
        <f ca="1">IFERROR(__xludf.DUMMYFUNCTION("IMPORTRANGE(""https://docs.google.com/spreadsheets/d/1IYY_tgx_IHuhSq3AJ5eI5OnqOPBNLWSHKh2a30DoXe8/edit?usp=sharing"",""ภูเก็ต!L463"")"),119920)</f>
        <v>119920</v>
      </c>
      <c r="M568" s="176"/>
      <c r="N568" s="176">
        <f ca="1">IFERROR(__xludf.DUMMYFUNCTION("IMPORTRANGE(""https://docs.google.com/spreadsheets/d/1IYY_tgx_IHuhSq3AJ5eI5OnqOPBNLWSHKh2a30DoXe8/edit?usp=sharing"",""ภูเก็ต!M463"")"),40700)</f>
        <v>40700</v>
      </c>
      <c r="O568" s="176">
        <f t="shared" ca="1" si="122"/>
        <v>33.939292861907937</v>
      </c>
      <c r="P568" s="176"/>
    </row>
    <row r="569" spans="1:16" ht="21.75" customHeight="1" x14ac:dyDescent="0.35">
      <c r="A569" s="381"/>
      <c r="B569" s="382"/>
      <c r="C569" s="163"/>
      <c r="D569" s="383"/>
      <c r="E569" s="165"/>
      <c r="F569" s="165"/>
      <c r="G569" s="384" t="s">
        <v>131</v>
      </c>
      <c r="H569" s="167" t="s">
        <v>12</v>
      </c>
      <c r="I569" s="195"/>
      <c r="J569" s="195"/>
      <c r="K569" s="231"/>
      <c r="L569" s="176"/>
      <c r="M569" s="176"/>
      <c r="N569" s="173">
        <f ca="1">IFERROR(__xludf.DUMMYFUNCTION("IMPORTRANGE(""https://docs.google.com/spreadsheets/d/1IYY_tgx_IHuhSq3AJ5eI5OnqOPBNLWSHKh2a30DoXe8/edit?usp=sharing"",""ภูเก็ต!M464"")"),0)</f>
        <v>0</v>
      </c>
      <c r="O569" s="176"/>
      <c r="P569" s="176"/>
    </row>
    <row r="570" spans="1:16" ht="21.75" customHeight="1" x14ac:dyDescent="0.35">
      <c r="A570" s="381"/>
      <c r="B570" s="382"/>
      <c r="C570" s="163"/>
      <c r="D570" s="383"/>
      <c r="E570" s="165"/>
      <c r="F570" s="165"/>
      <c r="G570" s="384" t="s">
        <v>132</v>
      </c>
      <c r="H570" s="167" t="s">
        <v>12</v>
      </c>
      <c r="I570" s="195"/>
      <c r="J570" s="195"/>
      <c r="K570" s="231"/>
      <c r="L570" s="176"/>
      <c r="M570" s="176"/>
      <c r="N570" s="173">
        <f ca="1">IFERROR(__xludf.DUMMYFUNCTION("IMPORTRANGE(""https://docs.google.com/spreadsheets/d/1IYY_tgx_IHuhSq3AJ5eI5OnqOPBNLWSHKh2a30DoXe8/edit?usp=sharing"",""ภูเก็ต!M465"")"),0)</f>
        <v>0</v>
      </c>
      <c r="O570" s="176"/>
      <c r="P570" s="176"/>
    </row>
    <row r="571" spans="1:16" ht="21.75" customHeight="1" x14ac:dyDescent="0.35">
      <c r="A571" s="381"/>
      <c r="B571" s="382"/>
      <c r="C571" s="163"/>
      <c r="D571" s="383"/>
      <c r="E571" s="165"/>
      <c r="F571" s="165"/>
      <c r="G571" s="384" t="s">
        <v>133</v>
      </c>
      <c r="H571" s="167" t="s">
        <v>12</v>
      </c>
      <c r="I571" s="195"/>
      <c r="J571" s="195"/>
      <c r="K571" s="231"/>
      <c r="L571" s="176"/>
      <c r="M571" s="176"/>
      <c r="N571" s="385">
        <f ca="1">IFERROR(__xludf.DUMMYFUNCTION("IMPORTRANGE(""https://docs.google.com/spreadsheets/d/1IYY_tgx_IHuhSq3AJ5eI5OnqOPBNLWSHKh2a30DoXe8/edit?usp=sharing"",""ภูเก็ต!M466"")"),0)</f>
        <v>0</v>
      </c>
      <c r="O571" s="176"/>
      <c r="P571" s="176"/>
    </row>
    <row r="572" spans="1:16" ht="21.75" customHeight="1" x14ac:dyDescent="0.35">
      <c r="A572" s="381"/>
      <c r="B572" s="382"/>
      <c r="C572" s="163"/>
      <c r="D572" s="383"/>
      <c r="E572" s="165"/>
      <c r="F572" s="165"/>
      <c r="G572" s="384" t="s">
        <v>134</v>
      </c>
      <c r="H572" s="167" t="s">
        <v>12</v>
      </c>
      <c r="I572" s="195"/>
      <c r="J572" s="195"/>
      <c r="K572" s="231"/>
      <c r="L572" s="176"/>
      <c r="M572" s="176"/>
      <c r="N572" s="385">
        <f ca="1">IFERROR(__xludf.DUMMYFUNCTION("IMPORTRANGE(""https://docs.google.com/spreadsheets/d/1IYY_tgx_IHuhSq3AJ5eI5OnqOPBNLWSHKh2a30DoXe8/edit?usp=sharing"",""ภูเก็ต!M467"")"),40700)</f>
        <v>40700</v>
      </c>
      <c r="O572" s="176"/>
      <c r="P572" s="176"/>
    </row>
    <row r="573" spans="1:16" ht="21.75" customHeight="1" x14ac:dyDescent="0.35">
      <c r="A573" s="183"/>
      <c r="B573" s="184"/>
      <c r="C573" s="184"/>
      <c r="D573" s="203"/>
      <c r="E573" s="202" t="s">
        <v>40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IFERROR(__xludf.DUMMYFUNCTION("IMPORTRANGE(""https://docs.google.com/spreadsheets/d/1IYY_tgx_IHuhSq3AJ5eI5OnqOPBNLWSHKh2a30DoXe8/edit?usp=sharing"",""ภูเก็ต!I468"")"),50)</f>
        <v>50</v>
      </c>
      <c r="J573" s="426">
        <f ca="1">IFERROR(__xludf.DUMMYFUNCTION("IMPORTRANGE(""https://docs.google.com/spreadsheets/d/1IYY_tgx_IHuhSq3AJ5eI5OnqOPBNLWSHKh2a30DoXe8/edit?usp=sharing"",""ภูเก็ต!J468"")"),0)</f>
        <v>0</v>
      </c>
      <c r="K573" s="209">
        <f ca="1">IF(I573&gt;0,J573*100/I573,0)</f>
        <v>0</v>
      </c>
      <c r="L573" s="189"/>
      <c r="M573" s="189"/>
      <c r="N573" s="189"/>
      <c r="O573" s="189"/>
      <c r="P573" s="189"/>
    </row>
    <row r="574" spans="1:16" ht="21.75" customHeight="1" x14ac:dyDescent="0.35">
      <c r="A574" s="183"/>
      <c r="B574" s="184"/>
      <c r="C574" s="184"/>
      <c r="D574" s="203"/>
      <c r="E574" s="203"/>
      <c r="F574" s="202" t="s">
        <v>210</v>
      </c>
      <c r="G574" s="204"/>
      <c r="H574" s="481"/>
      <c r="I574" s="168"/>
      <c r="J574" s="168"/>
      <c r="K574" s="169"/>
      <c r="L574" s="189"/>
      <c r="M574" s="189"/>
      <c r="N574" s="189"/>
      <c r="O574" s="189"/>
      <c r="P574" s="189"/>
    </row>
    <row r="575" spans="1:16" ht="21.75" customHeight="1" x14ac:dyDescent="0.35">
      <c r="A575" s="183"/>
      <c r="B575" s="184"/>
      <c r="C575" s="184"/>
      <c r="D575" s="203"/>
      <c r="E575" s="202" t="s">
        <v>40</v>
      </c>
      <c r="F575" s="202" t="s">
        <v>211</v>
      </c>
      <c r="G575" s="204"/>
      <c r="H575" s="481" t="s">
        <v>77</v>
      </c>
      <c r="I575" s="210">
        <f ca="1">IFERROR(__xludf.DUMMYFUNCTION("IMPORTRANGE(""https://docs.google.com/spreadsheets/d/1IYY_tgx_IHuhSq3AJ5eI5OnqOPBNLWSHKh2a30DoXe8/edit?usp=sharing"",""ภูเก็ต!I470"")"),0)</f>
        <v>0</v>
      </c>
      <c r="J575" s="205">
        <f ca="1">IFERROR(__xludf.DUMMYFUNCTION("IMPORTRANGE(""https://docs.google.com/spreadsheets/d/1IYY_tgx_IHuhSq3AJ5eI5OnqOPBNLWSHKh2a30DoXe8/edit?usp=sharing"",""ภูเก็ต!J470"")"),0)</f>
        <v>0</v>
      </c>
      <c r="K575" s="169">
        <f t="shared" ref="K575:K579" ca="1" si="123">IF(I575&gt;0,J575*100/I575,0)</f>
        <v>0</v>
      </c>
      <c r="L575" s="189"/>
      <c r="M575" s="189"/>
      <c r="N575" s="189"/>
      <c r="O575" s="189"/>
      <c r="P575" s="189"/>
    </row>
    <row r="576" spans="1:16" ht="21.75" customHeight="1" x14ac:dyDescent="0.35">
      <c r="A576" s="183"/>
      <c r="B576" s="184"/>
      <c r="C576" s="184"/>
      <c r="D576" s="203"/>
      <c r="E576" s="203"/>
      <c r="F576" s="202" t="s">
        <v>212</v>
      </c>
      <c r="G576" s="204"/>
      <c r="H576" s="481" t="s">
        <v>37</v>
      </c>
      <c r="I576" s="210">
        <f ca="1">IFERROR(__xludf.DUMMYFUNCTION("IMPORTRANGE(""https://docs.google.com/spreadsheets/d/1IYY_tgx_IHuhSq3AJ5eI5OnqOPBNLWSHKh2a30DoXe8/edit?usp=sharing"",""ภูเก็ต!I471"")"),0)</f>
        <v>0</v>
      </c>
      <c r="J576" s="205">
        <f ca="1">IFERROR(__xludf.DUMMYFUNCTION("IMPORTRANGE(""https://docs.google.com/spreadsheets/d/1IYY_tgx_IHuhSq3AJ5eI5OnqOPBNLWSHKh2a30DoXe8/edit?usp=sharing"",""ภูเก็ต!J471"")"),0)</f>
        <v>0</v>
      </c>
      <c r="K576" s="169">
        <f t="shared" ca="1" si="123"/>
        <v>0</v>
      </c>
      <c r="L576" s="189"/>
      <c r="M576" s="189"/>
      <c r="N576" s="189"/>
      <c r="O576" s="189"/>
      <c r="P576" s="189"/>
    </row>
    <row r="577" spans="1:16" ht="21.75" customHeight="1" x14ac:dyDescent="0.35">
      <c r="A577" s="183"/>
      <c r="B577" s="184"/>
      <c r="C577" s="184"/>
      <c r="D577" s="203"/>
      <c r="E577" s="203"/>
      <c r="F577" s="202" t="s">
        <v>213</v>
      </c>
      <c r="G577" s="204"/>
      <c r="H577" s="481" t="s">
        <v>37</v>
      </c>
      <c r="I577" s="210">
        <f ca="1">IFERROR(__xludf.DUMMYFUNCTION("IMPORTRANGE(""https://docs.google.com/spreadsheets/d/1IYY_tgx_IHuhSq3AJ5eI5OnqOPBNLWSHKh2a30DoXe8/edit?usp=sharing"",""ภูเก็ต!I472"")"),0)</f>
        <v>0</v>
      </c>
      <c r="J577" s="196">
        <f ca="1">IFERROR(__xludf.DUMMYFUNCTION("IMPORTRANGE(""https://docs.google.com/spreadsheets/d/1IYY_tgx_IHuhSq3AJ5eI5OnqOPBNLWSHKh2a30DoXe8/edit?usp=sharing"",""ภูเก็ต!J472"")"),0)</f>
        <v>0</v>
      </c>
      <c r="K577" s="169">
        <f t="shared" ca="1" si="123"/>
        <v>0</v>
      </c>
      <c r="L577" s="189"/>
      <c r="M577" s="189"/>
      <c r="N577" s="189"/>
      <c r="O577" s="189"/>
      <c r="P577" s="189"/>
    </row>
    <row r="578" spans="1:16" ht="21.75" customHeight="1" x14ac:dyDescent="0.35">
      <c r="A578" s="183"/>
      <c r="B578" s="184"/>
      <c r="C578" s="184"/>
      <c r="D578" s="203"/>
      <c r="E578" s="203"/>
      <c r="F578" s="202" t="s">
        <v>214</v>
      </c>
      <c r="G578" s="427"/>
      <c r="H578" s="481" t="s">
        <v>37</v>
      </c>
      <c r="I578" s="210">
        <f ca="1">IFERROR(__xludf.DUMMYFUNCTION("IMPORTRANGE(""https://docs.google.com/spreadsheets/d/1IYY_tgx_IHuhSq3AJ5eI5OnqOPBNLWSHKh2a30DoXe8/edit?usp=sharing"",""ภูเก็ต!I473"")"),0)</f>
        <v>0</v>
      </c>
      <c r="J578" s="205">
        <f ca="1">IFERROR(__xludf.DUMMYFUNCTION("IMPORTRANGE(""https://docs.google.com/spreadsheets/d/1IYY_tgx_IHuhSq3AJ5eI5OnqOPBNLWSHKh2a30DoXe8/edit?usp=sharing"",""ภูเก็ต!J473"")"),0)</f>
        <v>0</v>
      </c>
      <c r="K578" s="169">
        <f t="shared" ca="1" si="123"/>
        <v>0</v>
      </c>
      <c r="L578" s="189"/>
      <c r="M578" s="189"/>
      <c r="N578" s="189"/>
      <c r="O578" s="189"/>
      <c r="P578" s="189"/>
    </row>
    <row r="579" spans="1:16" ht="21.75" customHeight="1" x14ac:dyDescent="0.35">
      <c r="A579" s="183"/>
      <c r="B579" s="184"/>
      <c r="C579" s="184"/>
      <c r="D579" s="203"/>
      <c r="E579" s="203"/>
      <c r="F579" s="202" t="s">
        <v>215</v>
      </c>
      <c r="G579" s="427"/>
      <c r="H579" s="481" t="s">
        <v>37</v>
      </c>
      <c r="I579" s="210">
        <f ca="1">IFERROR(__xludf.DUMMYFUNCTION("IMPORTRANGE(""https://docs.google.com/spreadsheets/d/1IYY_tgx_IHuhSq3AJ5eI5OnqOPBNLWSHKh2a30DoXe8/edit?usp=sharing"",""ภูเก็ต!I474"")"),0)</f>
        <v>0</v>
      </c>
      <c r="J579" s="205">
        <f ca="1">IFERROR(__xludf.DUMMYFUNCTION("IMPORTRANGE(""https://docs.google.com/spreadsheets/d/1IYY_tgx_IHuhSq3AJ5eI5OnqOPBNLWSHKh2a30DoXe8/edit?usp=sharing"",""ภูเก็ต!J474"")"),0)</f>
        <v>0</v>
      </c>
      <c r="K579" s="169">
        <f t="shared" ca="1" si="123"/>
        <v>0</v>
      </c>
      <c r="L579" s="189"/>
      <c r="M579" s="189"/>
      <c r="N579" s="189"/>
      <c r="O579" s="189"/>
      <c r="P579" s="189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IFERROR(__xludf.DUMMYFUNCTION("IMPORTRANGE(""https://docs.google.com/spreadsheets/d/1IYY_tgx_IHuhSq3AJ5eI5OnqOPBNLWSHKh2a30DoXe8/edit?usp=sharing"",""ภูเก็ต!I475"")"),0)</f>
        <v>0</v>
      </c>
      <c r="J580" s="377">
        <f ca="1">IFERROR(__xludf.DUMMYFUNCTION("IMPORTRANGE(""https://docs.google.com/spreadsheets/d/1IYY_tgx_IHuhSq3AJ5eI5OnqOPBNLWSHKh2a30DoXe8/edit?usp=sharing"",""ภูเก็ต!J475"")"),0)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IFERROR(__xludf.DUMMYFUNCTION("IMPORTRANGE(""https://docs.google.com/spreadsheets/d/1IYY_tgx_IHuhSq3AJ5eI5OnqOPBNLWSHKh2a30DoXe8/edit?usp=sharing"",""ภูเก็ต!L475"")"),0)</f>
        <v>0</v>
      </c>
      <c r="M580" s="379"/>
      <c r="N580" s="379">
        <f ca="1">IFERROR(__xludf.DUMMYFUNCTION("IMPORTRANGE(""https://docs.google.com/spreadsheets/d/1IYY_tgx_IHuhSq3AJ5eI5OnqOPBNLWSHKh2a30DoXe8/edit?usp=sharing"",""ภูเก็ต!M475"")"),0)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164" t="s">
        <v>38</v>
      </c>
      <c r="E581" s="165"/>
      <c r="F581" s="165"/>
      <c r="G581" s="166" t="s">
        <v>39</v>
      </c>
      <c r="H581" s="167" t="s">
        <v>12</v>
      </c>
      <c r="I581" s="168" t="s">
        <v>40</v>
      </c>
      <c r="J581" s="168"/>
      <c r="K581" s="169"/>
      <c r="L581" s="170">
        <f ca="1">IFERROR(__xludf.DUMMYFUNCTION("IMPORTRANGE(""https://docs.google.com/spreadsheets/d/1IYY_tgx_IHuhSq3AJ5eI5OnqOPBNLWSHKh2a30DoXe8/edit?usp=sharing"",""ภูเก็ต!L476"")"),0)</f>
        <v>0</v>
      </c>
      <c r="M581" s="170"/>
      <c r="N581" s="176">
        <f ca="1">IFERROR(__xludf.DUMMYFUNCTION("IMPORTRANGE(""https://docs.google.com/spreadsheets/d/1IYY_tgx_IHuhSq3AJ5eI5OnqOPBNLWSHKh2a30DoXe8/edit?usp=sharing"",""ภูเก็ต!M476"")"),0)</f>
        <v>0</v>
      </c>
      <c r="O581" s="176">
        <f t="shared" ca="1" si="124"/>
        <v>0</v>
      </c>
      <c r="P581" s="176"/>
    </row>
    <row r="582" spans="1:16" ht="21.75" customHeight="1" x14ac:dyDescent="0.35">
      <c r="A582" s="162"/>
      <c r="B582" s="163"/>
      <c r="C582" s="163"/>
      <c r="D582" s="172"/>
      <c r="E582" s="165"/>
      <c r="F582" s="165" t="s">
        <v>40</v>
      </c>
      <c r="G582" s="166" t="s">
        <v>41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IFERROR(__xludf.DUMMYFUNCTION("IMPORTRANGE(""https://docs.google.com/spreadsheets/d/1IYY_tgx_IHuhSq3AJ5eI5OnqOPBNLWSHKh2a30DoXe8/edit?usp=sharing"",""ภูเก็ต!L477"")"),0)</f>
        <v>0</v>
      </c>
      <c r="M582" s="171"/>
      <c r="N582" s="176">
        <f ca="1">IFERROR(__xludf.DUMMYFUNCTION("IMPORTRANGE(""https://docs.google.com/spreadsheets/d/1IYY_tgx_IHuhSq3AJ5eI5OnqOPBNLWSHKh2a30DoXe8/edit?usp=sharing"",""ภูเก็ต!M477"")"),0)</f>
        <v>0</v>
      </c>
      <c r="O582" s="176">
        <f t="shared" ca="1" si="124"/>
        <v>0</v>
      </c>
      <c r="P582" s="176"/>
    </row>
    <row r="583" spans="1:16" ht="21.75" customHeight="1" x14ac:dyDescent="0.35">
      <c r="A583" s="162"/>
      <c r="B583" s="163"/>
      <c r="C583" s="163"/>
      <c r="D583" s="172"/>
      <c r="E583" s="165"/>
      <c r="F583" s="165"/>
      <c r="G583" s="380" t="s">
        <v>129</v>
      </c>
      <c r="H583" s="167" t="s">
        <v>12</v>
      </c>
      <c r="I583" s="168"/>
      <c r="J583" s="168"/>
      <c r="K583" s="169"/>
      <c r="L583" s="176">
        <f ca="1">IFERROR(__xludf.DUMMYFUNCTION("IMPORTRANGE(""https://docs.google.com/spreadsheets/d/1IYY_tgx_IHuhSq3AJ5eI5OnqOPBNLWSHKh2a30DoXe8/edit?usp=sharing"",""ภูเก็ต!L478"")"),0)</f>
        <v>0</v>
      </c>
      <c r="M583" s="176"/>
      <c r="N583" s="176">
        <f ca="1">IFERROR(__xludf.DUMMYFUNCTION("IMPORTRANGE(""https://docs.google.com/spreadsheets/d/1IYY_tgx_IHuhSq3AJ5eI5OnqOPBNLWSHKh2a30DoXe8/edit?usp=sharing"",""ภูเก็ต!M478"")"),0)</f>
        <v>0</v>
      </c>
      <c r="O583" s="176">
        <f t="shared" ca="1" si="124"/>
        <v>0</v>
      </c>
      <c r="P583" s="176"/>
    </row>
    <row r="584" spans="1:16" ht="21.75" customHeight="1" x14ac:dyDescent="0.35">
      <c r="A584" s="162"/>
      <c r="B584" s="163"/>
      <c r="C584" s="163"/>
      <c r="D584" s="172"/>
      <c r="E584" s="165"/>
      <c r="F584" s="165"/>
      <c r="G584" s="380" t="s">
        <v>130</v>
      </c>
      <c r="H584" s="167" t="s">
        <v>12</v>
      </c>
      <c r="I584" s="168"/>
      <c r="J584" s="168"/>
      <c r="K584" s="169"/>
      <c r="L584" s="176">
        <f ca="1">IFERROR(__xludf.DUMMYFUNCTION("IMPORTRANGE(""https://docs.google.com/spreadsheets/d/1IYY_tgx_IHuhSq3AJ5eI5OnqOPBNLWSHKh2a30DoXe8/edit?usp=sharing"",""ภูเก็ต!L479"")"),0)</f>
        <v>0</v>
      </c>
      <c r="M584" s="176"/>
      <c r="N584" s="176">
        <f ca="1">IFERROR(__xludf.DUMMYFUNCTION("IMPORTRANGE(""https://docs.google.com/spreadsheets/d/1IYY_tgx_IHuhSq3AJ5eI5OnqOPBNLWSHKh2a30DoXe8/edit?usp=sharing"",""ภูเก็ต!M479"")"),0)</f>
        <v>0</v>
      </c>
      <c r="O584" s="176">
        <f t="shared" ca="1" si="124"/>
        <v>0</v>
      </c>
      <c r="P584" s="176"/>
    </row>
    <row r="585" spans="1:16" ht="21.75" customHeight="1" x14ac:dyDescent="0.35">
      <c r="A585" s="381"/>
      <c r="B585" s="382"/>
      <c r="C585" s="163"/>
      <c r="D585" s="383"/>
      <c r="E585" s="165"/>
      <c r="F585" s="165"/>
      <c r="G585" s="384" t="s">
        <v>131</v>
      </c>
      <c r="H585" s="167" t="s">
        <v>12</v>
      </c>
      <c r="I585" s="195"/>
      <c r="J585" s="195"/>
      <c r="K585" s="231"/>
      <c r="L585" s="176"/>
      <c r="M585" s="176"/>
      <c r="N585" s="173">
        <f ca="1">IFERROR(__xludf.DUMMYFUNCTION("IMPORTRANGE(""https://docs.google.com/spreadsheets/d/1IYY_tgx_IHuhSq3AJ5eI5OnqOPBNLWSHKh2a30DoXe8/edit?usp=sharing"",""ภูเก็ต!M480"")"),0)</f>
        <v>0</v>
      </c>
      <c r="O585" s="176"/>
      <c r="P585" s="176"/>
    </row>
    <row r="586" spans="1:16" ht="21.75" customHeight="1" x14ac:dyDescent="0.35">
      <c r="A586" s="381"/>
      <c r="B586" s="382"/>
      <c r="C586" s="163"/>
      <c r="D586" s="383"/>
      <c r="E586" s="165"/>
      <c r="F586" s="165"/>
      <c r="G586" s="384" t="s">
        <v>132</v>
      </c>
      <c r="H586" s="167" t="s">
        <v>12</v>
      </c>
      <c r="I586" s="195"/>
      <c r="J586" s="195"/>
      <c r="K586" s="231"/>
      <c r="L586" s="176"/>
      <c r="M586" s="176"/>
      <c r="N586" s="173">
        <f ca="1">IFERROR(__xludf.DUMMYFUNCTION("IMPORTRANGE(""https://docs.google.com/spreadsheets/d/1IYY_tgx_IHuhSq3AJ5eI5OnqOPBNLWSHKh2a30DoXe8/edit?usp=sharing"",""ภูเก็ต!M481"")"),0)</f>
        <v>0</v>
      </c>
      <c r="O586" s="176"/>
      <c r="P586" s="176"/>
    </row>
    <row r="587" spans="1:16" ht="21.75" customHeight="1" x14ac:dyDescent="0.35">
      <c r="A587" s="381"/>
      <c r="B587" s="382"/>
      <c r="C587" s="163"/>
      <c r="D587" s="383"/>
      <c r="E587" s="165"/>
      <c r="F587" s="165"/>
      <c r="G587" s="384" t="s">
        <v>133</v>
      </c>
      <c r="H587" s="167" t="s">
        <v>12</v>
      </c>
      <c r="I587" s="195"/>
      <c r="J587" s="195"/>
      <c r="K587" s="231"/>
      <c r="L587" s="176"/>
      <c r="M587" s="176"/>
      <c r="N587" s="173">
        <f ca="1">IFERROR(__xludf.DUMMYFUNCTION("IMPORTRANGE(""https://docs.google.com/spreadsheets/d/1IYY_tgx_IHuhSq3AJ5eI5OnqOPBNLWSHKh2a30DoXe8/edit?usp=sharing"",""ภูเก็ต!M482"")"),0)</f>
        <v>0</v>
      </c>
      <c r="O587" s="176"/>
      <c r="P587" s="176"/>
    </row>
    <row r="588" spans="1:16" ht="21.75" customHeight="1" x14ac:dyDescent="0.35">
      <c r="A588" s="381"/>
      <c r="B588" s="382"/>
      <c r="C588" s="163"/>
      <c r="D588" s="383"/>
      <c r="E588" s="165"/>
      <c r="F588" s="165"/>
      <c r="G588" s="384" t="s">
        <v>134</v>
      </c>
      <c r="H588" s="167" t="s">
        <v>12</v>
      </c>
      <c r="I588" s="195"/>
      <c r="J588" s="195"/>
      <c r="K588" s="231"/>
      <c r="L588" s="176"/>
      <c r="M588" s="176"/>
      <c r="N588" s="173">
        <f ca="1">IFERROR(__xludf.DUMMYFUNCTION("IMPORTRANGE(""https://docs.google.com/spreadsheets/d/1IYY_tgx_IHuhSq3AJ5eI5OnqOPBNLWSHKh2a30DoXe8/edit?usp=sharing"",""ภูเก็ต!M483"")"),0)</f>
        <v>0</v>
      </c>
      <c r="O588" s="176"/>
      <c r="P588" s="176"/>
    </row>
    <row r="589" spans="1:16" ht="21.75" customHeight="1" x14ac:dyDescent="0.35">
      <c r="A589" s="484"/>
      <c r="B589" s="172"/>
      <c r="C589" s="163"/>
      <c r="D589" s="297"/>
      <c r="E589" s="202" t="s">
        <v>217</v>
      </c>
      <c r="F589" s="203"/>
      <c r="G589" s="204"/>
      <c r="H589" s="188" t="s">
        <v>36</v>
      </c>
      <c r="I589" s="347">
        <f ca="1">IFERROR(__xludf.DUMMYFUNCTION("IMPORTRANGE(""https://docs.google.com/spreadsheets/d/1IYY_tgx_IHuhSq3AJ5eI5OnqOPBNLWSHKh2a30DoXe8/edit?usp=sharing"",""ภูเก็ต!I484"")"),0)</f>
        <v>0</v>
      </c>
      <c r="J589" s="195">
        <f ca="1">IFERROR(__xludf.DUMMYFUNCTION("IMPORTRANGE(""https://docs.google.com/spreadsheets/d/1IYY_tgx_IHuhSq3AJ5eI5OnqOPBNLWSHKh2a30DoXe8/edit?usp=sharing"",""ภูเก็ต!J484"")"),0)</f>
        <v>0</v>
      </c>
      <c r="K589" s="169">
        <f t="shared" ref="K589:K596" ca="1" si="125">IF(I589&gt;0,J589*100/I589,0)</f>
        <v>0</v>
      </c>
      <c r="L589" s="189"/>
      <c r="M589" s="189"/>
      <c r="N589" s="176"/>
      <c r="O589" s="189"/>
      <c r="P589" s="189"/>
    </row>
    <row r="590" spans="1:16" ht="21.75" customHeight="1" x14ac:dyDescent="0.35">
      <c r="A590" s="484"/>
      <c r="B590" s="172"/>
      <c r="C590" s="163"/>
      <c r="D590" s="297"/>
      <c r="E590" s="203"/>
      <c r="F590" s="203"/>
      <c r="G590" s="204"/>
      <c r="H590" s="188" t="s">
        <v>122</v>
      </c>
      <c r="I590" s="351">
        <f ca="1">IFERROR(__xludf.DUMMYFUNCTION("IMPORTRANGE(""https://docs.google.com/spreadsheets/d/1IYY_tgx_IHuhSq3AJ5eI5OnqOPBNLWSHKh2a30DoXe8/edit?usp=sharing"",""ภูเก็ต!I485"")"),0)</f>
        <v>0</v>
      </c>
      <c r="J590" s="195">
        <f ca="1">IFERROR(__xludf.DUMMYFUNCTION("IMPORTRANGE(""https://docs.google.com/spreadsheets/d/1IYY_tgx_IHuhSq3AJ5eI5OnqOPBNLWSHKh2a30DoXe8/edit?usp=sharing"",""ภูเก็ต!J485"")"),0)</f>
        <v>0</v>
      </c>
      <c r="K590" s="485">
        <f t="shared" ca="1" si="125"/>
        <v>0</v>
      </c>
      <c r="L590" s="189"/>
      <c r="M590" s="189"/>
      <c r="N590" s="176"/>
      <c r="O590" s="189"/>
      <c r="P590" s="189"/>
    </row>
    <row r="591" spans="1:16" ht="21.75" customHeight="1" x14ac:dyDescent="0.35">
      <c r="A591" s="484"/>
      <c r="B591" s="172"/>
      <c r="C591" s="163"/>
      <c r="D591" s="297"/>
      <c r="E591" s="202" t="s">
        <v>123</v>
      </c>
      <c r="F591" s="203"/>
      <c r="G591" s="204"/>
      <c r="H591" s="188" t="s">
        <v>37</v>
      </c>
      <c r="I591" s="347">
        <f ca="1">IFERROR(__xludf.DUMMYFUNCTION("IMPORTRANGE(""https://docs.google.com/spreadsheets/d/1IYY_tgx_IHuhSq3AJ5eI5OnqOPBNLWSHKh2a30DoXe8/edit?usp=sharing"",""ภูเก็ต!I486"")"),0)</f>
        <v>0</v>
      </c>
      <c r="J591" s="195">
        <f ca="1">IFERROR(__xludf.DUMMYFUNCTION("IMPORTRANGE(""https://docs.google.com/spreadsheets/d/1IYY_tgx_IHuhSq3AJ5eI5OnqOPBNLWSHKh2a30DoXe8/edit?usp=sharing"",""ภูเก็ต!J486"")"),0)</f>
        <v>0</v>
      </c>
      <c r="K591" s="169">
        <f t="shared" ca="1" si="125"/>
        <v>0</v>
      </c>
      <c r="L591" s="189"/>
      <c r="M591" s="189"/>
      <c r="N591" s="189"/>
      <c r="O591" s="189"/>
      <c r="P591" s="189"/>
    </row>
    <row r="592" spans="1:16" ht="21.75" customHeight="1" x14ac:dyDescent="0.35">
      <c r="A592" s="484"/>
      <c r="B592" s="172"/>
      <c r="C592" s="163"/>
      <c r="D592" s="297"/>
      <c r="E592" s="203"/>
      <c r="F592" s="203"/>
      <c r="G592" s="204"/>
      <c r="H592" s="188" t="s">
        <v>122</v>
      </c>
      <c r="I592" s="351">
        <f ca="1">IFERROR(__xludf.DUMMYFUNCTION("IMPORTRANGE(""https://docs.google.com/spreadsheets/d/1IYY_tgx_IHuhSq3AJ5eI5OnqOPBNLWSHKh2a30DoXe8/edit?usp=sharing"",""ภูเก็ต!I487"")"),0)</f>
        <v>0</v>
      </c>
      <c r="J592" s="195">
        <f ca="1">IFERROR(__xludf.DUMMYFUNCTION("IMPORTRANGE(""https://docs.google.com/spreadsheets/d/1IYY_tgx_IHuhSq3AJ5eI5OnqOPBNLWSHKh2a30DoXe8/edit?usp=sharing"",""ภูเก็ต!J487"")"),0)</f>
        <v>0</v>
      </c>
      <c r="K592" s="348">
        <f t="shared" ca="1" si="125"/>
        <v>0</v>
      </c>
      <c r="L592" s="189"/>
      <c r="M592" s="189"/>
      <c r="N592" s="189"/>
      <c r="O592" s="189"/>
      <c r="P592" s="189"/>
    </row>
    <row r="593" spans="1:16" ht="21.75" customHeight="1" x14ac:dyDescent="0.35">
      <c r="A593" s="484"/>
      <c r="B593" s="172"/>
      <c r="C593" s="163"/>
      <c r="D593" s="297"/>
      <c r="E593" s="202" t="s">
        <v>124</v>
      </c>
      <c r="F593" s="203"/>
      <c r="G593" s="204"/>
      <c r="H593" s="188" t="s">
        <v>37</v>
      </c>
      <c r="I593" s="347">
        <f ca="1">IFERROR(__xludf.DUMMYFUNCTION("IMPORTRANGE(""https://docs.google.com/spreadsheets/d/1IYY_tgx_IHuhSq3AJ5eI5OnqOPBNLWSHKh2a30DoXe8/edit?usp=sharing"",""ภูเก็ต!I488"")"),0)</f>
        <v>0</v>
      </c>
      <c r="J593" s="195">
        <f ca="1">IFERROR(__xludf.DUMMYFUNCTION("IMPORTRANGE(""https://docs.google.com/spreadsheets/d/1IYY_tgx_IHuhSq3AJ5eI5OnqOPBNLWSHKh2a30DoXe8/edit?usp=sharing"",""ภูเก็ต!J488"")"),0)</f>
        <v>0</v>
      </c>
      <c r="K593" s="169">
        <f t="shared" ca="1" si="125"/>
        <v>0</v>
      </c>
      <c r="L593" s="189"/>
      <c r="M593" s="189"/>
      <c r="N593" s="189"/>
      <c r="O593" s="189"/>
      <c r="P593" s="189"/>
    </row>
    <row r="594" spans="1:16" ht="21.75" customHeight="1" x14ac:dyDescent="0.35">
      <c r="A594" s="484"/>
      <c r="B594" s="172"/>
      <c r="C594" s="163"/>
      <c r="D594" s="297"/>
      <c r="E594" s="203"/>
      <c r="F594" s="203"/>
      <c r="G594" s="204"/>
      <c r="H594" s="188" t="s">
        <v>122</v>
      </c>
      <c r="I594" s="351">
        <f ca="1">IFERROR(__xludf.DUMMYFUNCTION("IMPORTRANGE(""https://docs.google.com/spreadsheets/d/1IYY_tgx_IHuhSq3AJ5eI5OnqOPBNLWSHKh2a30DoXe8/edit?usp=sharing"",""ภูเก็ต!I489"")"),0)</f>
        <v>0</v>
      </c>
      <c r="J594" s="195">
        <f ca="1">IFERROR(__xludf.DUMMYFUNCTION("IMPORTRANGE(""https://docs.google.com/spreadsheets/d/1IYY_tgx_IHuhSq3AJ5eI5OnqOPBNLWSHKh2a30DoXe8/edit?usp=sharing"",""ภูเก็ต!J489"")"),0)</f>
        <v>0</v>
      </c>
      <c r="K594" s="348">
        <f t="shared" ca="1" si="125"/>
        <v>0</v>
      </c>
      <c r="L594" s="189"/>
      <c r="M594" s="189"/>
      <c r="N594" s="189"/>
      <c r="O594" s="189"/>
      <c r="P594" s="189"/>
    </row>
    <row r="595" spans="1:16" ht="21.75" customHeight="1" x14ac:dyDescent="0.35">
      <c r="A595" s="484"/>
      <c r="B595" s="172"/>
      <c r="C595" s="163"/>
      <c r="D595" s="297"/>
      <c r="E595" s="202" t="s">
        <v>125</v>
      </c>
      <c r="F595" s="203"/>
      <c r="G595" s="204"/>
      <c r="H595" s="188" t="s">
        <v>37</v>
      </c>
      <c r="I595" s="347">
        <f ca="1">IFERROR(__xludf.DUMMYFUNCTION("IMPORTRANGE(""https://docs.google.com/spreadsheets/d/1IYY_tgx_IHuhSq3AJ5eI5OnqOPBNLWSHKh2a30DoXe8/edit?usp=sharing"",""ภูเก็ต!I490"")"),0)</f>
        <v>0</v>
      </c>
      <c r="J595" s="195">
        <f ca="1">IFERROR(__xludf.DUMMYFUNCTION("IMPORTRANGE(""https://docs.google.com/spreadsheets/d/1IYY_tgx_IHuhSq3AJ5eI5OnqOPBNLWSHKh2a30DoXe8/edit?usp=sharing"",""ภูเก็ต!J490"")"),0)</f>
        <v>0</v>
      </c>
      <c r="K595" s="169">
        <f t="shared" ca="1" si="125"/>
        <v>0</v>
      </c>
      <c r="L595" s="189"/>
      <c r="M595" s="189"/>
      <c r="N595" s="189"/>
      <c r="O595" s="189"/>
      <c r="P595" s="189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IFERROR(__xludf.DUMMYFUNCTION("IMPORTRANGE(""https://docs.google.com/spreadsheets/d/1IYY_tgx_IHuhSq3AJ5eI5OnqOPBNLWSHKh2a30DoXe8/edit?usp=sharing"",""ภูเก็ต!I491"")"),0)</f>
        <v>0</v>
      </c>
      <c r="J596" s="248">
        <f ca="1">IFERROR(__xludf.DUMMYFUNCTION("IMPORTRANGE(""https://docs.google.com/spreadsheets/d/1IYY_tgx_IHuhSq3AJ5eI5OnqOPBNLWSHKh2a30DoXe8/edit?usp=sharing"",""ภูเก็ต!J491"")"),0)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IFERROR(__xludf.DUMMYFUNCTION("IMPORTRANGE(""https://docs.google.com/spreadsheets/d/1IYY_tgx_IHuhSq3AJ5eI5OnqOPBNLWSHKh2a30DoXe8/edit?usp=sharing"",""ภูเก็ต!I492"")"),100)</f>
        <v>100</v>
      </c>
      <c r="J597" s="493">
        <f ca="1">IFERROR(__xludf.DUMMYFUNCTION("IMPORTRANGE(""https://docs.google.com/spreadsheets/d/1IYY_tgx_IHuhSq3AJ5eI5OnqOPBNLWSHKh2a30DoXe8/edit?usp=sharing"",""ภูเก็ต!J492"")"),0)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IFERROR(__xludf.DUMMYFUNCTION("IMPORTRANGE(""https://docs.google.com/spreadsheets/d/1IYY_tgx_IHuhSq3AJ5eI5OnqOPBNLWSHKh2a30DoXe8/edit?usp=sharing"",""ภูเก็ต!L492"")"),7300)</f>
        <v>7300</v>
      </c>
      <c r="M597" s="418"/>
      <c r="N597" s="418">
        <f ca="1">IFERROR(__xludf.DUMMYFUNCTION("IMPORTRANGE(""https://docs.google.com/spreadsheets/d/1IYY_tgx_IHuhSq3AJ5eI5OnqOPBNLWSHKh2a30DoXe8/edit?usp=sharing"",""ภูเก็ต!M492"")"),400)</f>
        <v>400</v>
      </c>
      <c r="O597" s="418">
        <f t="shared" ref="O597:O601" ca="1" si="126">+IF(L597&gt;0,N597*100/L597,0)</f>
        <v>5.4794520547945202</v>
      </c>
      <c r="P597" s="418"/>
    </row>
    <row r="598" spans="1:16" ht="21.75" customHeight="1" x14ac:dyDescent="0.35">
      <c r="A598" s="162"/>
      <c r="B598" s="163"/>
      <c r="C598" s="163" t="s">
        <v>16</v>
      </c>
      <c r="D598" s="164" t="s">
        <v>38</v>
      </c>
      <c r="E598" s="165"/>
      <c r="F598" s="165"/>
      <c r="G598" s="166" t="s">
        <v>39</v>
      </c>
      <c r="H598" s="167" t="s">
        <v>12</v>
      </c>
      <c r="I598" s="168" t="s">
        <v>40</v>
      </c>
      <c r="J598" s="168"/>
      <c r="K598" s="169"/>
      <c r="L598" s="170">
        <f ca="1">IFERROR(__xludf.DUMMYFUNCTION("IMPORTRANGE(""https://docs.google.com/spreadsheets/d/1IYY_tgx_IHuhSq3AJ5eI5OnqOPBNLWSHKh2a30DoXe8/edit?usp=sharing"",""ภูเก็ต!L493"")"),0)</f>
        <v>0</v>
      </c>
      <c r="M598" s="170"/>
      <c r="N598" s="176">
        <f ca="1">IFERROR(__xludf.DUMMYFUNCTION("IMPORTRANGE(""https://docs.google.com/spreadsheets/d/1IYY_tgx_IHuhSq3AJ5eI5OnqOPBNLWSHKh2a30DoXe8/edit?usp=sharing"",""ภูเก็ต!M493"")"),0)</f>
        <v>0</v>
      </c>
      <c r="O598" s="176">
        <f t="shared" ca="1" si="126"/>
        <v>0</v>
      </c>
      <c r="P598" s="176"/>
    </row>
    <row r="599" spans="1:16" ht="21.75" customHeight="1" x14ac:dyDescent="0.35">
      <c r="A599" s="162"/>
      <c r="B599" s="163"/>
      <c r="C599" s="163"/>
      <c r="D599" s="172"/>
      <c r="E599" s="165"/>
      <c r="F599" s="165" t="s">
        <v>40</v>
      </c>
      <c r="G599" s="166" t="s">
        <v>41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IFERROR(__xludf.DUMMYFUNCTION("IMPORTRANGE(""https://docs.google.com/spreadsheets/d/1IYY_tgx_IHuhSq3AJ5eI5OnqOPBNLWSHKh2a30DoXe8/edit?usp=sharing"",""ภูเก็ต!L494"")"),7300)</f>
        <v>7300</v>
      </c>
      <c r="M599" s="171"/>
      <c r="N599" s="176">
        <f ca="1">IFERROR(__xludf.DUMMYFUNCTION("IMPORTRANGE(""https://docs.google.com/spreadsheets/d/1IYY_tgx_IHuhSq3AJ5eI5OnqOPBNLWSHKh2a30DoXe8/edit?usp=sharing"",""ภูเก็ต!M494"")"),400)</f>
        <v>400</v>
      </c>
      <c r="O599" s="176">
        <f t="shared" ca="1" si="126"/>
        <v>5.4794520547945202</v>
      </c>
      <c r="P599" s="176"/>
    </row>
    <row r="600" spans="1:16" ht="21.75" customHeight="1" x14ac:dyDescent="0.35">
      <c r="A600" s="162"/>
      <c r="B600" s="163"/>
      <c r="C600" s="163"/>
      <c r="D600" s="172"/>
      <c r="E600" s="165"/>
      <c r="F600" s="165"/>
      <c r="G600" s="380" t="s">
        <v>129</v>
      </c>
      <c r="H600" s="167" t="s">
        <v>12</v>
      </c>
      <c r="I600" s="168"/>
      <c r="J600" s="168"/>
      <c r="K600" s="169"/>
      <c r="L600" s="176">
        <f ca="1">IFERROR(__xludf.DUMMYFUNCTION("IMPORTRANGE(""https://docs.google.com/spreadsheets/d/1IYY_tgx_IHuhSq3AJ5eI5OnqOPBNLWSHKh2a30DoXe8/edit?usp=sharing"",""ภูเก็ต!L495"")"),0)</f>
        <v>0</v>
      </c>
      <c r="M600" s="176"/>
      <c r="N600" s="176">
        <f ca="1">IFERROR(__xludf.DUMMYFUNCTION("IMPORTRANGE(""https://docs.google.com/spreadsheets/d/1IYY_tgx_IHuhSq3AJ5eI5OnqOPBNLWSHKh2a30DoXe8/edit?usp=sharing"",""ภูเก็ต!M495"")"),0)</f>
        <v>0</v>
      </c>
      <c r="O600" s="176">
        <f t="shared" ca="1" si="126"/>
        <v>0</v>
      </c>
      <c r="P600" s="176"/>
    </row>
    <row r="601" spans="1:16" ht="21.75" customHeight="1" x14ac:dyDescent="0.35">
      <c r="A601" s="162"/>
      <c r="B601" s="163"/>
      <c r="C601" s="163"/>
      <c r="D601" s="172"/>
      <c r="E601" s="165"/>
      <c r="F601" s="165"/>
      <c r="G601" s="380" t="s">
        <v>130</v>
      </c>
      <c r="H601" s="167" t="s">
        <v>12</v>
      </c>
      <c r="I601" s="168"/>
      <c r="J601" s="168"/>
      <c r="K601" s="169"/>
      <c r="L601" s="176">
        <f ca="1">IFERROR(__xludf.DUMMYFUNCTION("IMPORTRANGE(""https://docs.google.com/spreadsheets/d/1IYY_tgx_IHuhSq3AJ5eI5OnqOPBNLWSHKh2a30DoXe8/edit?usp=sharing"",""ภูเก็ต!L496"")"),7300)</f>
        <v>7300</v>
      </c>
      <c r="M601" s="176"/>
      <c r="N601" s="176">
        <f ca="1">IFERROR(__xludf.DUMMYFUNCTION("IMPORTRANGE(""https://docs.google.com/spreadsheets/d/1IYY_tgx_IHuhSq3AJ5eI5OnqOPBNLWSHKh2a30DoXe8/edit?usp=sharing"",""ภูเก็ต!M496"")"),400)</f>
        <v>400</v>
      </c>
      <c r="O601" s="176">
        <f t="shared" ca="1" si="126"/>
        <v>5.4794520547945202</v>
      </c>
      <c r="P601" s="176"/>
    </row>
    <row r="602" spans="1:16" ht="21.75" customHeight="1" x14ac:dyDescent="0.35">
      <c r="A602" s="381"/>
      <c r="B602" s="382"/>
      <c r="C602" s="163"/>
      <c r="D602" s="383"/>
      <c r="E602" s="165"/>
      <c r="F602" s="165"/>
      <c r="G602" s="384" t="s">
        <v>131</v>
      </c>
      <c r="H602" s="167" t="s">
        <v>12</v>
      </c>
      <c r="I602" s="195"/>
      <c r="J602" s="195"/>
      <c r="K602" s="231"/>
      <c r="L602" s="176"/>
      <c r="M602" s="176"/>
      <c r="N602" s="173">
        <f ca="1">IFERROR(__xludf.DUMMYFUNCTION("IMPORTRANGE(""https://docs.google.com/spreadsheets/d/1IYY_tgx_IHuhSq3AJ5eI5OnqOPBNLWSHKh2a30DoXe8/edit?usp=sharing"",""ภูเก็ต!M497"")"),0)</f>
        <v>0</v>
      </c>
      <c r="O602" s="176"/>
      <c r="P602" s="176"/>
    </row>
    <row r="603" spans="1:16" ht="21.75" customHeight="1" x14ac:dyDescent="0.35">
      <c r="A603" s="381"/>
      <c r="B603" s="382"/>
      <c r="C603" s="163"/>
      <c r="D603" s="383"/>
      <c r="E603" s="165"/>
      <c r="F603" s="165"/>
      <c r="G603" s="384" t="s">
        <v>132</v>
      </c>
      <c r="H603" s="167" t="s">
        <v>12</v>
      </c>
      <c r="I603" s="195"/>
      <c r="J603" s="195"/>
      <c r="K603" s="231"/>
      <c r="L603" s="176"/>
      <c r="M603" s="176"/>
      <c r="N603" s="173">
        <f ca="1">IFERROR(__xludf.DUMMYFUNCTION("IMPORTRANGE(""https://docs.google.com/spreadsheets/d/1IYY_tgx_IHuhSq3AJ5eI5OnqOPBNLWSHKh2a30DoXe8/edit?usp=sharing"",""ภูเก็ต!M498"")"),0)</f>
        <v>0</v>
      </c>
      <c r="O603" s="176"/>
      <c r="P603" s="176"/>
    </row>
    <row r="604" spans="1:16" ht="21.75" customHeight="1" x14ac:dyDescent="0.35">
      <c r="A604" s="381"/>
      <c r="B604" s="382"/>
      <c r="C604" s="163"/>
      <c r="D604" s="383"/>
      <c r="E604" s="165"/>
      <c r="F604" s="165"/>
      <c r="G604" s="384" t="s">
        <v>133</v>
      </c>
      <c r="H604" s="167" t="s">
        <v>12</v>
      </c>
      <c r="I604" s="195"/>
      <c r="J604" s="195"/>
      <c r="K604" s="231"/>
      <c r="L604" s="176"/>
      <c r="M604" s="176"/>
      <c r="N604" s="385">
        <f ca="1">IFERROR(__xludf.DUMMYFUNCTION("IMPORTRANGE(""https://docs.google.com/spreadsheets/d/1IYY_tgx_IHuhSq3AJ5eI5OnqOPBNLWSHKh2a30DoXe8/edit?usp=sharing"",""ภูเก็ต!M499"")"),0)</f>
        <v>0</v>
      </c>
      <c r="O604" s="176"/>
      <c r="P604" s="176"/>
    </row>
    <row r="605" spans="1:16" ht="21.75" customHeight="1" x14ac:dyDescent="0.35">
      <c r="A605" s="381"/>
      <c r="B605" s="382"/>
      <c r="C605" s="163"/>
      <c r="D605" s="383"/>
      <c r="E605" s="165"/>
      <c r="F605" s="165"/>
      <c r="G605" s="384" t="s">
        <v>134</v>
      </c>
      <c r="H605" s="167" t="s">
        <v>12</v>
      </c>
      <c r="I605" s="195"/>
      <c r="J605" s="195"/>
      <c r="K605" s="231"/>
      <c r="L605" s="176"/>
      <c r="M605" s="176"/>
      <c r="N605" s="385">
        <f ca="1">IFERROR(__xludf.DUMMYFUNCTION("IMPORTRANGE(""https://docs.google.com/spreadsheets/d/1IYY_tgx_IHuhSq3AJ5eI5OnqOPBNLWSHKh2a30DoXe8/edit?usp=sharing"",""ภูเก็ต!M500"")"),400)</f>
        <v>400</v>
      </c>
      <c r="O605" s="176"/>
      <c r="P605" s="176"/>
    </row>
    <row r="606" spans="1:16" ht="21.75" customHeight="1" x14ac:dyDescent="0.35">
      <c r="A606" s="183"/>
      <c r="B606" s="184"/>
      <c r="C606" s="163" t="s">
        <v>16</v>
      </c>
      <c r="D606" s="185" t="s">
        <v>44</v>
      </c>
      <c r="E606" s="186"/>
      <c r="F606" s="186"/>
      <c r="G606" s="187"/>
      <c r="H606" s="188"/>
      <c r="I606" s="168"/>
      <c r="J606" s="168"/>
      <c r="K606" s="169"/>
      <c r="L606" s="189"/>
      <c r="M606" s="189"/>
      <c r="N606" s="189"/>
      <c r="O606" s="189"/>
      <c r="P606" s="189"/>
    </row>
    <row r="607" spans="1:16" ht="21.75" customHeight="1" x14ac:dyDescent="0.35">
      <c r="A607" s="183"/>
      <c r="B607" s="184"/>
      <c r="C607" s="184"/>
      <c r="D607" s="190">
        <v>1</v>
      </c>
      <c r="E607" s="191" t="s">
        <v>45</v>
      </c>
      <c r="F607" s="192"/>
      <c r="G607" s="193"/>
      <c r="H607" s="194"/>
      <c r="I607" s="195"/>
      <c r="J607" s="205">
        <f ca="1">IFERROR(__xludf.DUMMYFUNCTION("IMPORTRANGE(""https://docs.google.com/spreadsheets/d/1IYY_tgx_IHuhSq3AJ5eI5OnqOPBNLWSHKh2a30DoXe8/edit?usp=sharing"",""ภูเก็ต!J502"")"),0)</f>
        <v>0</v>
      </c>
      <c r="K607" s="169"/>
      <c r="L607" s="189"/>
      <c r="M607" s="189"/>
      <c r="N607" s="189"/>
      <c r="O607" s="189"/>
      <c r="P607" s="189"/>
    </row>
    <row r="608" spans="1:16" ht="21.75" customHeight="1" x14ac:dyDescent="0.35">
      <c r="A608" s="183"/>
      <c r="B608" s="184"/>
      <c r="C608" s="184"/>
      <c r="D608" s="197">
        <v>2</v>
      </c>
      <c r="E608" s="198" t="s">
        <v>46</v>
      </c>
      <c r="F608" s="199"/>
      <c r="G608" s="200"/>
      <c r="H608" s="194"/>
      <c r="I608" s="195"/>
      <c r="J608" s="205">
        <f ca="1">IFERROR(__xludf.DUMMYFUNCTION("IMPORTRANGE(""https://docs.google.com/spreadsheets/d/1IYY_tgx_IHuhSq3AJ5eI5OnqOPBNLWSHKh2a30DoXe8/edit?usp=sharing"",""ภูเก็ต!J503"")"),1)</f>
        <v>1</v>
      </c>
      <c r="K608" s="169"/>
      <c r="L608" s="189" t="s">
        <v>40</v>
      </c>
      <c r="M608" s="189"/>
      <c r="N608" s="189" t="s">
        <v>40</v>
      </c>
      <c r="O608" s="189"/>
      <c r="P608" s="189"/>
    </row>
    <row r="609" spans="1:16" ht="21.75" hidden="1" customHeight="1" x14ac:dyDescent="0.35">
      <c r="A609" s="494"/>
      <c r="B609" s="495"/>
      <c r="C609" s="495"/>
      <c r="D609" s="496"/>
      <c r="E609" s="497" t="s">
        <v>47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IFERROR(__xludf.DUMMYFUNCTION("IMPORTRANGE(""https://docs.google.com/spreadsheets/d/1IYY_tgx_IHuhSq3AJ5eI5OnqOPBNLWSHKh2a30DoXe8/edit?usp=sharing"",""ภูเก็ต!J166"")"),0)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48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IFERROR(__xludf.DUMMYFUNCTION("IMPORTRANGE(""https://docs.google.com/spreadsheets/d/1IYY_tgx_IHuhSq3AJ5eI5OnqOPBNLWSHKh2a30DoXe8/edit?usp=sharing"",""ภูเก็ต!J166"")"),0)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3"/>
      <c r="B611" s="184"/>
      <c r="C611" s="184"/>
      <c r="D611" s="201"/>
      <c r="E611" s="203"/>
      <c r="F611" s="203" t="s">
        <v>219</v>
      </c>
      <c r="G611" s="204"/>
      <c r="H611" s="188" t="s">
        <v>122</v>
      </c>
      <c r="I611" s="195">
        <f ca="1">IFERROR(__xludf.DUMMYFUNCTION("IMPORTRANGE(""https://docs.google.com/spreadsheets/d/1IYY_tgx_IHuhSq3AJ5eI5OnqOPBNLWSHKh2a30DoXe8/edit?usp=sharing"",""ภูเก็ต!I506"")"),100)</f>
        <v>100</v>
      </c>
      <c r="J611" s="168">
        <f ca="1">IFERROR(__xludf.DUMMYFUNCTION("IMPORTRANGE(""https://docs.google.com/spreadsheets/d/1IYY_tgx_IHuhSq3AJ5eI5OnqOPBNLWSHKh2a30DoXe8/edit?usp=sharing"",""ภูเก็ต!J506"")"),0)</f>
        <v>0</v>
      </c>
      <c r="K611" s="169">
        <f t="shared" ref="K611:K619" ca="1" si="127">IF(I$611&gt;0,J611*100/I$611,0)</f>
        <v>0</v>
      </c>
      <c r="L611" s="189"/>
      <c r="M611" s="189"/>
      <c r="N611" s="189"/>
      <c r="O611" s="189"/>
      <c r="P611" s="189"/>
    </row>
    <row r="612" spans="1:16" ht="21.75" customHeight="1" x14ac:dyDescent="0.35">
      <c r="A612" s="183"/>
      <c r="B612" s="184"/>
      <c r="C612" s="184"/>
      <c r="D612" s="201"/>
      <c r="E612" s="206"/>
      <c r="F612" s="203"/>
      <c r="G612" s="233" t="s">
        <v>220</v>
      </c>
      <c r="H612" s="188" t="s">
        <v>122</v>
      </c>
      <c r="I612" s="211">
        <f ca="1">IFERROR(__xludf.DUMMYFUNCTION("IMPORTRANGE(""https://docs.google.com/spreadsheets/d/1IYY_tgx_IHuhSq3AJ5eI5OnqOPBNLWSHKh2a30DoXe8/edit?usp=sharing"",""ภูเก็ต!I507"")"),0)</f>
        <v>0</v>
      </c>
      <c r="J612" s="205">
        <f ca="1">IFERROR(__xludf.DUMMYFUNCTION("IMPORTRANGE(""https://docs.google.com/spreadsheets/d/1IYY_tgx_IHuhSq3AJ5eI5OnqOPBNLWSHKh2a30DoXe8/edit?usp=sharing"",""ภูเก็ต!J507"")"),0)</f>
        <v>0</v>
      </c>
      <c r="K612" s="169">
        <f t="shared" ca="1" si="127"/>
        <v>0</v>
      </c>
      <c r="L612" s="189"/>
      <c r="M612" s="189"/>
      <c r="N612" s="189"/>
      <c r="O612" s="189"/>
      <c r="P612" s="189"/>
    </row>
    <row r="613" spans="1:16" ht="21.75" customHeight="1" x14ac:dyDescent="0.35">
      <c r="A613" s="183"/>
      <c r="B613" s="184"/>
      <c r="C613" s="184"/>
      <c r="D613" s="201"/>
      <c r="E613" s="206"/>
      <c r="F613" s="203"/>
      <c r="G613" s="233" t="s">
        <v>221</v>
      </c>
      <c r="H613" s="188" t="s">
        <v>122</v>
      </c>
      <c r="I613" s="211">
        <f ca="1">IFERROR(__xludf.DUMMYFUNCTION("IMPORTRANGE(""https://docs.google.com/spreadsheets/d/1IYY_tgx_IHuhSq3AJ5eI5OnqOPBNLWSHKh2a30DoXe8/edit?usp=sharing"",""ภูเก็ต!I508"")"),0)</f>
        <v>0</v>
      </c>
      <c r="J613" s="205">
        <f ca="1">IFERROR(__xludf.DUMMYFUNCTION("IMPORTRANGE(""https://docs.google.com/spreadsheets/d/1IYY_tgx_IHuhSq3AJ5eI5OnqOPBNLWSHKh2a30DoXe8/edit?usp=sharing"",""ภูเก็ต!J508"")"),0)</f>
        <v>0</v>
      </c>
      <c r="K613" s="169">
        <f t="shared" ca="1" si="127"/>
        <v>0</v>
      </c>
      <c r="L613" s="189"/>
      <c r="M613" s="189"/>
      <c r="N613" s="189"/>
      <c r="O613" s="189"/>
      <c r="P613" s="189"/>
    </row>
    <row r="614" spans="1:16" ht="21.75" customHeight="1" x14ac:dyDescent="0.35">
      <c r="A614" s="183"/>
      <c r="B614" s="184"/>
      <c r="C614" s="184"/>
      <c r="D614" s="201"/>
      <c r="E614" s="206"/>
      <c r="F614" s="203"/>
      <c r="G614" s="233" t="s">
        <v>222</v>
      </c>
      <c r="H614" s="188" t="s">
        <v>122</v>
      </c>
      <c r="I614" s="211">
        <f ca="1">IFERROR(__xludf.DUMMYFUNCTION("IMPORTRANGE(""https://docs.google.com/spreadsheets/d/1IYY_tgx_IHuhSq3AJ5eI5OnqOPBNLWSHKh2a30DoXe8/edit?usp=sharing"",""ภูเก็ต!I509"")"),0)</f>
        <v>0</v>
      </c>
      <c r="J614" s="205">
        <f ca="1">IFERROR(__xludf.DUMMYFUNCTION("IMPORTRANGE(""https://docs.google.com/spreadsheets/d/1IYY_tgx_IHuhSq3AJ5eI5OnqOPBNLWSHKh2a30DoXe8/edit?usp=sharing"",""ภูเก็ต!J509"")"),0)</f>
        <v>0</v>
      </c>
      <c r="K614" s="169">
        <f t="shared" ca="1" si="127"/>
        <v>0</v>
      </c>
      <c r="L614" s="189"/>
      <c r="M614" s="189"/>
      <c r="N614" s="189"/>
      <c r="O614" s="189"/>
      <c r="P614" s="189"/>
    </row>
    <row r="615" spans="1:16" ht="21.75" customHeight="1" x14ac:dyDescent="0.35">
      <c r="A615" s="183"/>
      <c r="B615" s="184"/>
      <c r="C615" s="184"/>
      <c r="D615" s="201"/>
      <c r="E615" s="206"/>
      <c r="F615" s="203"/>
      <c r="G615" s="233" t="s">
        <v>223</v>
      </c>
      <c r="H615" s="188" t="s">
        <v>122</v>
      </c>
      <c r="I615" s="211">
        <f ca="1">IFERROR(__xludf.DUMMYFUNCTION("IMPORTRANGE(""https://docs.google.com/spreadsheets/d/1IYY_tgx_IHuhSq3AJ5eI5OnqOPBNLWSHKh2a30DoXe8/edit?usp=sharing"",""ภูเก็ต!I510"")"),0)</f>
        <v>0</v>
      </c>
      <c r="J615" s="205">
        <f ca="1">IFERROR(__xludf.DUMMYFUNCTION("IMPORTRANGE(""https://docs.google.com/spreadsheets/d/1IYY_tgx_IHuhSq3AJ5eI5OnqOPBNLWSHKh2a30DoXe8/edit?usp=sharing"",""ภูเก็ต!J510"")"),0)</f>
        <v>0</v>
      </c>
      <c r="K615" s="169">
        <f t="shared" ca="1" si="127"/>
        <v>0</v>
      </c>
      <c r="L615" s="189"/>
      <c r="M615" s="189"/>
      <c r="N615" s="189"/>
      <c r="O615" s="189"/>
      <c r="P615" s="189"/>
    </row>
    <row r="616" spans="1:16" ht="21.75" customHeight="1" x14ac:dyDescent="0.35">
      <c r="A616" s="183"/>
      <c r="B616" s="184"/>
      <c r="C616" s="184"/>
      <c r="D616" s="201"/>
      <c r="E616" s="206"/>
      <c r="F616" s="203"/>
      <c r="G616" s="202" t="s">
        <v>224</v>
      </c>
      <c r="H616" s="188" t="s">
        <v>122</v>
      </c>
      <c r="I616" s="211">
        <f ca="1">IFERROR(__xludf.DUMMYFUNCTION("IMPORTRANGE(""https://docs.google.com/spreadsheets/d/1IYY_tgx_IHuhSq3AJ5eI5OnqOPBNLWSHKh2a30DoXe8/edit?usp=sharing"",""ภูเก็ต!I511"")"),0)</f>
        <v>0</v>
      </c>
      <c r="J616" s="205">
        <f ca="1">IFERROR(__xludf.DUMMYFUNCTION("IMPORTRANGE(""https://docs.google.com/spreadsheets/d/1IYY_tgx_IHuhSq3AJ5eI5OnqOPBNLWSHKh2a30DoXe8/edit?usp=sharing"",""ภูเก็ต!J511"")"),0)</f>
        <v>0</v>
      </c>
      <c r="K616" s="169">
        <f t="shared" ca="1" si="127"/>
        <v>0</v>
      </c>
      <c r="L616" s="189"/>
      <c r="M616" s="189"/>
      <c r="N616" s="189"/>
      <c r="O616" s="189"/>
      <c r="P616" s="189"/>
    </row>
    <row r="617" spans="1:16" ht="21.75" customHeight="1" x14ac:dyDescent="0.35">
      <c r="A617" s="183"/>
      <c r="B617" s="184"/>
      <c r="C617" s="184"/>
      <c r="D617" s="201"/>
      <c r="E617" s="206"/>
      <c r="F617" s="203"/>
      <c r="G617" s="202" t="s">
        <v>225</v>
      </c>
      <c r="H617" s="188" t="s">
        <v>122</v>
      </c>
      <c r="I617" s="195">
        <f ca="1">IFERROR(__xludf.DUMMYFUNCTION("IMPORTRANGE(""https://docs.google.com/spreadsheets/d/1IYY_tgx_IHuhSq3AJ5eI5OnqOPBNLWSHKh2a30DoXe8/edit?usp=sharing"",""ภูเก็ต!I512"")"),0)</f>
        <v>0</v>
      </c>
      <c r="J617" s="195">
        <f ca="1">IFERROR(__xludf.DUMMYFUNCTION("IMPORTRANGE(""https://docs.google.com/spreadsheets/d/1IYY_tgx_IHuhSq3AJ5eI5OnqOPBNLWSHKh2a30DoXe8/edit?usp=sharing"",""ภูเก็ต!J512"")"),0)</f>
        <v>0</v>
      </c>
      <c r="K617" s="169">
        <f t="shared" ca="1" si="127"/>
        <v>0</v>
      </c>
      <c r="L617" s="189"/>
      <c r="M617" s="189"/>
      <c r="N617" s="189"/>
      <c r="O617" s="189"/>
      <c r="P617" s="189"/>
    </row>
    <row r="618" spans="1:16" ht="21.75" customHeight="1" x14ac:dyDescent="0.35">
      <c r="A618" s="183"/>
      <c r="B618" s="184"/>
      <c r="C618" s="184"/>
      <c r="D618" s="201"/>
      <c r="E618" s="206"/>
      <c r="F618" s="203"/>
      <c r="G618" s="504" t="s">
        <v>226</v>
      </c>
      <c r="H618" s="188" t="s">
        <v>122</v>
      </c>
      <c r="I618" s="211">
        <f ca="1">IFERROR(__xludf.DUMMYFUNCTION("IMPORTRANGE(""https://docs.google.com/spreadsheets/d/1IYY_tgx_IHuhSq3AJ5eI5OnqOPBNLWSHKh2a30DoXe8/edit?usp=sharing"",""ภูเก็ต!I513"")"),0)</f>
        <v>0</v>
      </c>
      <c r="J618" s="196">
        <f ca="1">IFERROR(__xludf.DUMMYFUNCTION("IMPORTRANGE(""https://docs.google.com/spreadsheets/d/1IYY_tgx_IHuhSq3AJ5eI5OnqOPBNLWSHKh2a30DoXe8/edit?usp=sharing"",""ภูเก็ต!J513"")"),0)</f>
        <v>0</v>
      </c>
      <c r="K618" s="169">
        <f t="shared" ca="1" si="127"/>
        <v>0</v>
      </c>
      <c r="L618" s="189"/>
      <c r="M618" s="189"/>
      <c r="N618" s="189"/>
      <c r="O618" s="189"/>
      <c r="P618" s="189"/>
    </row>
    <row r="619" spans="1:16" ht="21.75" customHeight="1" x14ac:dyDescent="0.35">
      <c r="A619" s="183"/>
      <c r="B619" s="184"/>
      <c r="C619" s="184"/>
      <c r="D619" s="201"/>
      <c r="E619" s="206"/>
      <c r="F619" s="203"/>
      <c r="G619" s="504" t="s">
        <v>227</v>
      </c>
      <c r="H619" s="188" t="s">
        <v>122</v>
      </c>
      <c r="I619" s="211">
        <f ca="1">IFERROR(__xludf.DUMMYFUNCTION("IMPORTRANGE(""https://docs.google.com/spreadsheets/d/1IYY_tgx_IHuhSq3AJ5eI5OnqOPBNLWSHKh2a30DoXe8/edit?usp=sharing"",""ภูเก็ต!I514"")"),0)</f>
        <v>0</v>
      </c>
      <c r="J619" s="196">
        <f ca="1">IFERROR(__xludf.DUMMYFUNCTION("IMPORTRANGE(""https://docs.google.com/spreadsheets/d/1IYY_tgx_IHuhSq3AJ5eI5OnqOPBNLWSHKh2a30DoXe8/edit?usp=sharing"",""ภูเก็ต!J514"")"),0)</f>
        <v>0</v>
      </c>
      <c r="K619" s="169">
        <f t="shared" ca="1" si="127"/>
        <v>0</v>
      </c>
      <c r="L619" s="189"/>
      <c r="M619" s="189"/>
      <c r="N619" s="189"/>
      <c r="O619" s="189"/>
      <c r="P619" s="189"/>
    </row>
    <row r="620" spans="1:16" ht="21.75" customHeight="1" x14ac:dyDescent="0.35">
      <c r="A620" s="183"/>
      <c r="B620" s="184"/>
      <c r="C620" s="184"/>
      <c r="D620" s="201"/>
      <c r="E620" s="203"/>
      <c r="F620" s="202" t="s">
        <v>228</v>
      </c>
      <c r="G620" s="204"/>
      <c r="H620" s="188" t="s">
        <v>122</v>
      </c>
      <c r="I620" s="195">
        <f ca="1">IFERROR(__xludf.DUMMYFUNCTION("IMPORTRANGE(""https://docs.google.com/spreadsheets/d/1IYY_tgx_IHuhSq3AJ5eI5OnqOPBNLWSHKh2a30DoXe8/edit?usp=sharing"",""ภูเก็ต!I515"")"),0)</f>
        <v>0</v>
      </c>
      <c r="J620" s="210">
        <f ca="1">IFERROR(__xludf.DUMMYFUNCTION("IMPORTRANGE(""https://docs.google.com/spreadsheets/d/1IYY_tgx_IHuhSq3AJ5eI5OnqOPBNLWSHKh2a30DoXe8/edit?usp=sharing"",""ภูเก็ต!J515"")"),0)</f>
        <v>0</v>
      </c>
      <c r="K620" s="169">
        <f t="shared" ref="K620:K626" ca="1" si="128">IF(I$620&gt;0,J620*100/I$620,0)</f>
        <v>0</v>
      </c>
      <c r="L620" s="189"/>
      <c r="M620" s="189"/>
      <c r="N620" s="189"/>
      <c r="O620" s="189"/>
      <c r="P620" s="189"/>
    </row>
    <row r="621" spans="1:16" ht="21.75" customHeight="1" x14ac:dyDescent="0.35">
      <c r="A621" s="183"/>
      <c r="B621" s="184"/>
      <c r="C621" s="184"/>
      <c r="D621" s="201"/>
      <c r="E621" s="206"/>
      <c r="F621" s="203"/>
      <c r="G621" s="233" t="s">
        <v>225</v>
      </c>
      <c r="H621" s="188" t="s">
        <v>122</v>
      </c>
      <c r="I621" s="210">
        <f ca="1">IFERROR(__xludf.DUMMYFUNCTION("IMPORTRANGE(""https://docs.google.com/spreadsheets/d/1IYY_tgx_IHuhSq3AJ5eI5OnqOPBNLWSHKh2a30DoXe8/edit?usp=sharing"",""ภูเก็ต!I516"")"),0)</f>
        <v>0</v>
      </c>
      <c r="J621" s="210">
        <f ca="1">IFERROR(__xludf.DUMMYFUNCTION("IMPORTRANGE(""https://docs.google.com/spreadsheets/d/1IYY_tgx_IHuhSq3AJ5eI5OnqOPBNLWSHKh2a30DoXe8/edit?usp=sharing"",""ภูเก็ต!J516"")"),0)</f>
        <v>0</v>
      </c>
      <c r="K621" s="169">
        <f t="shared" ca="1" si="128"/>
        <v>0</v>
      </c>
      <c r="L621" s="189"/>
      <c r="M621" s="189"/>
      <c r="N621" s="189"/>
      <c r="O621" s="189"/>
      <c r="P621" s="189"/>
    </row>
    <row r="622" spans="1:16" ht="21.75" customHeight="1" x14ac:dyDescent="0.35">
      <c r="A622" s="183"/>
      <c r="B622" s="184"/>
      <c r="C622" s="184"/>
      <c r="D622" s="201"/>
      <c r="E622" s="206"/>
      <c r="F622" s="203"/>
      <c r="G622" s="504" t="s">
        <v>226</v>
      </c>
      <c r="H622" s="188" t="s">
        <v>122</v>
      </c>
      <c r="I622" s="211">
        <f ca="1">IFERROR(__xludf.DUMMYFUNCTION("IMPORTRANGE(""https://docs.google.com/spreadsheets/d/1IYY_tgx_IHuhSq3AJ5eI5OnqOPBNLWSHKh2a30DoXe8/edit?usp=sharing"",""ภูเก็ต!I517"")"),0)</f>
        <v>0</v>
      </c>
      <c r="J622" s="196">
        <f ca="1">IFERROR(__xludf.DUMMYFUNCTION("IMPORTRANGE(""https://docs.google.com/spreadsheets/d/1IYY_tgx_IHuhSq3AJ5eI5OnqOPBNLWSHKh2a30DoXe8/edit?usp=sharing"",""ภูเก็ต!J517"")"),0)</f>
        <v>0</v>
      </c>
      <c r="K622" s="169">
        <f t="shared" ca="1" si="128"/>
        <v>0</v>
      </c>
      <c r="L622" s="189"/>
      <c r="M622" s="189"/>
      <c r="N622" s="189"/>
      <c r="O622" s="189"/>
      <c r="P622" s="189"/>
    </row>
    <row r="623" spans="1:16" ht="21.75" customHeight="1" x14ac:dyDescent="0.35">
      <c r="A623" s="183"/>
      <c r="B623" s="184"/>
      <c r="C623" s="184"/>
      <c r="D623" s="201"/>
      <c r="E623" s="206"/>
      <c r="F623" s="203"/>
      <c r="G623" s="504" t="s">
        <v>227</v>
      </c>
      <c r="H623" s="188" t="s">
        <v>122</v>
      </c>
      <c r="I623" s="211">
        <f ca="1">IFERROR(__xludf.DUMMYFUNCTION("IMPORTRANGE(""https://docs.google.com/spreadsheets/d/1IYY_tgx_IHuhSq3AJ5eI5OnqOPBNLWSHKh2a30DoXe8/edit?usp=sharing"",""ภูเก็ต!I518"")"),0)</f>
        <v>0</v>
      </c>
      <c r="J623" s="196">
        <f ca="1">IFERROR(__xludf.DUMMYFUNCTION("IMPORTRANGE(""https://docs.google.com/spreadsheets/d/1IYY_tgx_IHuhSq3AJ5eI5OnqOPBNLWSHKh2a30DoXe8/edit?usp=sharing"",""ภูเก็ต!J518"")"),0)</f>
        <v>0</v>
      </c>
      <c r="K623" s="169">
        <f t="shared" ca="1" si="128"/>
        <v>0</v>
      </c>
      <c r="L623" s="189"/>
      <c r="M623" s="189"/>
      <c r="N623" s="189"/>
      <c r="O623" s="189"/>
      <c r="P623" s="189"/>
    </row>
    <row r="624" spans="1:16" ht="21.75" customHeight="1" x14ac:dyDescent="0.35">
      <c r="A624" s="183"/>
      <c r="B624" s="184"/>
      <c r="C624" s="184"/>
      <c r="D624" s="201"/>
      <c r="E624" s="206"/>
      <c r="F624" s="203"/>
      <c r="G624" s="233" t="s">
        <v>229</v>
      </c>
      <c r="H624" s="188" t="s">
        <v>122</v>
      </c>
      <c r="I624" s="195">
        <f ca="1">IFERROR(__xludf.DUMMYFUNCTION("IMPORTRANGE(""https://docs.google.com/spreadsheets/d/1IYY_tgx_IHuhSq3AJ5eI5OnqOPBNLWSHKh2a30DoXe8/edit?usp=sharing"",""ภูเก็ต!I519"")"),0)</f>
        <v>0</v>
      </c>
      <c r="J624" s="195">
        <f ca="1">IFERROR(__xludf.DUMMYFUNCTION("IMPORTRANGE(""https://docs.google.com/spreadsheets/d/1IYY_tgx_IHuhSq3AJ5eI5OnqOPBNLWSHKh2a30DoXe8/edit?usp=sharing"",""ภูเก็ต!J519"")"),0)</f>
        <v>0</v>
      </c>
      <c r="K624" s="169">
        <f t="shared" ca="1" si="128"/>
        <v>0</v>
      </c>
      <c r="L624" s="189"/>
      <c r="M624" s="189"/>
      <c r="N624" s="189"/>
      <c r="O624" s="189"/>
      <c r="P624" s="189"/>
    </row>
    <row r="625" spans="1:16" ht="21.75" customHeight="1" x14ac:dyDescent="0.35">
      <c r="A625" s="183"/>
      <c r="B625" s="184"/>
      <c r="C625" s="184"/>
      <c r="D625" s="201"/>
      <c r="E625" s="206"/>
      <c r="F625" s="203"/>
      <c r="G625" s="504" t="s">
        <v>230</v>
      </c>
      <c r="H625" s="188" t="s">
        <v>122</v>
      </c>
      <c r="I625" s="211">
        <f ca="1">IFERROR(__xludf.DUMMYFUNCTION("IMPORTRANGE(""https://docs.google.com/spreadsheets/d/1IYY_tgx_IHuhSq3AJ5eI5OnqOPBNLWSHKh2a30DoXe8/edit?usp=sharing"",""ภูเก็ต!I520"")"),0)</f>
        <v>0</v>
      </c>
      <c r="J625" s="196">
        <f ca="1">IFERROR(__xludf.DUMMYFUNCTION("IMPORTRANGE(""https://docs.google.com/spreadsheets/d/1IYY_tgx_IHuhSq3AJ5eI5OnqOPBNLWSHKh2a30DoXe8/edit?usp=sharing"",""ภูเก็ต!J520"")"),0)</f>
        <v>0</v>
      </c>
      <c r="K625" s="169">
        <f t="shared" ca="1" si="128"/>
        <v>0</v>
      </c>
      <c r="L625" s="189"/>
      <c r="M625" s="189"/>
      <c r="N625" s="189"/>
      <c r="O625" s="189"/>
      <c r="P625" s="189"/>
    </row>
    <row r="626" spans="1:16" ht="21.75" customHeight="1" x14ac:dyDescent="0.35">
      <c r="A626" s="183"/>
      <c r="B626" s="184"/>
      <c r="C626" s="184"/>
      <c r="D626" s="201"/>
      <c r="E626" s="206"/>
      <c r="F626" s="203"/>
      <c r="G626" s="504" t="s">
        <v>231</v>
      </c>
      <c r="H626" s="188" t="s">
        <v>122</v>
      </c>
      <c r="I626" s="211">
        <f ca="1">IFERROR(__xludf.DUMMYFUNCTION("IMPORTRANGE(""https://docs.google.com/spreadsheets/d/1IYY_tgx_IHuhSq3AJ5eI5OnqOPBNLWSHKh2a30DoXe8/edit?usp=sharing"",""ภูเก็ต!I521"")"),0)</f>
        <v>0</v>
      </c>
      <c r="J626" s="196">
        <f ca="1">IFERROR(__xludf.DUMMYFUNCTION("IMPORTRANGE(""https://docs.google.com/spreadsheets/d/1IYY_tgx_IHuhSq3AJ5eI5OnqOPBNLWSHKh2a30DoXe8/edit?usp=sharing"",""ภูเก็ต!J521"")"),0)</f>
        <v>0</v>
      </c>
      <c r="K626" s="169">
        <f t="shared" ca="1" si="128"/>
        <v>0</v>
      </c>
      <c r="L626" s="189"/>
      <c r="M626" s="189"/>
      <c r="N626" s="189"/>
      <c r="O626" s="189"/>
      <c r="P626" s="189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2"/>
      <c r="E628" s="165"/>
      <c r="F628" s="165"/>
      <c r="G628" s="166"/>
      <c r="H628" s="513" t="s">
        <v>12</v>
      </c>
      <c r="I628" s="347">
        <f ca="1">IFERROR(__xludf.DUMMYFUNCTION("IMPORTRANGE(""https://docs.google.com/spreadsheets/d/1IYY_tgx_IHuhSq3AJ5eI5OnqOPBNLWSHKh2a30DoXe8/edit?usp=sharing"",""ภูเก็ต!I523"")"),661971.47)</f>
        <v>661971.47</v>
      </c>
      <c r="J628" s="347">
        <f ca="1">IFERROR(__xludf.DUMMYFUNCTION("IMPORTRANGE(""https://docs.google.com/spreadsheets/d/1IYY_tgx_IHuhSq3AJ5eI5OnqOPBNLWSHKh2a30DoXe8/edit?usp=sharing"",""ภูเก็ต!J523"")"),106199.59)</f>
        <v>106199.59</v>
      </c>
      <c r="K628" s="348">
        <f t="shared" ref="K628:K635" ca="1" si="129">IF(I628&gt;0,J628*100/I628,0)</f>
        <v>16.042925535748545</v>
      </c>
      <c r="L628" s="348"/>
      <c r="M628" s="348"/>
      <c r="N628" s="348"/>
      <c r="O628" s="176"/>
      <c r="P628" s="176"/>
    </row>
    <row r="629" spans="1:16" ht="21.75" customHeight="1" x14ac:dyDescent="0.35">
      <c r="A629" s="484"/>
      <c r="B629" s="163"/>
      <c r="C629" s="163"/>
      <c r="D629" s="172"/>
      <c r="E629" s="165"/>
      <c r="F629" s="165"/>
      <c r="G629" s="166"/>
      <c r="H629" s="513" t="s">
        <v>37</v>
      </c>
      <c r="I629" s="347">
        <f ca="1">IFERROR(__xludf.DUMMYFUNCTION("IMPORTRANGE(""https://docs.google.com/spreadsheets/d/1IYY_tgx_IHuhSq3AJ5eI5OnqOPBNLWSHKh2a30DoXe8/edit?usp=sharing"",""ภูเก็ต!I524"")"),36)</f>
        <v>36</v>
      </c>
      <c r="J629" s="347">
        <f ca="1">IFERROR(__xludf.DUMMYFUNCTION("IMPORTRANGE(""https://docs.google.com/spreadsheets/d/1IYY_tgx_IHuhSq3AJ5eI5OnqOPBNLWSHKh2a30DoXe8/edit?usp=sharing"",""ภูเก็ต!J524"")"),7)</f>
        <v>7</v>
      </c>
      <c r="K629" s="348">
        <f t="shared" ca="1" si="129"/>
        <v>19.444444444444443</v>
      </c>
      <c r="L629" s="348"/>
      <c r="M629" s="348"/>
      <c r="N629" s="348"/>
      <c r="O629" s="176"/>
      <c r="P629" s="176"/>
    </row>
    <row r="630" spans="1:16" ht="21.75" customHeight="1" x14ac:dyDescent="0.35">
      <c r="A630" s="484"/>
      <c r="B630" s="512" t="s">
        <v>234</v>
      </c>
      <c r="C630" s="163"/>
      <c r="D630" s="172"/>
      <c r="E630" s="165"/>
      <c r="F630" s="165"/>
      <c r="G630" s="166"/>
      <c r="H630" s="513" t="s">
        <v>12</v>
      </c>
      <c r="I630" s="347">
        <f ca="1">IFERROR(__xludf.DUMMYFUNCTION("IMPORTRANGE(""https://docs.google.com/spreadsheets/d/1IYY_tgx_IHuhSq3AJ5eI5OnqOPBNLWSHKh2a30DoXe8/edit?usp=sharing"",""ภูเก็ต!I525"")"),0)</f>
        <v>0</v>
      </c>
      <c r="J630" s="347">
        <f ca="1">IFERROR(__xludf.DUMMYFUNCTION("IMPORTRANGE(""https://docs.google.com/spreadsheets/d/1IYY_tgx_IHuhSq3AJ5eI5OnqOPBNLWSHKh2a30DoXe8/edit?usp=sharing"",""ภูเก็ต!J525"")"),0)</f>
        <v>0</v>
      </c>
      <c r="K630" s="348">
        <f t="shared" ca="1" si="129"/>
        <v>0</v>
      </c>
      <c r="L630" s="348"/>
      <c r="M630" s="348"/>
      <c r="N630" s="348"/>
      <c r="O630" s="176"/>
      <c r="P630" s="176"/>
    </row>
    <row r="631" spans="1:16" ht="21.75" customHeight="1" x14ac:dyDescent="0.35">
      <c r="A631" s="484"/>
      <c r="B631" s="163"/>
      <c r="C631" s="163"/>
      <c r="D631" s="172"/>
      <c r="E631" s="165"/>
      <c r="F631" s="165"/>
      <c r="G631" s="166"/>
      <c r="H631" s="513" t="s">
        <v>37</v>
      </c>
      <c r="I631" s="347">
        <f ca="1">IFERROR(__xludf.DUMMYFUNCTION("IMPORTRANGE(""https://docs.google.com/spreadsheets/d/1IYY_tgx_IHuhSq3AJ5eI5OnqOPBNLWSHKh2a30DoXe8/edit?usp=sharing"",""ภูเก็ต!I526"")"),0)</f>
        <v>0</v>
      </c>
      <c r="J631" s="347">
        <f ca="1">IFERROR(__xludf.DUMMYFUNCTION("IMPORTRANGE(""https://docs.google.com/spreadsheets/d/1IYY_tgx_IHuhSq3AJ5eI5OnqOPBNLWSHKh2a30DoXe8/edit?usp=sharing"",""ภูเก็ต!J526"")"),0)</f>
        <v>0</v>
      </c>
      <c r="K631" s="348">
        <f t="shared" ca="1" si="129"/>
        <v>0</v>
      </c>
      <c r="L631" s="348"/>
      <c r="M631" s="348"/>
      <c r="N631" s="348"/>
      <c r="O631" s="176"/>
      <c r="P631" s="176"/>
    </row>
    <row r="632" spans="1:16" ht="21.75" customHeight="1" x14ac:dyDescent="0.35">
      <c r="A632" s="484"/>
      <c r="B632" s="512" t="s">
        <v>235</v>
      </c>
      <c r="C632" s="163"/>
      <c r="D632" s="172"/>
      <c r="E632" s="165"/>
      <c r="F632" s="165"/>
      <c r="G632" s="166"/>
      <c r="H632" s="513" t="s">
        <v>12</v>
      </c>
      <c r="I632" s="347">
        <f ca="1">IFERROR(__xludf.DUMMYFUNCTION("IMPORTRANGE(""https://docs.google.com/spreadsheets/d/1IYY_tgx_IHuhSq3AJ5eI5OnqOPBNLWSHKh2a30DoXe8/edit?usp=sharing"",""ภูเก็ต!I527"")"),0)</f>
        <v>0</v>
      </c>
      <c r="J632" s="347">
        <f ca="1">IFERROR(__xludf.DUMMYFUNCTION("IMPORTRANGE(""https://docs.google.com/spreadsheets/d/1IYY_tgx_IHuhSq3AJ5eI5OnqOPBNLWSHKh2a30DoXe8/edit?usp=sharing"",""ภูเก็ต!J527"")"),0)</f>
        <v>0</v>
      </c>
      <c r="K632" s="348">
        <f t="shared" ca="1" si="129"/>
        <v>0</v>
      </c>
      <c r="L632" s="348"/>
      <c r="M632" s="348"/>
      <c r="N632" s="348"/>
      <c r="O632" s="176"/>
      <c r="P632" s="176"/>
    </row>
    <row r="633" spans="1:16" ht="21.75" customHeight="1" x14ac:dyDescent="0.35">
      <c r="A633" s="484"/>
      <c r="B633" s="512"/>
      <c r="C633" s="163"/>
      <c r="D633" s="172"/>
      <c r="E633" s="165"/>
      <c r="F633" s="165"/>
      <c r="G633" s="166"/>
      <c r="H633" s="513" t="s">
        <v>37</v>
      </c>
      <c r="I633" s="347">
        <f ca="1">IFERROR(__xludf.DUMMYFUNCTION("IMPORTRANGE(""https://docs.google.com/spreadsheets/d/1IYY_tgx_IHuhSq3AJ5eI5OnqOPBNLWSHKh2a30DoXe8/edit?usp=sharing"",""ภูเก็ต!I528"")"),0)</f>
        <v>0</v>
      </c>
      <c r="J633" s="347">
        <f ca="1">IFERROR(__xludf.DUMMYFUNCTION("IMPORTRANGE(""https://docs.google.com/spreadsheets/d/1IYY_tgx_IHuhSq3AJ5eI5OnqOPBNLWSHKh2a30DoXe8/edit?usp=sharing"",""ภูเก็ต!J528"")"),0)</f>
        <v>0</v>
      </c>
      <c r="K633" s="348">
        <f t="shared" ca="1" si="129"/>
        <v>0</v>
      </c>
      <c r="L633" s="348"/>
      <c r="M633" s="348"/>
      <c r="N633" s="348"/>
      <c r="O633" s="176"/>
      <c r="P633" s="176"/>
    </row>
    <row r="634" spans="1:16" ht="21.75" customHeight="1" x14ac:dyDescent="0.35">
      <c r="A634" s="484"/>
      <c r="B634" s="512" t="s">
        <v>236</v>
      </c>
      <c r="C634" s="163"/>
      <c r="D634" s="172"/>
      <c r="E634" s="165"/>
      <c r="F634" s="165"/>
      <c r="G634" s="166"/>
      <c r="H634" s="513" t="s">
        <v>12</v>
      </c>
      <c r="I634" s="347">
        <f ca="1">IFERROR(__xludf.DUMMYFUNCTION("IMPORTRANGE(""https://docs.google.com/spreadsheets/d/1IYY_tgx_IHuhSq3AJ5eI5OnqOPBNLWSHKh2a30DoXe8/edit?usp=sharing"",""ภูเก็ต!I529"")"),350000)</f>
        <v>350000</v>
      </c>
      <c r="J634" s="347">
        <f ca="1">IFERROR(__xludf.DUMMYFUNCTION("IMPORTRANGE(""https://docs.google.com/spreadsheets/d/1IYY_tgx_IHuhSq3AJ5eI5OnqOPBNLWSHKh2a30DoXe8/edit?usp=sharing"",""ภูเก็ต!J529"")"),0)</f>
        <v>0</v>
      </c>
      <c r="K634" s="348">
        <f t="shared" ca="1" si="129"/>
        <v>0</v>
      </c>
      <c r="L634" s="348"/>
      <c r="M634" s="348"/>
      <c r="N634" s="348"/>
      <c r="O634" s="176"/>
      <c r="P634" s="176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IFERROR(__xludf.DUMMYFUNCTION("IMPORTRANGE(""https://docs.google.com/spreadsheets/d/1IYY_tgx_IHuhSq3AJ5eI5OnqOPBNLWSHKh2a30DoXe8/edit?usp=sharing"",""ภูเก็ต!I530"")"),7)</f>
        <v>7</v>
      </c>
      <c r="J635" s="517">
        <f ca="1">IFERROR(__xludf.DUMMYFUNCTION("IMPORTRANGE(""https://docs.google.com/spreadsheets/d/1IYY_tgx_IHuhSq3AJ5eI5OnqOPBNLWSHKh2a30DoXe8/edit?usp=sharing"",""ภูเก็ต!J530"")"),0)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3" sqref="G23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7265625" bestFit="1" customWidth="1"/>
    <col min="12" max="14" width="17.81640625" bestFit="1" customWidth="1"/>
    <col min="15" max="15" width="18.81640625" customWidth="1"/>
    <col min="16" max="16" width="20.54296875" customWidth="1"/>
  </cols>
  <sheetData>
    <row r="1" spans="1:16" ht="18" customHeight="1" x14ac:dyDescent="0.35">
      <c r="A1" s="527" t="s">
        <v>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</row>
    <row r="2" spans="1:16" ht="18" customHeight="1" x14ac:dyDescent="0.35">
      <c r="A2" s="527" t="s">
        <v>258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</row>
    <row r="3" spans="1:16" ht="18" customHeight="1" x14ac:dyDescent="0.35">
      <c r="A3" s="527" t="s">
        <v>268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5" t="s">
        <v>2</v>
      </c>
      <c r="B5" s="536"/>
      <c r="C5" s="536"/>
      <c r="D5" s="536"/>
      <c r="E5" s="536"/>
      <c r="F5" s="536"/>
      <c r="G5" s="537"/>
      <c r="H5" s="528" t="s">
        <v>3</v>
      </c>
      <c r="I5" s="530" t="s">
        <v>4</v>
      </c>
      <c r="J5" s="531"/>
      <c r="K5" s="532"/>
      <c r="L5" s="533" t="s">
        <v>5</v>
      </c>
      <c r="M5" s="532"/>
      <c r="N5" s="534" t="s">
        <v>6</v>
      </c>
      <c r="O5" s="531"/>
      <c r="P5" s="532"/>
    </row>
    <row r="6" spans="1:16" ht="21.75" customHeight="1" x14ac:dyDescent="0.35">
      <c r="A6" s="538"/>
      <c r="B6" s="539"/>
      <c r="C6" s="539"/>
      <c r="D6" s="539"/>
      <c r="E6" s="539"/>
      <c r="F6" s="539"/>
      <c r="G6" s="540"/>
      <c r="H6" s="52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1" t="s">
        <v>15</v>
      </c>
      <c r="B7" s="531"/>
      <c r="C7" s="531"/>
      <c r="D7" s="531"/>
      <c r="E7" s="531"/>
      <c r="F7" s="531"/>
      <c r="G7" s="53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2" t="s">
        <v>17</v>
      </c>
      <c r="E8" s="543"/>
      <c r="F8" s="543"/>
      <c r="G8" s="543"/>
      <c r="H8" s="20" t="s">
        <v>12</v>
      </c>
      <c r="I8" s="21"/>
      <c r="J8" s="21"/>
      <c r="K8" s="22"/>
      <c r="L8" s="23">
        <f t="shared" ref="L8:N8" ca="1" si="0">L9+L10</f>
        <v>2483242</v>
      </c>
      <c r="M8" s="23">
        <f t="shared" ca="1" si="0"/>
        <v>1111851</v>
      </c>
      <c r="N8" s="23">
        <f t="shared" ca="1" si="0"/>
        <v>1241210.81</v>
      </c>
      <c r="O8" s="22">
        <f t="shared" ref="O8:O16" ca="1" si="1">IF(L8&gt;0,N8*100/L8,0)</f>
        <v>49.983481674359567</v>
      </c>
      <c r="P8" s="22">
        <f t="shared" ref="P8:P16" ca="1" si="2">IF(M8&gt;0,N8*100/M8,0)</f>
        <v>111.63463539628961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2483242</v>
      </c>
      <c r="M10" s="30">
        <f t="shared" ca="1" si="4"/>
        <v>1111851</v>
      </c>
      <c r="N10" s="30">
        <f t="shared" ca="1" si="4"/>
        <v>1241210.81</v>
      </c>
      <c r="O10" s="29">
        <f t="shared" ca="1" si="1"/>
        <v>49.983481674359567</v>
      </c>
      <c r="P10" s="29">
        <f t="shared" ca="1" si="2"/>
        <v>111.63463539628961</v>
      </c>
    </row>
    <row r="11" spans="1:16" ht="21.75" customHeight="1" x14ac:dyDescent="0.45">
      <c r="A11" s="31"/>
      <c r="B11" s="32"/>
      <c r="C11" s="33" t="s">
        <v>16</v>
      </c>
      <c r="D11" s="544" t="s">
        <v>20</v>
      </c>
      <c r="E11" s="545"/>
      <c r="F11" s="54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2288242</v>
      </c>
      <c r="M12" s="38">
        <f t="shared" ca="1" si="6"/>
        <v>916851</v>
      </c>
      <c r="N12" s="38">
        <f t="shared" ca="1" si="6"/>
        <v>1046210.81</v>
      </c>
      <c r="O12" s="38">
        <f t="shared" ca="1" si="1"/>
        <v>45.72116104852546</v>
      </c>
      <c r="P12" s="38">
        <f t="shared" ca="1" si="2"/>
        <v>114.10914205252544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1360100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928142</v>
      </c>
      <c r="M14" s="38">
        <f t="shared" si="8"/>
        <v>0</v>
      </c>
      <c r="N14" s="38">
        <f t="shared" ca="1" si="8"/>
        <v>306953.81</v>
      </c>
      <c r="O14" s="41">
        <f t="shared" ca="1" si="1"/>
        <v>33.071858616461704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44" t="s">
        <v>23</v>
      </c>
      <c r="E15" s="54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1" t="s">
        <v>24</v>
      </c>
      <c r="B17" s="531"/>
      <c r="C17" s="531"/>
      <c r="D17" s="531"/>
      <c r="E17" s="531"/>
      <c r="F17" s="531"/>
      <c r="G17" s="53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2" t="s">
        <v>17</v>
      </c>
      <c r="E18" s="543"/>
      <c r="F18" s="543"/>
      <c r="G18" s="543"/>
      <c r="H18" s="20" t="s">
        <v>12</v>
      </c>
      <c r="I18" s="21"/>
      <c r="J18" s="21"/>
      <c r="K18" s="22"/>
      <c r="L18" s="23">
        <f t="shared" ref="L18:N18" ca="1" si="11">L19+L20</f>
        <v>1872575</v>
      </c>
      <c r="M18" s="23">
        <f t="shared" ca="1" si="11"/>
        <v>1111851</v>
      </c>
      <c r="N18" s="23">
        <f t="shared" ca="1" si="11"/>
        <v>934257</v>
      </c>
      <c r="O18" s="22">
        <f t="shared" ref="O18:O20" ca="1" si="12">IF(L18&gt;0,N18*100/L18,0)</f>
        <v>49.891566425910845</v>
      </c>
      <c r="P18" s="22">
        <f t="shared" ref="P18:P26" ca="1" si="13">IF(M18&gt;0,N18*100/M18,0)</f>
        <v>84.027176303299626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1872575</v>
      </c>
      <c r="M20" s="30">
        <f t="shared" ca="1" si="15"/>
        <v>1111851</v>
      </c>
      <c r="N20" s="30">
        <f t="shared" ca="1" si="15"/>
        <v>934257</v>
      </c>
      <c r="O20" s="29">
        <f t="shared" ca="1" si="12"/>
        <v>49.891566425910845</v>
      </c>
      <c r="P20" s="29">
        <f t="shared" ca="1" si="13"/>
        <v>84.027176303299626</v>
      </c>
    </row>
    <row r="21" spans="1:16" ht="21.75" customHeight="1" x14ac:dyDescent="0.45">
      <c r="A21" s="31"/>
      <c r="B21" s="32"/>
      <c r="C21" s="33" t="s">
        <v>16</v>
      </c>
      <c r="D21" s="544" t="s">
        <v>20</v>
      </c>
      <c r="E21" s="545"/>
      <c r="F21" s="54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1677575</v>
      </c>
      <c r="M22" s="42">
        <f t="shared" ca="1" si="18"/>
        <v>916851</v>
      </c>
      <c r="N22" s="41">
        <f t="shared" ca="1" si="18"/>
        <v>739257</v>
      </c>
      <c r="O22" s="41">
        <f t="shared" ca="1" si="17"/>
        <v>44.067001475343872</v>
      </c>
      <c r="P22" s="41">
        <f t="shared" ca="1" si="13"/>
        <v>80.630004220969383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1360100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317475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44" t="s">
        <v>23</v>
      </c>
      <c r="E25" s="54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195000</v>
      </c>
      <c r="M26" s="50">
        <f t="shared" ca="1" si="22"/>
        <v>195000</v>
      </c>
      <c r="N26" s="50">
        <f t="shared" ca="1" si="22"/>
        <v>195000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1" t="s">
        <v>25</v>
      </c>
      <c r="B27" s="531"/>
      <c r="C27" s="531"/>
      <c r="D27" s="531"/>
      <c r="E27" s="531"/>
      <c r="F27" s="531"/>
      <c r="G27" s="53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2" t="s">
        <v>17</v>
      </c>
      <c r="E28" s="543"/>
      <c r="F28" s="543"/>
      <c r="G28" s="543"/>
      <c r="H28" s="20" t="s">
        <v>12</v>
      </c>
      <c r="I28" s="21"/>
      <c r="J28" s="21"/>
      <c r="K28" s="22"/>
      <c r="L28" s="23">
        <f t="shared" ref="L28:N28" ca="1" si="23">L29+L30</f>
        <v>610667</v>
      </c>
      <c r="M28" s="23">
        <f t="shared" si="23"/>
        <v>0</v>
      </c>
      <c r="N28" s="23">
        <f t="shared" ca="1" si="23"/>
        <v>306953.81</v>
      </c>
      <c r="O28" s="22">
        <f t="shared" ref="O28:O30" ca="1" si="24">IF(L28&gt;0,N28*100/L28,0)</f>
        <v>50.265334462153675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610667</v>
      </c>
      <c r="M30" s="30">
        <f t="shared" si="27"/>
        <v>0</v>
      </c>
      <c r="N30" s="30">
        <f t="shared" ca="1" si="27"/>
        <v>306953.81</v>
      </c>
      <c r="O30" s="29">
        <f t="shared" ca="1" si="24"/>
        <v>50.265334462153675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44" t="s">
        <v>20</v>
      </c>
      <c r="E31" s="545"/>
      <c r="F31" s="54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610667</v>
      </c>
      <c r="M32" s="41">
        <f t="shared" si="30"/>
        <v>0</v>
      </c>
      <c r="N32" s="41">
        <f t="shared" ca="1" si="30"/>
        <v>306953.81</v>
      </c>
      <c r="O32" s="41">
        <f t="shared" ca="1" si="29"/>
        <v>50.265334462153675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610667</v>
      </c>
      <c r="M34" s="41">
        <f t="shared" si="32"/>
        <v>0</v>
      </c>
      <c r="N34" s="41">
        <f t="shared" ca="1" si="32"/>
        <v>306953.81</v>
      </c>
      <c r="O34" s="41">
        <f t="shared" ca="1" si="29"/>
        <v>50.265334462153675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44" t="s">
        <v>23</v>
      </c>
      <c r="E35" s="54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1872575</v>
      </c>
      <c r="M37" s="55">
        <f t="shared" ca="1" si="33"/>
        <v>1111851</v>
      </c>
      <c r="N37" s="55">
        <f t="shared" ca="1" si="33"/>
        <v>934257</v>
      </c>
      <c r="O37" s="56">
        <f t="shared" ca="1" si="29"/>
        <v>49.891566425910845</v>
      </c>
      <c r="P37" s="56">
        <f t="shared" ca="1" si="25"/>
        <v>84.027176303299626</v>
      </c>
    </row>
    <row r="38" spans="1:16" ht="21.75" customHeight="1" x14ac:dyDescent="0.45">
      <c r="A38" s="546" t="s">
        <v>27</v>
      </c>
      <c r="B38" s="531"/>
      <c r="C38" s="531"/>
      <c r="D38" s="531"/>
      <c r="E38" s="531"/>
      <c r="F38" s="531"/>
      <c r="G38" s="53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7" t="s">
        <v>28</v>
      </c>
      <c r="C39" s="543"/>
      <c r="D39" s="543"/>
      <c r="E39" s="543"/>
      <c r="F39" s="543"/>
      <c r="G39" s="54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48" t="s">
        <v>17</v>
      </c>
      <c r="E41" s="545"/>
      <c r="F41" s="545"/>
      <c r="G41" s="545"/>
      <c r="H41" s="76" t="s">
        <v>12</v>
      </c>
      <c r="I41" s="77"/>
      <c r="J41" s="77"/>
      <c r="K41" s="78"/>
      <c r="L41" s="79">
        <f t="shared" ref="L41:N41" ca="1" si="34">L42+L43</f>
        <v>615100</v>
      </c>
      <c r="M41" s="79">
        <f t="shared" ca="1" si="34"/>
        <v>331500</v>
      </c>
      <c r="N41" s="79">
        <f t="shared" ca="1" si="34"/>
        <v>272506</v>
      </c>
      <c r="O41" s="78">
        <f t="shared" ref="O41:O43" ca="1" si="35">IF(L41&gt;0,N41*100/L41,0)</f>
        <v>44.302715005690132</v>
      </c>
      <c r="P41" s="78">
        <f t="shared" ref="P41:P43" ca="1" si="36">IF(M41&gt;0,N41*100/M41,0)</f>
        <v>82.20392156862745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615100</v>
      </c>
      <c r="M43" s="79">
        <f t="shared" ca="1" si="38"/>
        <v>331500</v>
      </c>
      <c r="N43" s="79">
        <f t="shared" ca="1" si="38"/>
        <v>272506</v>
      </c>
      <c r="O43" s="78">
        <f t="shared" ca="1" si="35"/>
        <v>44.302715005690132</v>
      </c>
      <c r="P43" s="78">
        <f t="shared" ca="1" si="36"/>
        <v>82.20392156862745</v>
      </c>
    </row>
    <row r="44" spans="1:16" ht="21.75" customHeight="1" x14ac:dyDescent="0.45">
      <c r="A44" s="80"/>
      <c r="B44" s="81"/>
      <c r="C44" s="82" t="s">
        <v>16</v>
      </c>
      <c r="D44" s="549" t="s">
        <v>20</v>
      </c>
      <c r="E44" s="545"/>
      <c r="F44" s="54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567100</v>
      </c>
      <c r="M45" s="91">
        <f ca="1">IFERROR(__xludf.DUMMYFUNCTION("IMPORTRANGE(""https://docs.google.com/spreadsheets/d/1Yj_ptqi66GCucihVvJfMjLAmec39IyEx_6qawtMGysU/edit?usp=sharing"",""สบก!Q90"")"),283500)</f>
        <v>283500</v>
      </c>
      <c r="N45" s="91">
        <f ca="1">IFERROR(__xludf.DUMMYFUNCTION("IMPORTRANGE(""https://docs.google.com/spreadsheets/d/1Yj_ptqi66GCucihVvJfMjLAmec39IyEx_6qawtMGysU/edit?usp=sharing"",""สบก!R90"")"),224506)</f>
        <v>224506</v>
      </c>
      <c r="O45" s="92">
        <f ca="1">IF(L45&gt;0,N45*100/L45,0)</f>
        <v>39.588432375242462</v>
      </c>
      <c r="P45" s="92">
        <f ca="1">IF(M45&gt;0,N45*100/M45,0)</f>
        <v>79.190828924162261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IFERROR(__xludf.DUMMYFUNCTION("IMPORTRANGE(""https://docs.google.com/spreadsheets/d/1Yj_ptqi66GCucihVvJfMjLAmec39IyEx_6qawtMGysU/edit?usp=sharing"",""สบก!M90"")"),567100)</f>
        <v>567100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IFERROR(__xludf.DUMMYFUNCTION("IMPORTRANGE(""https://docs.google.com/spreadsheets/d/1Yj_ptqi66GCucihVvJfMjLAmec39IyEx_6qawtMGysU/edit?usp=sharing"",""สบก!N90"")"),0)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49" t="s">
        <v>23</v>
      </c>
      <c r="E48" s="54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IFERROR(__xludf.DUMMYFUNCTION("IMPORTRANGE(""https://docs.google.com/spreadsheets/d/1Yj_ptqi66GCucihVvJfMjLAmec39IyEx_6qawtMGysU/edit?usp=sharing"",""สบก!O90"")"),48000)</f>
        <v>48000</v>
      </c>
      <c r="M49" s="101">
        <f ca="1">L49</f>
        <v>48000</v>
      </c>
      <c r="N49" s="91">
        <f ca="1">IFERROR(__xludf.DUMMYFUNCTION("IMPORTRANGE(""https://docs.google.com/spreadsheets/d/1Yj_ptqi66GCucihVvJfMjLAmec39IyEx_6qawtMGysU/edit?usp=sharing"",""สบก!S90"")"),48000)</f>
        <v>48000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0" t="s">
        <v>32</v>
      </c>
      <c r="C52" s="545"/>
      <c r="D52" s="545"/>
      <c r="E52" s="545"/>
      <c r="F52" s="545"/>
      <c r="G52" s="54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1" t="s">
        <v>17</v>
      </c>
      <c r="E53" s="545"/>
      <c r="F53" s="545"/>
      <c r="G53" s="545"/>
      <c r="H53" s="122" t="s">
        <v>12</v>
      </c>
      <c r="I53" s="123"/>
      <c r="J53" s="123"/>
      <c r="K53" s="124"/>
      <c r="L53" s="125">
        <f t="shared" ref="L53:N53" ca="1" si="39">L54+L55</f>
        <v>169000</v>
      </c>
      <c r="M53" s="125">
        <f t="shared" ca="1" si="39"/>
        <v>124386</v>
      </c>
      <c r="N53" s="125">
        <f t="shared" ca="1" si="39"/>
        <v>118440</v>
      </c>
      <c r="O53" s="124">
        <f t="shared" ref="O53:O55" ca="1" si="40">IF(L53&gt;0,N53*100/L53,0)</f>
        <v>70.082840236686394</v>
      </c>
      <c r="P53" s="124">
        <f t="shared" ref="P53:P55" ca="1" si="41">IF(M53&gt;0,N53*100/M53,0)</f>
        <v>95.219719261010084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169000</v>
      </c>
      <c r="M55" s="125">
        <f t="shared" ca="1" si="43"/>
        <v>124386</v>
      </c>
      <c r="N55" s="125">
        <f t="shared" ca="1" si="43"/>
        <v>118440</v>
      </c>
      <c r="O55" s="124">
        <f t="shared" ca="1" si="40"/>
        <v>70.082840236686394</v>
      </c>
      <c r="P55" s="124">
        <f t="shared" ca="1" si="41"/>
        <v>95.219719261010084</v>
      </c>
    </row>
    <row r="56" spans="1:16" ht="21.75" customHeight="1" x14ac:dyDescent="0.45">
      <c r="A56" s="80"/>
      <c r="B56" s="81"/>
      <c r="C56" s="82" t="s">
        <v>16</v>
      </c>
      <c r="D56" s="549" t="s">
        <v>20</v>
      </c>
      <c r="E56" s="545"/>
      <c r="F56" s="54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169000</v>
      </c>
      <c r="M57" s="91">
        <f ca="1">IFERROR(__xludf.DUMMYFUNCTION("IMPORTRANGE(""https://docs.google.com/spreadsheets/d/1Yj_ptqi66GCucihVvJfMjLAmec39IyEx_6qawtMGysU/edit?usp=sharing"",""สบก!Z90"")"),124386)</f>
        <v>124386</v>
      </c>
      <c r="N57" s="91">
        <f ca="1">IFERROR(__xludf.DUMMYFUNCTION("IMPORTRANGE(""https://docs.google.com/spreadsheets/d/1Yj_ptqi66GCucihVvJfMjLAmec39IyEx_6qawtMGysU/edit?usp=sharing"",""สบก!AA90"")"),118440)</f>
        <v>118440</v>
      </c>
      <c r="O57" s="92">
        <f ca="1">IF(L57&gt;0,N57*100/L57,0)</f>
        <v>70.082840236686394</v>
      </c>
      <c r="P57" s="92">
        <f ca="1">IF(M57&gt;0,N57*100/M57,0)</f>
        <v>95.219719261010084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IFERROR(__xludf.DUMMYFUNCTION("IMPORTRANGE(""https://docs.google.com/spreadsheets/d/1Yj_ptqi66GCucihVvJfMjLAmec39IyEx_6qawtMGysU/edit?usp=sharing"",""สบก!V90"")"),169000)</f>
        <v>169000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IFERROR(__xludf.DUMMYFUNCTION("IMPORTRANGE(""https://docs.google.com/spreadsheets/d/1Yj_ptqi66GCucihVvJfMjLAmec39IyEx_6qawtMGysU/edit?usp=sharing"",""สบก!W90"")"),0)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49" t="s">
        <v>23</v>
      </c>
      <c r="E60" s="54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IFERROR(__xludf.DUMMYFUNCTION("IMPORTRANGE(""https://docs.google.com/spreadsheets/d/1Yj_ptqi66GCucihVvJfMjLAmec39IyEx_6qawtMGysU/edit?usp=sharing"",""สบก!X90"")"),0)</f>
        <v>0</v>
      </c>
      <c r="M61" s="101"/>
      <c r="N61" s="91">
        <f ca="1">IFERROR(__xludf.DUMMYFUNCTION("IMPORTRANGE(""https://docs.google.com/spreadsheets/d/1Yj_ptqi66GCucihVvJfMjLAmec39IyEx_6qawtMGysU/edit?usp=sharing"",""สบก!AB90"")"),0)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IFERROR(__xludf.DUMMYFUNCTION("IMPORTRANGE(""https://docs.google.com/spreadsheets/d/1IYY_tgx_IHuhSq3AJ5eI5OnqOPBNLWSHKh2a30DoXe8/edit?usp=sharing"",""ยะลา!I9"")"),0)</f>
        <v>0</v>
      </c>
      <c r="J64" s="146">
        <f ca="1">IFERROR(__xludf.DUMMYFUNCTION("IMPORTRANGE(""https://docs.google.com/spreadsheets/d/1IYY_tgx_IHuhSq3AJ5eI5OnqOPBNLWSHKh2a30DoXe8/edit?usp=sharing"",""ยะลา!J9"")"),0)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IFERROR(__xludf.DUMMYFUNCTION("IMPORTRANGE(""https://docs.google.com/spreadsheets/d/1IYY_tgx_IHuhSq3AJ5eI5OnqOPBNLWSHKh2a30DoXe8/edit?usp=sharing"",""ยะลา!I10"")"),0)</f>
        <v>0</v>
      </c>
      <c r="J65" s="146">
        <f ca="1">IFERROR(__xludf.DUMMYFUNCTION("IMPORTRANGE(""https://docs.google.com/spreadsheets/d/1IYY_tgx_IHuhSq3AJ5eI5OnqOPBNLWSHKh2a30DoXe8/edit?usp=sharing"",""ยะลา!J10"")"),0)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52" t="s">
        <v>17</v>
      </c>
      <c r="E66" s="543"/>
      <c r="F66" s="543"/>
      <c r="G66" s="54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5">
      <c r="A69" s="162"/>
      <c r="B69" s="163"/>
      <c r="C69" s="163" t="s">
        <v>16</v>
      </c>
      <c r="D69" s="164" t="s">
        <v>38</v>
      </c>
      <c r="E69" s="165"/>
      <c r="F69" s="165"/>
      <c r="G69" s="166" t="s">
        <v>39</v>
      </c>
      <c r="H69" s="167" t="s">
        <v>12</v>
      </c>
      <c r="I69" s="168" t="s">
        <v>40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 x14ac:dyDescent="0.35">
      <c r="A70" s="162"/>
      <c r="B70" s="163"/>
      <c r="C70" s="163"/>
      <c r="D70" s="172"/>
      <c r="E70" s="165"/>
      <c r="F70" s="165" t="s">
        <v>40</v>
      </c>
      <c r="G70" s="166" t="s">
        <v>41</v>
      </c>
      <c r="H70" s="167" t="s">
        <v>12</v>
      </c>
      <c r="I70" s="168"/>
      <c r="J70" s="168"/>
      <c r="K70" s="169"/>
      <c r="L70" s="173">
        <f ca="1">L71+L72</f>
        <v>0</v>
      </c>
      <c r="M70" s="174">
        <f ca="1">IFERROR(__xludf.DUMMYFUNCTION("IMPORTRANGE(""https://docs.google.com/spreadsheets/d/1Yj_ptqi66GCucihVvJfMjLAmec39IyEx_6qawtMGysU/edit?usp=sharing"",""สบก!AI90"")"),0)</f>
        <v>0</v>
      </c>
      <c r="N70" s="175">
        <f ca="1">IFERROR(__xludf.DUMMYFUNCTION("IMPORTRANGE(""https://docs.google.com/spreadsheets/d/1Yj_ptqi66GCucihVvJfMjLAmec39IyEx_6qawtMGysU/edit?usp=sharing"",""สบก!AJ90"")"),0)</f>
        <v>0</v>
      </c>
      <c r="O70" s="176">
        <f ca="1">IF(L70&gt;0,N70*100/L70,0)</f>
        <v>0</v>
      </c>
      <c r="P70" s="176">
        <f ca="1">IF(M70&gt;0,N70*100/M70,0)</f>
        <v>0</v>
      </c>
    </row>
    <row r="71" spans="1:16" ht="21.75" customHeight="1" x14ac:dyDescent="0.35">
      <c r="A71" s="162"/>
      <c r="B71" s="163"/>
      <c r="C71" s="163"/>
      <c r="D71" s="172"/>
      <c r="E71" s="165"/>
      <c r="F71" s="165"/>
      <c r="G71" s="177" t="s">
        <v>42</v>
      </c>
      <c r="H71" s="167" t="s">
        <v>12</v>
      </c>
      <c r="I71" s="168"/>
      <c r="J71" s="168"/>
      <c r="K71" s="169"/>
      <c r="L71" s="174">
        <f ca="1">IFERROR(__xludf.DUMMYFUNCTION("IMPORTRANGE(""https://docs.google.com/spreadsheets/d/1Yj_ptqi66GCucihVvJfMjLAmec39IyEx_6qawtMGysU/edit?usp=sharing"",""สบก!AE90"")"),0)</f>
        <v>0</v>
      </c>
      <c r="M71" s="173"/>
      <c r="N71" s="173"/>
      <c r="O71" s="176"/>
      <c r="P71" s="176"/>
    </row>
    <row r="72" spans="1:16" ht="21.75" customHeight="1" x14ac:dyDescent="0.35">
      <c r="A72" s="162"/>
      <c r="B72" s="163"/>
      <c r="C72" s="163"/>
      <c r="D72" s="172"/>
      <c r="E72" s="165"/>
      <c r="F72" s="165"/>
      <c r="G72" s="177" t="s">
        <v>43</v>
      </c>
      <c r="H72" s="167" t="s">
        <v>12</v>
      </c>
      <c r="I72" s="168"/>
      <c r="J72" s="168"/>
      <c r="K72" s="169"/>
      <c r="L72" s="174">
        <f ca="1">IFERROR(__xludf.DUMMYFUNCTION("IMPORTRANGE(""https://docs.google.com/spreadsheets/d/1Yj_ptqi66GCucihVvJfMjLAmec39IyEx_6qawtMGysU/edit?usp=sharing"",""สบก!AF90"")"),0)</f>
        <v>0</v>
      </c>
      <c r="M72" s="173"/>
      <c r="N72" s="173"/>
      <c r="O72" s="176"/>
      <c r="P72" s="176"/>
    </row>
    <row r="73" spans="1:16" ht="21.75" customHeight="1" x14ac:dyDescent="0.45">
      <c r="A73" s="178"/>
      <c r="B73" s="81"/>
      <c r="C73" s="82" t="s">
        <v>16</v>
      </c>
      <c r="D73" s="549" t="s">
        <v>23</v>
      </c>
      <c r="E73" s="545"/>
      <c r="F73" s="89"/>
      <c r="G73" s="83" t="s">
        <v>18</v>
      </c>
      <c r="H73" s="179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80"/>
      <c r="B74" s="95"/>
      <c r="C74" s="95"/>
      <c r="D74" s="181"/>
      <c r="E74" s="96"/>
      <c r="F74" s="96"/>
      <c r="G74" s="97" t="s">
        <v>19</v>
      </c>
      <c r="H74" s="182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IFERROR(__xludf.DUMMYFUNCTION("IMPORTRANGE(""https://docs.google.com/spreadsheets/d/1Yj_ptqi66GCucihVvJfMjLAmec39IyEx_6qawtMGysU/edit?usp=sharing"",""สบก!AG90"")"),0)</f>
        <v>0</v>
      </c>
      <c r="M74" s="101"/>
      <c r="N74" s="91">
        <f ca="1">IFERROR(__xludf.DUMMYFUNCTION("IMPORTRANGE(""https://docs.google.com/spreadsheets/d/1Yj_ptqi66GCucihVvJfMjLAmec39IyEx_6qawtMGysU/edit?usp=sharing"",""สบก!AK90"")"),0)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3"/>
      <c r="B75" s="184"/>
      <c r="C75" s="163" t="s">
        <v>16</v>
      </c>
      <c r="D75" s="185" t="s">
        <v>44</v>
      </c>
      <c r="E75" s="186"/>
      <c r="F75" s="186"/>
      <c r="G75" s="187"/>
      <c r="H75" s="188"/>
      <c r="I75" s="168"/>
      <c r="J75" s="168"/>
      <c r="K75" s="169"/>
      <c r="L75" s="189"/>
      <c r="M75" s="189"/>
      <c r="N75" s="189"/>
      <c r="O75" s="189"/>
      <c r="P75" s="189"/>
    </row>
    <row r="76" spans="1:16" ht="21.75" customHeight="1" x14ac:dyDescent="0.35">
      <c r="A76" s="183"/>
      <c r="B76" s="184"/>
      <c r="C76" s="184"/>
      <c r="D76" s="190">
        <v>1</v>
      </c>
      <c r="E76" s="191" t="s">
        <v>45</v>
      </c>
      <c r="F76" s="192"/>
      <c r="G76" s="193"/>
      <c r="H76" s="194"/>
      <c r="I76" s="195"/>
      <c r="J76" s="196">
        <f ca="1">IFERROR(__xludf.DUMMYFUNCTION("IMPORTRANGE(""https://docs.google.com/spreadsheets/d/1IYY_tgx_IHuhSq3AJ5eI5OnqOPBNLWSHKh2a30DoXe8/edit?usp=sharing"",""ยะลา!J16"")"),0)</f>
        <v>0</v>
      </c>
      <c r="K76" s="169"/>
      <c r="L76" s="189"/>
      <c r="M76" s="189"/>
      <c r="N76" s="189"/>
      <c r="O76" s="189"/>
      <c r="P76" s="189"/>
    </row>
    <row r="77" spans="1:16" ht="21.75" customHeight="1" x14ac:dyDescent="0.35">
      <c r="A77" s="183"/>
      <c r="B77" s="184"/>
      <c r="C77" s="184"/>
      <c r="D77" s="197">
        <v>2</v>
      </c>
      <c r="E77" s="198" t="s">
        <v>46</v>
      </c>
      <c r="F77" s="199"/>
      <c r="G77" s="200"/>
      <c r="H77" s="194"/>
      <c r="I77" s="195"/>
      <c r="J77" s="196">
        <f ca="1">IFERROR(__xludf.DUMMYFUNCTION("IMPORTRANGE(""https://docs.google.com/spreadsheets/d/1IYY_tgx_IHuhSq3AJ5eI5OnqOPBNLWSHKh2a30DoXe8/edit?usp=sharing"",""ยะลา!J17"")"),0)</f>
        <v>0</v>
      </c>
      <c r="K77" s="169"/>
      <c r="L77" s="189" t="s">
        <v>40</v>
      </c>
      <c r="M77" s="189"/>
      <c r="N77" s="189" t="s">
        <v>40</v>
      </c>
      <c r="O77" s="189"/>
      <c r="P77" s="189"/>
    </row>
    <row r="78" spans="1:16" ht="21.75" customHeight="1" x14ac:dyDescent="0.35">
      <c r="A78" s="183"/>
      <c r="B78" s="184"/>
      <c r="C78" s="184"/>
      <c r="D78" s="201"/>
      <c r="E78" s="202" t="s">
        <v>47</v>
      </c>
      <c r="F78" s="203"/>
      <c r="G78" s="204"/>
      <c r="H78" s="194"/>
      <c r="I78" s="195"/>
      <c r="J78" s="196">
        <f ca="1">IFERROR(__xludf.DUMMYFUNCTION("IMPORTRANGE(""https://docs.google.com/spreadsheets/d/1IYY_tgx_IHuhSq3AJ5eI5OnqOPBNLWSHKh2a30DoXe8/edit?usp=sharing"",""ยะลา!J18"")"),0)</f>
        <v>0</v>
      </c>
      <c r="K78" s="169"/>
      <c r="L78" s="189"/>
      <c r="M78" s="189"/>
      <c r="N78" s="189"/>
      <c r="O78" s="189"/>
      <c r="P78" s="189"/>
    </row>
    <row r="79" spans="1:16" ht="21.75" customHeight="1" x14ac:dyDescent="0.35">
      <c r="A79" s="183"/>
      <c r="B79" s="184"/>
      <c r="C79" s="184"/>
      <c r="D79" s="201"/>
      <c r="E79" s="202" t="s">
        <v>48</v>
      </c>
      <c r="F79" s="203"/>
      <c r="G79" s="204"/>
      <c r="H79" s="194"/>
      <c r="I79" s="195"/>
      <c r="J79" s="205">
        <f ca="1">IFERROR(__xludf.DUMMYFUNCTION("IMPORTRANGE(""https://docs.google.com/spreadsheets/d/1IYY_tgx_IHuhSq3AJ5eI5OnqOPBNLWSHKh2a30DoXe8/edit?usp=sharing"",""ยะลา!J19"")"),0)</f>
        <v>0</v>
      </c>
      <c r="K79" s="169"/>
      <c r="L79" s="189"/>
      <c r="M79" s="189"/>
      <c r="N79" s="189"/>
      <c r="O79" s="189"/>
      <c r="P79" s="189"/>
    </row>
    <row r="80" spans="1:16" ht="21.75" customHeight="1" x14ac:dyDescent="0.35">
      <c r="A80" s="183"/>
      <c r="B80" s="184"/>
      <c r="C80" s="184"/>
      <c r="D80" s="201"/>
      <c r="E80" s="206"/>
      <c r="F80" s="202" t="s">
        <v>49</v>
      </c>
      <c r="G80" s="203"/>
      <c r="H80" s="207" t="s">
        <v>36</v>
      </c>
      <c r="I80" s="208">
        <f ca="1">IFERROR(__xludf.DUMMYFUNCTION("IMPORTRANGE(""https://docs.google.com/spreadsheets/d/1IYY_tgx_IHuhSq3AJ5eI5OnqOPBNLWSHKh2a30DoXe8/edit?usp=sharing"",""ยะลา!I20"")"),0)</f>
        <v>0</v>
      </c>
      <c r="J80" s="208">
        <f ca="1">IFERROR(__xludf.DUMMYFUNCTION("IMPORTRANGE(""https://docs.google.com/spreadsheets/d/1IYY_tgx_IHuhSq3AJ5eI5OnqOPBNLWSHKh2a30DoXe8/edit?usp=sharing"",""ยะลา!J20"")"),0)</f>
        <v>0</v>
      </c>
      <c r="K80" s="209">
        <f t="shared" ref="K80:K88" ca="1" si="50">IF(I80&gt;0,J80*100/I80,0)</f>
        <v>0</v>
      </c>
      <c r="L80" s="189"/>
      <c r="M80" s="189"/>
      <c r="N80" s="189"/>
      <c r="O80" s="189"/>
      <c r="P80" s="189"/>
    </row>
    <row r="81" spans="1:16" ht="21.75" customHeight="1" x14ac:dyDescent="0.35">
      <c r="A81" s="183"/>
      <c r="B81" s="184"/>
      <c r="C81" s="184"/>
      <c r="D81" s="201"/>
      <c r="E81" s="206"/>
      <c r="F81" s="203"/>
      <c r="G81" s="204"/>
      <c r="H81" s="207" t="s">
        <v>37</v>
      </c>
      <c r="I81" s="208">
        <f ca="1">IFERROR(__xludf.DUMMYFUNCTION("IMPORTRANGE(""https://docs.google.com/spreadsheets/d/1IYY_tgx_IHuhSq3AJ5eI5OnqOPBNLWSHKh2a30DoXe8/edit?usp=sharing"",""ยะลา!I21"")"),0)</f>
        <v>0</v>
      </c>
      <c r="J81" s="208">
        <f ca="1">IFERROR(__xludf.DUMMYFUNCTION("IMPORTRANGE(""https://docs.google.com/spreadsheets/d/1IYY_tgx_IHuhSq3AJ5eI5OnqOPBNLWSHKh2a30DoXe8/edit?usp=sharing"",""ยะลา!J21"")"),0)</f>
        <v>0</v>
      </c>
      <c r="K81" s="209">
        <f t="shared" ca="1" si="50"/>
        <v>0</v>
      </c>
      <c r="L81" s="189"/>
      <c r="M81" s="189"/>
      <c r="N81" s="189"/>
      <c r="O81" s="189"/>
      <c r="P81" s="189"/>
    </row>
    <row r="82" spans="1:16" ht="21.75" customHeight="1" x14ac:dyDescent="0.35">
      <c r="A82" s="183"/>
      <c r="B82" s="184"/>
      <c r="C82" s="184"/>
      <c r="D82" s="201"/>
      <c r="E82" s="206"/>
      <c r="F82" s="203"/>
      <c r="G82" s="203" t="s">
        <v>50</v>
      </c>
      <c r="H82" s="188" t="s">
        <v>36</v>
      </c>
      <c r="I82" s="210">
        <f ca="1">IFERROR(__xludf.DUMMYFUNCTION("IMPORTRANGE(""https://docs.google.com/spreadsheets/d/1IYY_tgx_IHuhSq3AJ5eI5OnqOPBNLWSHKh2a30DoXe8/edit?usp=sharing"",""ยะลา!I22"")"),0)</f>
        <v>0</v>
      </c>
      <c r="J82" s="211">
        <f ca="1">IFERROR(__xludf.DUMMYFUNCTION("IMPORTRANGE(""https://docs.google.com/spreadsheets/d/1IYY_tgx_IHuhSq3AJ5eI5OnqOPBNLWSHKh2a30DoXe8/edit?usp=sharing"",""ยะลา!J22"")"),0)</f>
        <v>0</v>
      </c>
      <c r="K82" s="169">
        <f t="shared" ca="1" si="50"/>
        <v>0</v>
      </c>
      <c r="L82" s="189"/>
      <c r="M82" s="189"/>
      <c r="N82" s="189"/>
      <c r="O82" s="189"/>
      <c r="P82" s="189"/>
    </row>
    <row r="83" spans="1:16" ht="21.75" customHeight="1" x14ac:dyDescent="0.35">
      <c r="A83" s="183"/>
      <c r="B83" s="184"/>
      <c r="C83" s="184"/>
      <c r="D83" s="201"/>
      <c r="E83" s="206"/>
      <c r="F83" s="203"/>
      <c r="G83" s="204"/>
      <c r="H83" s="188" t="s">
        <v>37</v>
      </c>
      <c r="I83" s="210">
        <f ca="1">IFERROR(__xludf.DUMMYFUNCTION("IMPORTRANGE(""https://docs.google.com/spreadsheets/d/1IYY_tgx_IHuhSq3AJ5eI5OnqOPBNLWSHKh2a30DoXe8/edit?usp=sharing"",""ยะลา!I23"")"),0)</f>
        <v>0</v>
      </c>
      <c r="J83" s="211">
        <f ca="1">IFERROR(__xludf.DUMMYFUNCTION("IMPORTRANGE(""https://docs.google.com/spreadsheets/d/1IYY_tgx_IHuhSq3AJ5eI5OnqOPBNLWSHKh2a30DoXe8/edit?usp=sharing"",""ยะลา!J23"")"),0)</f>
        <v>0</v>
      </c>
      <c r="K83" s="169">
        <f t="shared" ca="1" si="50"/>
        <v>0</v>
      </c>
      <c r="L83" s="189"/>
      <c r="M83" s="189"/>
      <c r="N83" s="189"/>
      <c r="O83" s="189"/>
      <c r="P83" s="189"/>
    </row>
    <row r="84" spans="1:16" ht="21.75" customHeight="1" x14ac:dyDescent="0.35">
      <c r="A84" s="183"/>
      <c r="B84" s="184"/>
      <c r="C84" s="184"/>
      <c r="D84" s="201"/>
      <c r="E84" s="206"/>
      <c r="F84" s="203"/>
      <c r="G84" s="203" t="s">
        <v>51</v>
      </c>
      <c r="H84" s="188" t="s">
        <v>36</v>
      </c>
      <c r="I84" s="210">
        <f ca="1">IFERROR(__xludf.DUMMYFUNCTION("IMPORTRANGE(""https://docs.google.com/spreadsheets/d/1IYY_tgx_IHuhSq3AJ5eI5OnqOPBNLWSHKh2a30DoXe8/edit?usp=sharing"",""ยะลา!I24"")"),0)</f>
        <v>0</v>
      </c>
      <c r="J84" s="196">
        <f ca="1">IFERROR(__xludf.DUMMYFUNCTION("IMPORTRANGE(""https://docs.google.com/spreadsheets/d/1IYY_tgx_IHuhSq3AJ5eI5OnqOPBNLWSHKh2a30DoXe8/edit?usp=sharing"",""ยะลา!J24"")"),0)</f>
        <v>0</v>
      </c>
      <c r="K84" s="169">
        <f t="shared" ca="1" si="50"/>
        <v>0</v>
      </c>
      <c r="L84" s="189"/>
      <c r="M84" s="189"/>
      <c r="N84" s="189"/>
      <c r="O84" s="189"/>
      <c r="P84" s="189"/>
    </row>
    <row r="85" spans="1:16" ht="21.75" customHeight="1" x14ac:dyDescent="0.35">
      <c r="A85" s="183"/>
      <c r="B85" s="184"/>
      <c r="C85" s="184"/>
      <c r="D85" s="201"/>
      <c r="E85" s="206"/>
      <c r="F85" s="203"/>
      <c r="G85" s="204"/>
      <c r="H85" s="188" t="s">
        <v>37</v>
      </c>
      <c r="I85" s="210">
        <f ca="1">IFERROR(__xludf.DUMMYFUNCTION("IMPORTRANGE(""https://docs.google.com/spreadsheets/d/1IYY_tgx_IHuhSq3AJ5eI5OnqOPBNLWSHKh2a30DoXe8/edit?usp=sharing"",""ยะลา!I25"")"),0)</f>
        <v>0</v>
      </c>
      <c r="J85" s="196">
        <f ca="1">IFERROR(__xludf.DUMMYFUNCTION("IMPORTRANGE(""https://docs.google.com/spreadsheets/d/1IYY_tgx_IHuhSq3AJ5eI5OnqOPBNLWSHKh2a30DoXe8/edit?usp=sharing"",""ยะลา!J25"")"),0)</f>
        <v>0</v>
      </c>
      <c r="K85" s="169">
        <f t="shared" ca="1" si="50"/>
        <v>0</v>
      </c>
      <c r="L85" s="189"/>
      <c r="M85" s="189"/>
      <c r="N85" s="189"/>
      <c r="O85" s="189"/>
      <c r="P85" s="189"/>
    </row>
    <row r="86" spans="1:16" ht="21.75" customHeight="1" x14ac:dyDescent="0.35">
      <c r="A86" s="183"/>
      <c r="B86" s="184"/>
      <c r="C86" s="184"/>
      <c r="D86" s="201"/>
      <c r="E86" s="206"/>
      <c r="F86" s="203"/>
      <c r="G86" s="203" t="s">
        <v>52</v>
      </c>
      <c r="H86" s="188" t="s">
        <v>36</v>
      </c>
      <c r="I86" s="210">
        <f ca="1">IFERROR(__xludf.DUMMYFUNCTION("IMPORTRANGE(""https://docs.google.com/spreadsheets/d/1IYY_tgx_IHuhSq3AJ5eI5OnqOPBNLWSHKh2a30DoXe8/edit?usp=sharing"",""ยะลา!I26"")"),0)</f>
        <v>0</v>
      </c>
      <c r="J86" s="211">
        <f ca="1">IFERROR(__xludf.DUMMYFUNCTION("IMPORTRANGE(""https://docs.google.com/spreadsheets/d/1IYY_tgx_IHuhSq3AJ5eI5OnqOPBNLWSHKh2a30DoXe8/edit?usp=sharing"",""ยะลา!J26"")"),0)</f>
        <v>0</v>
      </c>
      <c r="K86" s="169">
        <f t="shared" ca="1" si="50"/>
        <v>0</v>
      </c>
      <c r="L86" s="189"/>
      <c r="M86" s="189"/>
      <c r="N86" s="189"/>
      <c r="O86" s="189"/>
      <c r="P86" s="189"/>
    </row>
    <row r="87" spans="1:16" ht="21.75" customHeight="1" x14ac:dyDescent="0.35">
      <c r="A87" s="183"/>
      <c r="B87" s="184"/>
      <c r="C87" s="184"/>
      <c r="D87" s="201"/>
      <c r="E87" s="206"/>
      <c r="F87" s="203"/>
      <c r="G87" s="204"/>
      <c r="H87" s="188" t="s">
        <v>37</v>
      </c>
      <c r="I87" s="210">
        <f ca="1">IFERROR(__xludf.DUMMYFUNCTION("IMPORTRANGE(""https://docs.google.com/spreadsheets/d/1IYY_tgx_IHuhSq3AJ5eI5OnqOPBNLWSHKh2a30DoXe8/edit?usp=sharing"",""ยะลา!I27"")"),0)</f>
        <v>0</v>
      </c>
      <c r="J87" s="211">
        <f ca="1">IFERROR(__xludf.DUMMYFUNCTION("IMPORTRANGE(""https://docs.google.com/spreadsheets/d/1IYY_tgx_IHuhSq3AJ5eI5OnqOPBNLWSHKh2a30DoXe8/edit?usp=sharing"",""ยะลา!J27"")"),0)</f>
        <v>0</v>
      </c>
      <c r="K87" s="169">
        <f t="shared" ca="1" si="50"/>
        <v>0</v>
      </c>
      <c r="L87" s="189"/>
      <c r="M87" s="189"/>
      <c r="N87" s="189"/>
      <c r="O87" s="189"/>
      <c r="P87" s="189"/>
    </row>
    <row r="88" spans="1:16" ht="21.75" customHeight="1" x14ac:dyDescent="0.35">
      <c r="A88" s="183"/>
      <c r="B88" s="184"/>
      <c r="C88" s="184"/>
      <c r="D88" s="201"/>
      <c r="E88" s="206"/>
      <c r="F88" s="212" t="s">
        <v>53</v>
      </c>
      <c r="G88" s="203"/>
      <c r="H88" s="188" t="s">
        <v>37</v>
      </c>
      <c r="I88" s="210">
        <f ca="1">IFERROR(__xludf.DUMMYFUNCTION("IMPORTRANGE(""https://docs.google.com/spreadsheets/d/1IYY_tgx_IHuhSq3AJ5eI5OnqOPBNLWSHKh2a30DoXe8/edit?usp=sharing"",""ยะลา!I28"")"),0)</f>
        <v>0</v>
      </c>
      <c r="J88" s="211">
        <f ca="1">IFERROR(__xludf.DUMMYFUNCTION("IMPORTRANGE(""https://docs.google.com/spreadsheets/d/1IYY_tgx_IHuhSq3AJ5eI5OnqOPBNLWSHKh2a30DoXe8/edit?usp=sharing"",""ยะลา!J28"")"),0)</f>
        <v>0</v>
      </c>
      <c r="K88" s="169">
        <f t="shared" ca="1" si="50"/>
        <v>0</v>
      </c>
      <c r="L88" s="189"/>
      <c r="M88" s="189"/>
      <c r="N88" s="189"/>
      <c r="O88" s="189"/>
      <c r="P88" s="189"/>
    </row>
    <row r="89" spans="1:16" ht="21.75" customHeight="1" x14ac:dyDescent="0.35">
      <c r="A89" s="183"/>
      <c r="B89" s="184"/>
      <c r="C89" s="184"/>
      <c r="D89" s="201"/>
      <c r="E89" s="202" t="s">
        <v>54</v>
      </c>
      <c r="F89" s="203"/>
      <c r="G89" s="204"/>
      <c r="H89" s="194"/>
      <c r="I89" s="195"/>
      <c r="J89" s="205">
        <f ca="1">IFERROR(__xludf.DUMMYFUNCTION("IMPORTRANGE(""https://docs.google.com/spreadsheets/d/1IYY_tgx_IHuhSq3AJ5eI5OnqOPBNLWSHKh2a30DoXe8/edit?usp=sharing"",""ยะลา!J29"")"),0)</f>
        <v>0</v>
      </c>
      <c r="K89" s="169"/>
      <c r="L89" s="189"/>
      <c r="M89" s="189"/>
      <c r="N89" s="189"/>
      <c r="O89" s="189"/>
      <c r="P89" s="189"/>
    </row>
    <row r="90" spans="1:16" ht="21.75" customHeight="1" x14ac:dyDescent="0.35">
      <c r="A90" s="183"/>
      <c r="B90" s="184"/>
      <c r="C90" s="184"/>
      <c r="D90" s="213">
        <v>3</v>
      </c>
      <c r="E90" s="214" t="s">
        <v>55</v>
      </c>
      <c r="F90" s="215"/>
      <c r="G90" s="216"/>
      <c r="H90" s="194"/>
      <c r="I90" s="195"/>
      <c r="J90" s="217">
        <f ca="1">IFERROR(__xludf.DUMMYFUNCTION("IMPORTRANGE(""https://docs.google.com/spreadsheets/d/1IYY_tgx_IHuhSq3AJ5eI5OnqOPBNLWSHKh2a30DoXe8/edit?usp=sharing"",""ยะลา!J30"")"),0)</f>
        <v>0</v>
      </c>
      <c r="K90" s="169"/>
      <c r="L90" s="189"/>
      <c r="M90" s="189"/>
      <c r="N90" s="189"/>
      <c r="O90" s="189"/>
      <c r="P90" s="189"/>
    </row>
    <row r="91" spans="1:16" ht="21.75" customHeight="1" x14ac:dyDescent="0.35">
      <c r="A91" s="218" t="s">
        <v>56</v>
      </c>
      <c r="B91" s="219"/>
      <c r="C91" s="220"/>
      <c r="D91" s="219"/>
      <c r="E91" s="221"/>
      <c r="F91" s="221"/>
      <c r="G91" s="222"/>
      <c r="H91" s="223"/>
      <c r="I91" s="224"/>
      <c r="J91" s="224"/>
      <c r="K91" s="225"/>
      <c r="L91" s="226"/>
      <c r="M91" s="226"/>
      <c r="N91" s="226"/>
      <c r="O91" s="227"/>
      <c r="P91" s="227"/>
    </row>
    <row r="92" spans="1:16" ht="21.75" customHeight="1" x14ac:dyDescent="0.35">
      <c r="A92" s="142"/>
      <c r="B92" s="143" t="s">
        <v>57</v>
      </c>
      <c r="C92" s="143"/>
      <c r="D92" s="144"/>
      <c r="E92" s="143"/>
      <c r="F92" s="143"/>
      <c r="G92" s="228"/>
      <c r="H92" s="145" t="s">
        <v>37</v>
      </c>
      <c r="I92" s="146">
        <f ca="1">IFERROR(__xludf.DUMMYFUNCTION("IMPORTRANGE(""https://docs.google.com/spreadsheets/d/1IYY_tgx_IHuhSq3AJ5eI5OnqOPBNLWSHKh2a30DoXe8/edit?usp=sharing"",""ยะลา!I32"")"),0)</f>
        <v>0</v>
      </c>
      <c r="J92" s="146">
        <f ca="1">IFERROR(__xludf.DUMMYFUNCTION("IMPORTRANGE(""https://docs.google.com/spreadsheets/d/1IYY_tgx_IHuhSq3AJ5eI5OnqOPBNLWSHKh2a30DoXe8/edit?usp=sharing"",""ยะลา!J32"")"),0)</f>
        <v>0</v>
      </c>
      <c r="K92" s="147">
        <f t="shared" ref="K92:K93" ca="1" si="51">IF(I92&gt;0,J92*100/I92,0)</f>
        <v>0</v>
      </c>
      <c r="L92" s="229"/>
      <c r="M92" s="229"/>
      <c r="N92" s="230"/>
      <c r="O92" s="147"/>
      <c r="P92" s="147"/>
    </row>
    <row r="93" spans="1:16" ht="21.75" customHeight="1" x14ac:dyDescent="0.35">
      <c r="A93" s="142"/>
      <c r="B93" s="143"/>
      <c r="C93" s="143"/>
      <c r="D93" s="144" t="s">
        <v>58</v>
      </c>
      <c r="E93" s="143"/>
      <c r="F93" s="143"/>
      <c r="G93" s="228"/>
      <c r="H93" s="145" t="s">
        <v>59</v>
      </c>
      <c r="I93" s="146">
        <f ca="1">IFERROR(__xludf.DUMMYFUNCTION("IMPORTRANGE(""https://docs.google.com/spreadsheets/d/1IYY_tgx_IHuhSq3AJ5eI5OnqOPBNLWSHKh2a30DoXe8/edit?usp=sharing"",""ยะลา!I33"")"),0)</f>
        <v>0</v>
      </c>
      <c r="J93" s="146">
        <f ca="1">IFERROR(__xludf.DUMMYFUNCTION("IMPORTRANGE(""https://docs.google.com/spreadsheets/d/1IYY_tgx_IHuhSq3AJ5eI5OnqOPBNLWSHKh2a30DoXe8/edit?usp=sharing"",""ยะลา!J33"")"),0)</f>
        <v>0</v>
      </c>
      <c r="K93" s="147">
        <f t="shared" ca="1" si="51"/>
        <v>0</v>
      </c>
      <c r="L93" s="230"/>
      <c r="M93" s="230"/>
      <c r="N93" s="230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52" t="s">
        <v>17</v>
      </c>
      <c r="E94" s="543"/>
      <c r="F94" s="543"/>
      <c r="G94" s="543"/>
      <c r="H94" s="153" t="s">
        <v>12</v>
      </c>
      <c r="I94" s="168"/>
      <c r="J94" s="168"/>
      <c r="K94" s="169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8"/>
      <c r="J95" s="168"/>
      <c r="K95" s="169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8"/>
      <c r="J96" s="168"/>
      <c r="K96" s="169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5">
      <c r="A97" s="162"/>
      <c r="B97" s="163"/>
      <c r="C97" s="163" t="s">
        <v>16</v>
      </c>
      <c r="D97" s="164" t="s">
        <v>38</v>
      </c>
      <c r="E97" s="165"/>
      <c r="F97" s="165"/>
      <c r="G97" s="166" t="s">
        <v>39</v>
      </c>
      <c r="H97" s="167" t="s">
        <v>12</v>
      </c>
      <c r="I97" s="168" t="s">
        <v>40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 x14ac:dyDescent="0.35">
      <c r="A98" s="162"/>
      <c r="B98" s="163"/>
      <c r="C98" s="163"/>
      <c r="D98" s="172"/>
      <c r="E98" s="165"/>
      <c r="F98" s="165" t="s">
        <v>40</v>
      </c>
      <c r="G98" s="166" t="s">
        <v>41</v>
      </c>
      <c r="H98" s="167" t="s">
        <v>12</v>
      </c>
      <c r="I98" s="168"/>
      <c r="J98" s="168"/>
      <c r="K98" s="169"/>
      <c r="L98" s="173">
        <f ca="1">L99+L100</f>
        <v>0</v>
      </c>
      <c r="M98" s="174">
        <f ca="1">IFERROR(__xludf.DUMMYFUNCTION("IMPORTRANGE(""https://docs.google.com/spreadsheets/d/1Yj_ptqi66GCucihVvJfMjLAmec39IyEx_6qawtMGysU/edit?usp=sharing"",""สบก!AR90"")"),0)</f>
        <v>0</v>
      </c>
      <c r="N98" s="175">
        <f ca="1">IFERROR(__xludf.DUMMYFUNCTION("IMPORTRANGE(""https://docs.google.com/spreadsheets/d/1Yj_ptqi66GCucihVvJfMjLAmec39IyEx_6qawtMGysU/edit?usp=sharing"",""สบก!AS90"")"),0)</f>
        <v>0</v>
      </c>
      <c r="O98" s="176">
        <f ca="1">IF(L98&gt;0,N98*100/L98,0)</f>
        <v>0</v>
      </c>
      <c r="P98" s="176">
        <f ca="1">IF(M98&gt;0,N98*100/M98,0)</f>
        <v>0</v>
      </c>
    </row>
    <row r="99" spans="1:16" ht="21.75" customHeight="1" x14ac:dyDescent="0.35">
      <c r="A99" s="162"/>
      <c r="B99" s="163"/>
      <c r="C99" s="163"/>
      <c r="D99" s="172"/>
      <c r="E99" s="165"/>
      <c r="F99" s="165"/>
      <c r="G99" s="177" t="s">
        <v>42</v>
      </c>
      <c r="H99" s="167" t="s">
        <v>12</v>
      </c>
      <c r="I99" s="168"/>
      <c r="J99" s="168"/>
      <c r="K99" s="169"/>
      <c r="L99" s="174">
        <f ca="1">IFERROR(__xludf.DUMMYFUNCTION("IMPORTRANGE(""https://docs.google.com/spreadsheets/d/1Yj_ptqi66GCucihVvJfMjLAmec39IyEx_6qawtMGysU/edit?usp=sharing"",""สบก!AN90"")"),0)</f>
        <v>0</v>
      </c>
      <c r="M99" s="173"/>
      <c r="N99" s="173"/>
      <c r="O99" s="176"/>
      <c r="P99" s="176"/>
    </row>
    <row r="100" spans="1:16" ht="21.75" customHeight="1" x14ac:dyDescent="0.35">
      <c r="A100" s="162"/>
      <c r="B100" s="163"/>
      <c r="C100" s="163"/>
      <c r="D100" s="172"/>
      <c r="E100" s="165"/>
      <c r="F100" s="165"/>
      <c r="G100" s="177" t="s">
        <v>43</v>
      </c>
      <c r="H100" s="167" t="s">
        <v>12</v>
      </c>
      <c r="I100" s="168"/>
      <c r="J100" s="195"/>
      <c r="K100" s="231"/>
      <c r="L100" s="174">
        <f ca="1">IFERROR(__xludf.DUMMYFUNCTION("IMPORTRANGE(""https://docs.google.com/spreadsheets/d/1Yj_ptqi66GCucihVvJfMjLAmec39IyEx_6qawtMGysU/edit?usp=sharing"",""สบก!AO90"")"),0)</f>
        <v>0</v>
      </c>
      <c r="M100" s="173"/>
      <c r="N100" s="173"/>
      <c r="O100" s="176"/>
      <c r="P100" s="176"/>
    </row>
    <row r="101" spans="1:16" ht="21.75" customHeight="1" x14ac:dyDescent="0.45">
      <c r="A101" s="178"/>
      <c r="B101" s="81"/>
      <c r="C101" s="82" t="s">
        <v>16</v>
      </c>
      <c r="D101" s="549" t="s">
        <v>23</v>
      </c>
      <c r="E101" s="545"/>
      <c r="F101" s="89"/>
      <c r="G101" s="83" t="s">
        <v>18</v>
      </c>
      <c r="H101" s="179" t="s">
        <v>12</v>
      </c>
      <c r="I101" s="195"/>
      <c r="J101" s="195"/>
      <c r="K101" s="231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80"/>
      <c r="B102" s="95"/>
      <c r="C102" s="95"/>
      <c r="D102" s="181"/>
      <c r="E102" s="96"/>
      <c r="F102" s="96"/>
      <c r="G102" s="97" t="s">
        <v>19</v>
      </c>
      <c r="H102" s="182" t="s">
        <v>12</v>
      </c>
      <c r="I102" s="195"/>
      <c r="J102" s="195"/>
      <c r="K102" s="231"/>
      <c r="L102" s="91">
        <f ca="1">IFERROR(__xludf.DUMMYFUNCTION("IMPORTRANGE(""https://docs.google.com/spreadsheets/d/1Yj_ptqi66GCucihVvJfMjLAmec39IyEx_6qawtMGysU/edit?usp=sharing"",""สบก!AP90"")"),0)</f>
        <v>0</v>
      </c>
      <c r="M102" s="101"/>
      <c r="N102" s="91">
        <f ca="1">IFERROR(__xludf.DUMMYFUNCTION("IMPORTRANGE(""https://docs.google.com/spreadsheets/d/1Yj_ptqi66GCucihVvJfMjLAmec39IyEx_6qawtMGysU/edit?usp=sharing"",""สบก!AT90"")"),0)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3"/>
      <c r="B103" s="184"/>
      <c r="C103" s="163" t="s">
        <v>16</v>
      </c>
      <c r="D103" s="185" t="s">
        <v>44</v>
      </c>
      <c r="E103" s="186"/>
      <c r="F103" s="186"/>
      <c r="G103" s="187"/>
      <c r="H103" s="188"/>
      <c r="I103" s="168"/>
      <c r="J103" s="195"/>
      <c r="K103" s="231"/>
      <c r="L103" s="176"/>
      <c r="M103" s="176"/>
      <c r="N103" s="176"/>
      <c r="O103" s="189"/>
      <c r="P103" s="189"/>
    </row>
    <row r="104" spans="1:16" ht="21.75" customHeight="1" x14ac:dyDescent="0.35">
      <c r="A104" s="183"/>
      <c r="B104" s="184"/>
      <c r="C104" s="184"/>
      <c r="D104" s="190">
        <v>1</v>
      </c>
      <c r="E104" s="191" t="s">
        <v>45</v>
      </c>
      <c r="F104" s="192"/>
      <c r="G104" s="193"/>
      <c r="H104" s="194"/>
      <c r="I104" s="195"/>
      <c r="J104" s="195">
        <f ca="1">IFERROR(__xludf.DUMMYFUNCTION("IMPORTRANGE(""https://docs.google.com/spreadsheets/d/1IYY_tgx_IHuhSq3AJ5eI5OnqOPBNLWSHKh2a30DoXe8/edit?usp=sharing"",""ยะลา!J39"")"),0)</f>
        <v>0</v>
      </c>
      <c r="K104" s="231"/>
      <c r="L104" s="176"/>
      <c r="M104" s="176"/>
      <c r="N104" s="176"/>
      <c r="O104" s="189"/>
      <c r="P104" s="189"/>
    </row>
    <row r="105" spans="1:16" ht="21.75" customHeight="1" x14ac:dyDescent="0.35">
      <c r="A105" s="183"/>
      <c r="B105" s="184"/>
      <c r="C105" s="184"/>
      <c r="D105" s="197">
        <v>2</v>
      </c>
      <c r="E105" s="198" t="s">
        <v>46</v>
      </c>
      <c r="F105" s="199"/>
      <c r="G105" s="200"/>
      <c r="H105" s="194"/>
      <c r="I105" s="195"/>
      <c r="J105" s="195">
        <f ca="1">IFERROR(__xludf.DUMMYFUNCTION("IMPORTRANGE(""https://docs.google.com/spreadsheets/d/1IYY_tgx_IHuhSq3AJ5eI5OnqOPBNLWSHKh2a30DoXe8/edit?usp=sharing"",""ยะลา!J40"")"),0)</f>
        <v>0</v>
      </c>
      <c r="K105" s="231"/>
      <c r="L105" s="176" t="s">
        <v>40</v>
      </c>
      <c r="M105" s="176"/>
      <c r="N105" s="176" t="s">
        <v>40</v>
      </c>
      <c r="O105" s="189"/>
      <c r="P105" s="189"/>
    </row>
    <row r="106" spans="1:16" ht="21.75" customHeight="1" x14ac:dyDescent="0.35">
      <c r="A106" s="183"/>
      <c r="B106" s="184"/>
      <c r="C106" s="184"/>
      <c r="D106" s="201"/>
      <c r="E106" s="202" t="s">
        <v>47</v>
      </c>
      <c r="F106" s="203"/>
      <c r="G106" s="204"/>
      <c r="H106" s="194"/>
      <c r="I106" s="195"/>
      <c r="J106" s="195">
        <f ca="1">IFERROR(__xludf.DUMMYFUNCTION("IMPORTRANGE(""https://docs.google.com/spreadsheets/d/1IYY_tgx_IHuhSq3AJ5eI5OnqOPBNLWSHKh2a30DoXe8/edit?usp=sharing"",""ยะลา!J41"")"),0)</f>
        <v>0</v>
      </c>
      <c r="K106" s="231"/>
      <c r="L106" s="176"/>
      <c r="M106" s="176"/>
      <c r="N106" s="176"/>
      <c r="O106" s="189"/>
      <c r="P106" s="189"/>
    </row>
    <row r="107" spans="1:16" ht="21.75" customHeight="1" x14ac:dyDescent="0.35">
      <c r="A107" s="183"/>
      <c r="B107" s="184"/>
      <c r="C107" s="184"/>
      <c r="D107" s="201"/>
      <c r="E107" s="202" t="s">
        <v>48</v>
      </c>
      <c r="F107" s="203"/>
      <c r="G107" s="204"/>
      <c r="H107" s="194"/>
      <c r="I107" s="195"/>
      <c r="J107" s="195">
        <f ca="1">IFERROR(__xludf.DUMMYFUNCTION("IMPORTRANGE(""https://docs.google.com/spreadsheets/d/1IYY_tgx_IHuhSq3AJ5eI5OnqOPBNLWSHKh2a30DoXe8/edit?usp=sharing"",""ยะลา!J42"")"),0)</f>
        <v>0</v>
      </c>
      <c r="K107" s="231"/>
      <c r="L107" s="176"/>
      <c r="M107" s="176"/>
      <c r="N107" s="176"/>
      <c r="O107" s="189"/>
      <c r="P107" s="189"/>
    </row>
    <row r="108" spans="1:16" ht="21.75" customHeight="1" x14ac:dyDescent="0.35">
      <c r="A108" s="183"/>
      <c r="B108" s="184"/>
      <c r="C108" s="184"/>
      <c r="D108" s="201"/>
      <c r="E108" s="203"/>
      <c r="F108" s="203" t="s">
        <v>60</v>
      </c>
      <c r="G108" s="203"/>
      <c r="H108" s="188" t="s">
        <v>61</v>
      </c>
      <c r="I108" s="210">
        <f ca="1">IFERROR(__xludf.DUMMYFUNCTION("IMPORTRANGE(""https://docs.google.com/spreadsheets/d/1IYY_tgx_IHuhSq3AJ5eI5OnqOPBNLWSHKh2a30DoXe8/edit?usp=sharing"",""ยะลา!I43"")"),0)</f>
        <v>0</v>
      </c>
      <c r="J108" s="211">
        <f ca="1">IFERROR(__xludf.DUMMYFUNCTION("IMPORTRANGE(""https://docs.google.com/spreadsheets/d/1IYY_tgx_IHuhSq3AJ5eI5OnqOPBNLWSHKh2a30DoXe8/edit?usp=sharing"",""ยะลา!J43"")"),0)</f>
        <v>0</v>
      </c>
      <c r="K108" s="231">
        <f t="shared" ref="K108:K113" ca="1" si="57">IF(I108&gt;0,J108*100/I108,0)</f>
        <v>0</v>
      </c>
      <c r="L108" s="176"/>
      <c r="M108" s="176"/>
      <c r="N108" s="176"/>
      <c r="O108" s="189"/>
      <c r="P108" s="189"/>
    </row>
    <row r="109" spans="1:16" ht="21.75" customHeight="1" x14ac:dyDescent="0.35">
      <c r="A109" s="183"/>
      <c r="B109" s="184"/>
      <c r="C109" s="184"/>
      <c r="D109" s="201"/>
      <c r="E109" s="206"/>
      <c r="F109" s="202" t="s">
        <v>62</v>
      </c>
      <c r="G109" s="203"/>
      <c r="H109" s="188" t="s">
        <v>37</v>
      </c>
      <c r="I109" s="210">
        <f ca="1">IFERROR(__xludf.DUMMYFUNCTION("IMPORTRANGE(""https://docs.google.com/spreadsheets/d/1IYY_tgx_IHuhSq3AJ5eI5OnqOPBNLWSHKh2a30DoXe8/edit?usp=sharing"",""ยะลา!I44"")"),0)</f>
        <v>0</v>
      </c>
      <c r="J109" s="211">
        <f ca="1">IFERROR(__xludf.DUMMYFUNCTION("IMPORTRANGE(""https://docs.google.com/spreadsheets/d/1IYY_tgx_IHuhSq3AJ5eI5OnqOPBNLWSHKh2a30DoXe8/edit?usp=sharing"",""ยะลา!J44"")"),0)</f>
        <v>0</v>
      </c>
      <c r="K109" s="231">
        <f t="shared" ca="1" si="57"/>
        <v>0</v>
      </c>
      <c r="L109" s="176"/>
      <c r="M109" s="176"/>
      <c r="N109" s="176"/>
      <c r="O109" s="189"/>
      <c r="P109" s="189"/>
    </row>
    <row r="110" spans="1:16" ht="21.75" customHeight="1" x14ac:dyDescent="0.35">
      <c r="A110" s="183"/>
      <c r="B110" s="184"/>
      <c r="C110" s="184"/>
      <c r="D110" s="201"/>
      <c r="E110" s="206"/>
      <c r="F110" s="203"/>
      <c r="G110" s="232" t="s">
        <v>63</v>
      </c>
      <c r="H110" s="188" t="s">
        <v>37</v>
      </c>
      <c r="I110" s="210">
        <f ca="1">IFERROR(__xludf.DUMMYFUNCTION("IMPORTRANGE(""https://docs.google.com/spreadsheets/d/1IYY_tgx_IHuhSq3AJ5eI5OnqOPBNLWSHKh2a30DoXe8/edit?usp=sharing"",""ยะลา!I45"")"),0)</f>
        <v>0</v>
      </c>
      <c r="J110" s="211">
        <f ca="1">IFERROR(__xludf.DUMMYFUNCTION("IMPORTRANGE(""https://docs.google.com/spreadsheets/d/1IYY_tgx_IHuhSq3AJ5eI5OnqOPBNLWSHKh2a30DoXe8/edit?usp=sharing"",""ยะลา!J45"")"),0)</f>
        <v>0</v>
      </c>
      <c r="K110" s="231">
        <f t="shared" ca="1" si="57"/>
        <v>0</v>
      </c>
      <c r="L110" s="176"/>
      <c r="M110" s="176"/>
      <c r="N110" s="176"/>
      <c r="O110" s="189"/>
      <c r="P110" s="189"/>
    </row>
    <row r="111" spans="1:16" ht="21.75" customHeight="1" x14ac:dyDescent="0.35">
      <c r="A111" s="183"/>
      <c r="B111" s="184"/>
      <c r="C111" s="184"/>
      <c r="D111" s="201"/>
      <c r="E111" s="206"/>
      <c r="F111" s="203"/>
      <c r="G111" s="232" t="s">
        <v>64</v>
      </c>
      <c r="H111" s="188" t="s">
        <v>37</v>
      </c>
      <c r="I111" s="210">
        <f ca="1">IFERROR(__xludf.DUMMYFUNCTION("IMPORTRANGE(""https://docs.google.com/spreadsheets/d/1IYY_tgx_IHuhSq3AJ5eI5OnqOPBNLWSHKh2a30DoXe8/edit?usp=sharing"",""ยะลา!I46"")"),0)</f>
        <v>0</v>
      </c>
      <c r="J111" s="211">
        <f ca="1">IFERROR(__xludf.DUMMYFUNCTION("IMPORTRANGE(""https://docs.google.com/spreadsheets/d/1IYY_tgx_IHuhSq3AJ5eI5OnqOPBNLWSHKh2a30DoXe8/edit?usp=sharing"",""ยะลา!J46"")"),0)</f>
        <v>0</v>
      </c>
      <c r="K111" s="231">
        <f t="shared" ca="1" si="57"/>
        <v>0</v>
      </c>
      <c r="L111" s="176"/>
      <c r="M111" s="176"/>
      <c r="N111" s="176"/>
      <c r="O111" s="189"/>
      <c r="P111" s="189"/>
    </row>
    <row r="112" spans="1:16" ht="21.75" customHeight="1" x14ac:dyDescent="0.35">
      <c r="A112" s="183"/>
      <c r="B112" s="184"/>
      <c r="C112" s="184"/>
      <c r="D112" s="201"/>
      <c r="E112" s="206"/>
      <c r="F112" s="203"/>
      <c r="G112" s="233" t="s">
        <v>65</v>
      </c>
      <c r="H112" s="188" t="s">
        <v>37</v>
      </c>
      <c r="I112" s="210">
        <f ca="1">IFERROR(__xludf.DUMMYFUNCTION("IMPORTRANGE(""https://docs.google.com/spreadsheets/d/1IYY_tgx_IHuhSq3AJ5eI5OnqOPBNLWSHKh2a30DoXe8/edit?usp=sharing"",""ยะลา!I47"")"),0)</f>
        <v>0</v>
      </c>
      <c r="J112" s="211">
        <f ca="1">IFERROR(__xludf.DUMMYFUNCTION("IMPORTRANGE(""https://docs.google.com/spreadsheets/d/1IYY_tgx_IHuhSq3AJ5eI5OnqOPBNLWSHKh2a30DoXe8/edit?usp=sharing"",""ยะลา!J47"")"),0)</f>
        <v>0</v>
      </c>
      <c r="K112" s="231">
        <f t="shared" ca="1" si="57"/>
        <v>0</v>
      </c>
      <c r="L112" s="176"/>
      <c r="M112" s="176"/>
      <c r="N112" s="176"/>
      <c r="O112" s="189"/>
      <c r="P112" s="189"/>
    </row>
    <row r="113" spans="1:16" ht="21.75" customHeight="1" x14ac:dyDescent="0.35">
      <c r="A113" s="183"/>
      <c r="B113" s="184"/>
      <c r="C113" s="184"/>
      <c r="D113" s="201"/>
      <c r="E113" s="206"/>
      <c r="F113" s="203" t="s">
        <v>66</v>
      </c>
      <c r="G113" s="203"/>
      <c r="H113" s="188" t="s">
        <v>59</v>
      </c>
      <c r="I113" s="210">
        <f ca="1">IFERROR(__xludf.DUMMYFUNCTION("IMPORTRANGE(""https://docs.google.com/spreadsheets/d/1IYY_tgx_IHuhSq3AJ5eI5OnqOPBNLWSHKh2a30DoXe8/edit?usp=sharing"",""ยะลา!I48"")"),0)</f>
        <v>0</v>
      </c>
      <c r="J113" s="211">
        <f ca="1">IFERROR(__xludf.DUMMYFUNCTION("IMPORTRANGE(""https://docs.google.com/spreadsheets/d/1IYY_tgx_IHuhSq3AJ5eI5OnqOPBNLWSHKh2a30DoXe8/edit?usp=sharing"",""ยะลา!J48"")"),0)</f>
        <v>0</v>
      </c>
      <c r="K113" s="231">
        <f t="shared" ca="1" si="57"/>
        <v>0</v>
      </c>
      <c r="L113" s="176"/>
      <c r="M113" s="176"/>
      <c r="N113" s="176"/>
      <c r="O113" s="189"/>
      <c r="P113" s="189"/>
    </row>
    <row r="114" spans="1:16" ht="21.75" customHeight="1" x14ac:dyDescent="0.35">
      <c r="A114" s="183"/>
      <c r="B114" s="184"/>
      <c r="C114" s="184"/>
      <c r="D114" s="201"/>
      <c r="E114" s="202" t="s">
        <v>54</v>
      </c>
      <c r="F114" s="203"/>
      <c r="G114" s="204"/>
      <c r="H114" s="194"/>
      <c r="I114" s="195"/>
      <c r="J114" s="195">
        <f ca="1">IFERROR(__xludf.DUMMYFUNCTION("IMPORTRANGE(""https://docs.google.com/spreadsheets/d/1IYY_tgx_IHuhSq3AJ5eI5OnqOPBNLWSHKh2a30DoXe8/edit?usp=sharing"",""ยะลา!J49"")"),0)</f>
        <v>0</v>
      </c>
      <c r="K114" s="231"/>
      <c r="L114" s="176"/>
      <c r="M114" s="176"/>
      <c r="N114" s="176"/>
      <c r="O114" s="189"/>
      <c r="P114" s="189"/>
    </row>
    <row r="115" spans="1:16" ht="21.75" customHeight="1" x14ac:dyDescent="0.35">
      <c r="A115" s="183"/>
      <c r="B115" s="184"/>
      <c r="C115" s="184"/>
      <c r="D115" s="213">
        <v>3</v>
      </c>
      <c r="E115" s="214" t="s">
        <v>55</v>
      </c>
      <c r="F115" s="215"/>
      <c r="G115" s="216"/>
      <c r="H115" s="194"/>
      <c r="I115" s="195"/>
      <c r="J115" s="234">
        <f ca="1">IFERROR(__xludf.DUMMYFUNCTION("IMPORTRANGE(""https://docs.google.com/spreadsheets/d/1IYY_tgx_IHuhSq3AJ5eI5OnqOPBNLWSHKh2a30DoXe8/edit?usp=sharing"",""ยะลา!J50"")"),0)</f>
        <v>0</v>
      </c>
      <c r="K115" s="231"/>
      <c r="L115" s="176"/>
      <c r="M115" s="176"/>
      <c r="N115" s="176"/>
      <c r="O115" s="189"/>
      <c r="P115" s="189"/>
    </row>
    <row r="116" spans="1:16" ht="21.75" customHeight="1" x14ac:dyDescent="0.35">
      <c r="A116" s="218" t="s">
        <v>67</v>
      </c>
      <c r="B116" s="235"/>
      <c r="C116" s="236"/>
      <c r="D116" s="235"/>
      <c r="E116" s="237"/>
      <c r="F116" s="237"/>
      <c r="G116" s="238"/>
      <c r="H116" s="223"/>
      <c r="I116" s="224"/>
      <c r="J116" s="224"/>
      <c r="K116" s="225"/>
      <c r="L116" s="226"/>
      <c r="M116" s="226"/>
      <c r="N116" s="226"/>
      <c r="O116" s="227"/>
      <c r="P116" s="227"/>
    </row>
    <row r="117" spans="1:16" ht="21.75" customHeight="1" x14ac:dyDescent="0.35">
      <c r="A117" s="142"/>
      <c r="B117" s="143" t="s">
        <v>68</v>
      </c>
      <c r="C117" s="239"/>
      <c r="D117" s="144"/>
      <c r="E117" s="143"/>
      <c r="F117" s="143"/>
      <c r="G117" s="228"/>
      <c r="H117" s="145" t="s">
        <v>37</v>
      </c>
      <c r="I117" s="146">
        <f ca="1">IFERROR(__xludf.DUMMYFUNCTION("IMPORTRANGE(""https://docs.google.com/spreadsheets/d/1IYY_tgx_IHuhSq3AJ5eI5OnqOPBNLWSHKh2a30DoXe8/edit?usp=sharing"",""ยะลา!I52"")"),0)</f>
        <v>0</v>
      </c>
      <c r="J117" s="146">
        <f ca="1">IFERROR(__xludf.DUMMYFUNCTION("IMPORTRANGE(""https://docs.google.com/spreadsheets/d/1IYY_tgx_IHuhSq3AJ5eI5OnqOPBNLWSHKh2a30DoXe8/edit?usp=sharing"",""ยะลา!J52"")"),0)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52" t="s">
        <v>17</v>
      </c>
      <c r="E118" s="543"/>
      <c r="F118" s="543"/>
      <c r="G118" s="543"/>
      <c r="H118" s="153" t="s">
        <v>12</v>
      </c>
      <c r="I118" s="168"/>
      <c r="J118" s="168"/>
      <c r="K118" s="169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8"/>
      <c r="J119" s="168"/>
      <c r="K119" s="169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8"/>
      <c r="J120" s="168"/>
      <c r="K120" s="169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5">
      <c r="A121" s="162"/>
      <c r="B121" s="163"/>
      <c r="C121" s="163" t="s">
        <v>16</v>
      </c>
      <c r="D121" s="164" t="s">
        <v>38</v>
      </c>
      <c r="E121" s="165"/>
      <c r="F121" s="165"/>
      <c r="G121" s="166" t="s">
        <v>39</v>
      </c>
      <c r="H121" s="167" t="s">
        <v>12</v>
      </c>
      <c r="I121" s="168" t="s">
        <v>40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 x14ac:dyDescent="0.35">
      <c r="A122" s="162"/>
      <c r="B122" s="163"/>
      <c r="C122" s="163"/>
      <c r="D122" s="172"/>
      <c r="E122" s="165"/>
      <c r="F122" s="165" t="s">
        <v>40</v>
      </c>
      <c r="G122" s="166" t="s">
        <v>41</v>
      </c>
      <c r="H122" s="167" t="s">
        <v>12</v>
      </c>
      <c r="I122" s="168"/>
      <c r="J122" s="168"/>
      <c r="K122" s="169"/>
      <c r="L122" s="173">
        <f ca="1">L123+L124</f>
        <v>0</v>
      </c>
      <c r="M122" s="174">
        <f ca="1">IFERROR(__xludf.DUMMYFUNCTION("IMPORTRANGE(""https://docs.google.com/spreadsheets/d/1Yj_ptqi66GCucihVvJfMjLAmec39IyEx_6qawtMGysU/edit?usp=sharing"",""สบก!BA90"")"),0)</f>
        <v>0</v>
      </c>
      <c r="N122" s="175">
        <f ca="1">IFERROR(__xludf.DUMMYFUNCTION("IMPORTRANGE(""https://docs.google.com/spreadsheets/d/1Yj_ptqi66GCucihVvJfMjLAmec39IyEx_6qawtMGysU/edit?usp=sharing"",""สบก!BB90"")"),0)</f>
        <v>0</v>
      </c>
      <c r="O122" s="176">
        <f ca="1">IF(L122&gt;0,N122*100/L122,0)</f>
        <v>0</v>
      </c>
      <c r="P122" s="176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2"/>
      <c r="E123" s="165"/>
      <c r="F123" s="165"/>
      <c r="G123" s="177" t="s">
        <v>42</v>
      </c>
      <c r="H123" s="167" t="s">
        <v>12</v>
      </c>
      <c r="I123" s="168"/>
      <c r="J123" s="168"/>
      <c r="K123" s="169"/>
      <c r="L123" s="174">
        <f ca="1">IFERROR(__xludf.DUMMYFUNCTION("IMPORTRANGE(""https://docs.google.com/spreadsheets/d/1Yj_ptqi66GCucihVvJfMjLAmec39IyEx_6qawtMGysU/edit?usp=sharing"",""สบก!AW90"")"),0)</f>
        <v>0</v>
      </c>
      <c r="M123" s="173"/>
      <c r="N123" s="173"/>
      <c r="O123" s="176"/>
      <c r="P123" s="176"/>
    </row>
    <row r="124" spans="1:16" ht="21.75" customHeight="1" x14ac:dyDescent="0.35">
      <c r="A124" s="162"/>
      <c r="B124" s="163"/>
      <c r="C124" s="163"/>
      <c r="D124" s="172"/>
      <c r="E124" s="165"/>
      <c r="F124" s="165"/>
      <c r="G124" s="177" t="s">
        <v>43</v>
      </c>
      <c r="H124" s="167" t="s">
        <v>12</v>
      </c>
      <c r="I124" s="168"/>
      <c r="J124" s="195"/>
      <c r="K124" s="231"/>
      <c r="L124" s="174">
        <f ca="1">IFERROR(__xludf.DUMMYFUNCTION("IMPORTRANGE(""https://docs.google.com/spreadsheets/d/1Yj_ptqi66GCucihVvJfMjLAmec39IyEx_6qawtMGysU/edit?usp=sharing"",""สบก!AX90"")"),0)</f>
        <v>0</v>
      </c>
      <c r="M124" s="173"/>
      <c r="N124" s="173"/>
      <c r="O124" s="176"/>
      <c r="P124" s="176"/>
    </row>
    <row r="125" spans="1:16" ht="21.75" customHeight="1" x14ac:dyDescent="0.45">
      <c r="A125" s="178"/>
      <c r="B125" s="81"/>
      <c r="C125" s="82" t="s">
        <v>16</v>
      </c>
      <c r="D125" s="549" t="s">
        <v>23</v>
      </c>
      <c r="E125" s="545"/>
      <c r="F125" s="89"/>
      <c r="G125" s="83" t="s">
        <v>18</v>
      </c>
      <c r="H125" s="179" t="s">
        <v>12</v>
      </c>
      <c r="I125" s="195"/>
      <c r="J125" s="195"/>
      <c r="K125" s="231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80"/>
      <c r="B126" s="95"/>
      <c r="C126" s="95"/>
      <c r="D126" s="181"/>
      <c r="E126" s="96"/>
      <c r="F126" s="96"/>
      <c r="G126" s="97" t="s">
        <v>19</v>
      </c>
      <c r="H126" s="182" t="s">
        <v>12</v>
      </c>
      <c r="I126" s="195"/>
      <c r="J126" s="195"/>
      <c r="K126" s="231"/>
      <c r="L126" s="91">
        <f ca="1">IFERROR(__xludf.DUMMYFUNCTION("IMPORTRANGE(""https://docs.google.com/spreadsheets/d/1Yj_ptqi66GCucihVvJfMjLAmec39IyEx_6qawtMGysU/edit?usp=sharing"",""สบก!AY90"")"),0)</f>
        <v>0</v>
      </c>
      <c r="M126" s="101"/>
      <c r="N126" s="91">
        <f ca="1">IFERROR(__xludf.DUMMYFUNCTION("IMPORTRANGE(""https://docs.google.com/spreadsheets/d/1Yj_ptqi66GCucihVvJfMjLAmec39IyEx_6qawtMGysU/edit?usp=sharing"",""สบก!BC90"")"),0)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3"/>
      <c r="B127" s="184"/>
      <c r="C127" s="163" t="s">
        <v>16</v>
      </c>
      <c r="D127" s="240" t="s">
        <v>259</v>
      </c>
      <c r="E127" s="186"/>
      <c r="F127" s="186"/>
      <c r="G127" s="187"/>
      <c r="H127" s="188"/>
      <c r="I127" s="168"/>
      <c r="J127" s="195"/>
      <c r="K127" s="231"/>
      <c r="L127" s="176"/>
      <c r="M127" s="176"/>
      <c r="N127" s="176"/>
      <c r="O127" s="189"/>
      <c r="P127" s="189"/>
    </row>
    <row r="128" spans="1:16" ht="21.75" customHeight="1" x14ac:dyDescent="0.35">
      <c r="A128" s="183"/>
      <c r="B128" s="184"/>
      <c r="C128" s="184"/>
      <c r="D128" s="190">
        <v>1</v>
      </c>
      <c r="E128" s="191" t="s">
        <v>45</v>
      </c>
      <c r="F128" s="192"/>
      <c r="G128" s="193"/>
      <c r="H128" s="194"/>
      <c r="I128" s="195"/>
      <c r="J128" s="211">
        <f ca="1">IFERROR(__xludf.DUMMYFUNCTION("IMPORTRANGE(""https://docs.google.com/spreadsheets/d/1IYY_tgx_IHuhSq3AJ5eI5OnqOPBNLWSHKh2a30DoXe8/edit?usp=sharing"",""ยะลา!J58"")"),0)</f>
        <v>0</v>
      </c>
      <c r="K128" s="231"/>
      <c r="L128" s="176"/>
      <c r="M128" s="176"/>
      <c r="N128" s="176"/>
      <c r="O128" s="189"/>
      <c r="P128" s="189"/>
    </row>
    <row r="129" spans="1:16" ht="21.75" customHeight="1" x14ac:dyDescent="0.35">
      <c r="A129" s="183"/>
      <c r="B129" s="184"/>
      <c r="C129" s="184"/>
      <c r="D129" s="197">
        <v>2</v>
      </c>
      <c r="E129" s="198" t="s">
        <v>46</v>
      </c>
      <c r="F129" s="199"/>
      <c r="G129" s="200"/>
      <c r="H129" s="194"/>
      <c r="I129" s="195"/>
      <c r="J129" s="195">
        <f ca="1">IFERROR(__xludf.DUMMYFUNCTION("IMPORTRANGE(""https://docs.google.com/spreadsheets/d/1IYY_tgx_IHuhSq3AJ5eI5OnqOPBNLWSHKh2a30DoXe8/edit?usp=sharing"",""ยะลา!J59"")"),0)</f>
        <v>0</v>
      </c>
      <c r="K129" s="231"/>
      <c r="L129" s="176" t="s">
        <v>40</v>
      </c>
      <c r="M129" s="176"/>
      <c r="N129" s="176" t="s">
        <v>40</v>
      </c>
      <c r="O129" s="189"/>
      <c r="P129" s="189"/>
    </row>
    <row r="130" spans="1:16" ht="21.75" customHeight="1" x14ac:dyDescent="0.35">
      <c r="A130" s="183"/>
      <c r="B130" s="184"/>
      <c r="C130" s="184"/>
      <c r="D130" s="201"/>
      <c r="E130" s="202" t="s">
        <v>47</v>
      </c>
      <c r="F130" s="203"/>
      <c r="G130" s="204"/>
      <c r="H130" s="194"/>
      <c r="I130" s="195"/>
      <c r="J130" s="195">
        <f ca="1">IFERROR(__xludf.DUMMYFUNCTION("IMPORTRANGE(""https://docs.google.com/spreadsheets/d/1IYY_tgx_IHuhSq3AJ5eI5OnqOPBNLWSHKh2a30DoXe8/edit?usp=sharing"",""ยะลา!J60"")"),0)</f>
        <v>0</v>
      </c>
      <c r="K130" s="231"/>
      <c r="L130" s="176"/>
      <c r="M130" s="176"/>
      <c r="N130" s="176"/>
      <c r="O130" s="189"/>
      <c r="P130" s="189"/>
    </row>
    <row r="131" spans="1:16" ht="21.75" customHeight="1" x14ac:dyDescent="0.35">
      <c r="A131" s="183"/>
      <c r="B131" s="184"/>
      <c r="C131" s="184"/>
      <c r="D131" s="201"/>
      <c r="E131" s="202" t="s">
        <v>48</v>
      </c>
      <c r="F131" s="203"/>
      <c r="G131" s="204"/>
      <c r="H131" s="194"/>
      <c r="I131" s="195"/>
      <c r="J131" s="195">
        <f ca="1">IFERROR(__xludf.DUMMYFUNCTION("IMPORTRANGE(""https://docs.google.com/spreadsheets/d/1IYY_tgx_IHuhSq3AJ5eI5OnqOPBNLWSHKh2a30DoXe8/edit?usp=sharing"",""ยะลา!J61"")"),0)</f>
        <v>0</v>
      </c>
      <c r="K131" s="231"/>
      <c r="L131" s="176"/>
      <c r="M131" s="176"/>
      <c r="N131" s="176"/>
      <c r="O131" s="189"/>
      <c r="P131" s="189"/>
    </row>
    <row r="132" spans="1:16" ht="21.75" customHeight="1" x14ac:dyDescent="0.35">
      <c r="A132" s="183"/>
      <c r="B132" s="184"/>
      <c r="C132" s="184"/>
      <c r="D132" s="201"/>
      <c r="E132" s="206"/>
      <c r="F132" s="202" t="s">
        <v>70</v>
      </c>
      <c r="G132" s="204"/>
      <c r="H132" s="188" t="s">
        <v>37</v>
      </c>
      <c r="I132" s="195">
        <f ca="1">IFERROR(__xludf.DUMMYFUNCTION("IMPORTRANGE(""https://docs.google.com/spreadsheets/d/1IYY_tgx_IHuhSq3AJ5eI5OnqOPBNLWSHKh2a30DoXe8/edit?usp=sharing"",""ยะลา!I62"")"),0)</f>
        <v>0</v>
      </c>
      <c r="J132" s="211">
        <f ca="1">IFERROR(__xludf.DUMMYFUNCTION("IMPORTRANGE(""https://docs.google.com/spreadsheets/d/1IYY_tgx_IHuhSq3AJ5eI5OnqOPBNLWSHKh2a30DoXe8/edit?usp=sharing"",""ยะลา!J62"")"),0)</f>
        <v>0</v>
      </c>
      <c r="K132" s="231">
        <f t="shared" ref="K132:K133" ca="1" si="63">IF(I132&gt;0,J132*100/I132,0)</f>
        <v>0</v>
      </c>
      <c r="L132" s="176"/>
      <c r="M132" s="176"/>
      <c r="N132" s="176"/>
      <c r="O132" s="189"/>
      <c r="P132" s="189"/>
    </row>
    <row r="133" spans="1:16" ht="21.75" customHeight="1" x14ac:dyDescent="0.35">
      <c r="A133" s="183"/>
      <c r="B133" s="184"/>
      <c r="C133" s="184"/>
      <c r="D133" s="201"/>
      <c r="E133" s="206"/>
      <c r="F133" s="202" t="s">
        <v>71</v>
      </c>
      <c r="G133" s="204"/>
      <c r="H133" s="188" t="s">
        <v>37</v>
      </c>
      <c r="I133" s="195">
        <f ca="1">IFERROR(__xludf.DUMMYFUNCTION("IMPORTRANGE(""https://docs.google.com/spreadsheets/d/1IYY_tgx_IHuhSq3AJ5eI5OnqOPBNLWSHKh2a30DoXe8/edit?usp=sharing"",""ยะลา!I63"")"),0)</f>
        <v>0</v>
      </c>
      <c r="J133" s="211">
        <f ca="1">IFERROR(__xludf.DUMMYFUNCTION("IMPORTRANGE(""https://docs.google.com/spreadsheets/d/1IYY_tgx_IHuhSq3AJ5eI5OnqOPBNLWSHKh2a30DoXe8/edit?usp=sharing"",""ยะลา!J63"")"),0)</f>
        <v>0</v>
      </c>
      <c r="K133" s="231">
        <f t="shared" ca="1" si="63"/>
        <v>0</v>
      </c>
      <c r="L133" s="176"/>
      <c r="M133" s="176"/>
      <c r="N133" s="176"/>
      <c r="O133" s="189"/>
      <c r="P133" s="189"/>
    </row>
    <row r="134" spans="1:16" ht="21.75" customHeight="1" x14ac:dyDescent="0.35">
      <c r="A134" s="183"/>
      <c r="B134" s="184"/>
      <c r="C134" s="184"/>
      <c r="D134" s="201"/>
      <c r="E134" s="202" t="s">
        <v>54</v>
      </c>
      <c r="F134" s="203"/>
      <c r="G134" s="204"/>
      <c r="H134" s="194"/>
      <c r="I134" s="195"/>
      <c r="J134" s="195">
        <f ca="1">IFERROR(__xludf.DUMMYFUNCTION("IMPORTRANGE(""https://docs.google.com/spreadsheets/d/1IYY_tgx_IHuhSq3AJ5eI5OnqOPBNLWSHKh2a30DoXe8/edit?usp=sharing"",""ยะลา!J64"")"),0)</f>
        <v>0</v>
      </c>
      <c r="K134" s="231"/>
      <c r="L134" s="176"/>
      <c r="M134" s="176"/>
      <c r="N134" s="176"/>
      <c r="O134" s="189"/>
      <c r="P134" s="189"/>
    </row>
    <row r="135" spans="1:16" ht="21.75" customHeight="1" x14ac:dyDescent="0.35">
      <c r="A135" s="241"/>
      <c r="B135" s="242"/>
      <c r="C135" s="242"/>
      <c r="D135" s="243">
        <v>3</v>
      </c>
      <c r="E135" s="244" t="s">
        <v>55</v>
      </c>
      <c r="F135" s="245"/>
      <c r="G135" s="246"/>
      <c r="H135" s="247"/>
      <c r="I135" s="248"/>
      <c r="J135" s="249">
        <f ca="1">IFERROR(__xludf.DUMMYFUNCTION("IMPORTRANGE(""https://docs.google.com/spreadsheets/d/1IYY_tgx_IHuhSq3AJ5eI5OnqOPBNLWSHKh2a30DoXe8/edit?usp=sharing"",""ยะลา!J65"")"),0)</f>
        <v>0</v>
      </c>
      <c r="K135" s="250"/>
      <c r="L135" s="251"/>
      <c r="M135" s="251"/>
      <c r="N135" s="251"/>
      <c r="O135" s="252"/>
      <c r="P135" s="252"/>
    </row>
    <row r="136" spans="1:16" ht="21.75" customHeight="1" x14ac:dyDescent="0.35">
      <c r="A136" s="253" t="s">
        <v>72</v>
      </c>
      <c r="B136" s="254"/>
      <c r="C136" s="254"/>
      <c r="D136" s="254"/>
      <c r="E136" s="255"/>
      <c r="F136" s="255"/>
      <c r="G136" s="256"/>
      <c r="H136" s="257"/>
      <c r="I136" s="258"/>
      <c r="J136" s="258"/>
      <c r="K136" s="259"/>
      <c r="L136" s="260"/>
      <c r="M136" s="260"/>
      <c r="N136" s="260"/>
      <c r="O136" s="260"/>
      <c r="P136" s="260"/>
    </row>
    <row r="137" spans="1:16" ht="21.75" customHeight="1" x14ac:dyDescent="0.35">
      <c r="A137" s="261" t="s">
        <v>73</v>
      </c>
      <c r="B137" s="262"/>
      <c r="C137" s="262"/>
      <c r="D137" s="263"/>
      <c r="E137" s="263"/>
      <c r="F137" s="263"/>
      <c r="G137" s="264"/>
      <c r="H137" s="265"/>
      <c r="I137" s="266"/>
      <c r="J137" s="266"/>
      <c r="K137" s="267"/>
      <c r="L137" s="267"/>
      <c r="M137" s="267"/>
      <c r="N137" s="267"/>
      <c r="O137" s="268"/>
      <c r="P137" s="268"/>
    </row>
    <row r="138" spans="1:16" ht="21.75" customHeight="1" x14ac:dyDescent="0.35">
      <c r="A138" s="269"/>
      <c r="B138" s="270" t="s">
        <v>74</v>
      </c>
      <c r="C138" s="271"/>
      <c r="D138" s="270"/>
      <c r="E138" s="270"/>
      <c r="F138" s="270"/>
      <c r="G138" s="272"/>
      <c r="H138" s="273" t="s">
        <v>37</v>
      </c>
      <c r="I138" s="274">
        <f ca="1">IFERROR(__xludf.DUMMYFUNCTION("IMPORTRANGE(""https://docs.google.com/spreadsheets/d/1IYY_tgx_IHuhSq3AJ5eI5OnqOPBNLWSHKh2a30DoXe8/edit?usp=sharing"",""ยะลา!I68"")"),0)</f>
        <v>0</v>
      </c>
      <c r="J138" s="274">
        <f ca="1">IFERROR(__xludf.DUMMYFUNCTION("IMPORTRANGE(""https://docs.google.com/spreadsheets/d/1IYY_tgx_IHuhSq3AJ5eI5OnqOPBNLWSHKh2a30DoXe8/edit?usp=sharing"",""ยะลา!J68"")"),0)</f>
        <v>0</v>
      </c>
      <c r="K138" s="275">
        <f ca="1">IF(I138&gt;0,J138*100/I138,0)</f>
        <v>0</v>
      </c>
      <c r="L138" s="276"/>
      <c r="M138" s="276"/>
      <c r="N138" s="276"/>
      <c r="O138" s="275"/>
      <c r="P138" s="275"/>
    </row>
    <row r="139" spans="1:16" ht="21.75" customHeight="1" x14ac:dyDescent="0.35">
      <c r="A139" s="269"/>
      <c r="B139" s="270" t="s">
        <v>75</v>
      </c>
      <c r="C139" s="271"/>
      <c r="D139" s="270"/>
      <c r="E139" s="270"/>
      <c r="F139" s="270"/>
      <c r="G139" s="272"/>
      <c r="H139" s="273"/>
      <c r="I139" s="274"/>
      <c r="J139" s="274"/>
      <c r="K139" s="275"/>
      <c r="L139" s="276"/>
      <c r="M139" s="276"/>
      <c r="N139" s="276"/>
      <c r="O139" s="275"/>
      <c r="P139" s="275"/>
    </row>
    <row r="140" spans="1:16" ht="21.75" customHeight="1" x14ac:dyDescent="0.45">
      <c r="A140" s="150"/>
      <c r="B140" s="151"/>
      <c r="C140" s="152" t="s">
        <v>16</v>
      </c>
      <c r="D140" s="552" t="s">
        <v>17</v>
      </c>
      <c r="E140" s="543"/>
      <c r="F140" s="543"/>
      <c r="G140" s="543"/>
      <c r="H140" s="153" t="s">
        <v>12</v>
      </c>
      <c r="I140" s="168"/>
      <c r="J140" s="168"/>
      <c r="K140" s="169"/>
      <c r="L140" s="156">
        <f t="shared" ref="L140:N140" ca="1" si="64">L141+L142</f>
        <v>29300</v>
      </c>
      <c r="M140" s="156">
        <f t="shared" ca="1" si="64"/>
        <v>25750</v>
      </c>
      <c r="N140" s="156">
        <f t="shared" ca="1" si="64"/>
        <v>18400</v>
      </c>
      <c r="O140" s="155">
        <f t="shared" ref="O140:O142" ca="1" si="65">IF(L140&gt;0,N140*100/L140,0)</f>
        <v>62.798634812286693</v>
      </c>
      <c r="P140" s="155">
        <f t="shared" ref="P140:P142" ca="1" si="66">IF(M140&gt;0,N140*100/M140,0)</f>
        <v>71.456310679611647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8"/>
      <c r="J141" s="168"/>
      <c r="K141" s="169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8"/>
      <c r="J142" s="168"/>
      <c r="K142" s="169"/>
      <c r="L142" s="161">
        <f t="shared" ref="L142:N142" ca="1" si="68">L144+L148</f>
        <v>29300</v>
      </c>
      <c r="M142" s="161">
        <f t="shared" ca="1" si="68"/>
        <v>25750</v>
      </c>
      <c r="N142" s="161">
        <f t="shared" ca="1" si="68"/>
        <v>18400</v>
      </c>
      <c r="O142" s="160">
        <f t="shared" ca="1" si="65"/>
        <v>62.798634812286693</v>
      </c>
      <c r="P142" s="160">
        <f t="shared" ca="1" si="66"/>
        <v>71.456310679611647</v>
      </c>
    </row>
    <row r="143" spans="1:16" ht="21.75" customHeight="1" x14ac:dyDescent="0.35">
      <c r="A143" s="162"/>
      <c r="B143" s="163"/>
      <c r="C143" s="163" t="s">
        <v>16</v>
      </c>
      <c r="D143" s="164" t="s">
        <v>38</v>
      </c>
      <c r="E143" s="165"/>
      <c r="F143" s="165"/>
      <c r="G143" s="166" t="s">
        <v>39</v>
      </c>
      <c r="H143" s="167" t="s">
        <v>12</v>
      </c>
      <c r="I143" s="168" t="s">
        <v>40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 x14ac:dyDescent="0.35">
      <c r="A144" s="162"/>
      <c r="B144" s="163"/>
      <c r="C144" s="163"/>
      <c r="D144" s="172"/>
      <c r="E144" s="165"/>
      <c r="F144" s="165" t="s">
        <v>40</v>
      </c>
      <c r="G144" s="166" t="s">
        <v>41</v>
      </c>
      <c r="H144" s="167" t="s">
        <v>12</v>
      </c>
      <c r="I144" s="168"/>
      <c r="J144" s="168"/>
      <c r="K144" s="169"/>
      <c r="L144" s="173">
        <f ca="1">L145+L146</f>
        <v>29300</v>
      </c>
      <c r="M144" s="174">
        <f ca="1">IFERROR(__xludf.DUMMYFUNCTION("IMPORTRANGE(""https://docs.google.com/spreadsheets/d/1Yj_ptqi66GCucihVvJfMjLAmec39IyEx_6qawtMGysU/edit?usp=sharing"",""สบก!BJ90"")"),25750)</f>
        <v>25750</v>
      </c>
      <c r="N144" s="175">
        <f ca="1">IFERROR(__xludf.DUMMYFUNCTION("IMPORTRANGE(""https://docs.google.com/spreadsheets/d/1Yj_ptqi66GCucihVvJfMjLAmec39IyEx_6qawtMGysU/edit?usp=sharing"",""สบก!BK90"")"),18400)</f>
        <v>18400</v>
      </c>
      <c r="O144" s="176">
        <f ca="1">IF(L144&gt;0,N144*100/L144,0)</f>
        <v>62.798634812286693</v>
      </c>
      <c r="P144" s="176">
        <f ca="1">IF(M144&gt;0,N144*100/M144,0)</f>
        <v>71.456310679611647</v>
      </c>
    </row>
    <row r="145" spans="1:16" ht="21.75" customHeight="1" x14ac:dyDescent="0.35">
      <c r="A145" s="162"/>
      <c r="B145" s="163"/>
      <c r="C145" s="163"/>
      <c r="D145" s="172"/>
      <c r="E145" s="165"/>
      <c r="F145" s="165"/>
      <c r="G145" s="177" t="s">
        <v>42</v>
      </c>
      <c r="H145" s="167" t="s">
        <v>12</v>
      </c>
      <c r="I145" s="168"/>
      <c r="J145" s="168"/>
      <c r="K145" s="169"/>
      <c r="L145" s="174">
        <f ca="1">IFERROR(__xludf.DUMMYFUNCTION("IMPORTRANGE(""https://docs.google.com/spreadsheets/d/1Yj_ptqi66GCucihVvJfMjLAmec39IyEx_6qawtMGysU/edit?usp=sharing"",""สบก!BF90"")"),0)</f>
        <v>0</v>
      </c>
      <c r="M145" s="173"/>
      <c r="N145" s="173"/>
      <c r="O145" s="176"/>
      <c r="P145" s="176"/>
    </row>
    <row r="146" spans="1:16" ht="21.75" customHeight="1" x14ac:dyDescent="0.35">
      <c r="A146" s="162"/>
      <c r="B146" s="163"/>
      <c r="C146" s="163"/>
      <c r="D146" s="172"/>
      <c r="E146" s="165"/>
      <c r="F146" s="165"/>
      <c r="G146" s="177" t="s">
        <v>43</v>
      </c>
      <c r="H146" s="167" t="s">
        <v>12</v>
      </c>
      <c r="I146" s="168"/>
      <c r="J146" s="168"/>
      <c r="K146" s="169"/>
      <c r="L146" s="174">
        <f ca="1">IFERROR(__xludf.DUMMYFUNCTION("IMPORTRANGE(""https://docs.google.com/spreadsheets/d/1Yj_ptqi66GCucihVvJfMjLAmec39IyEx_6qawtMGysU/edit?usp=sharing"",""สบก!BG90"")"),29300)</f>
        <v>29300</v>
      </c>
      <c r="M146" s="173"/>
      <c r="N146" s="173"/>
      <c r="O146" s="176"/>
      <c r="P146" s="176"/>
    </row>
    <row r="147" spans="1:16" ht="21.75" customHeight="1" x14ac:dyDescent="0.45">
      <c r="A147" s="178"/>
      <c r="B147" s="81"/>
      <c r="C147" s="82" t="s">
        <v>16</v>
      </c>
      <c r="D147" s="549" t="s">
        <v>23</v>
      </c>
      <c r="E147" s="545"/>
      <c r="F147" s="89"/>
      <c r="G147" s="83" t="s">
        <v>18</v>
      </c>
      <c r="H147" s="179" t="s">
        <v>12</v>
      </c>
      <c r="I147" s="195"/>
      <c r="J147" s="195"/>
      <c r="K147" s="231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80"/>
      <c r="B148" s="95"/>
      <c r="C148" s="95"/>
      <c r="D148" s="181"/>
      <c r="E148" s="96"/>
      <c r="F148" s="96"/>
      <c r="G148" s="97" t="s">
        <v>19</v>
      </c>
      <c r="H148" s="182" t="s">
        <v>12</v>
      </c>
      <c r="I148" s="195"/>
      <c r="J148" s="195"/>
      <c r="K148" s="231"/>
      <c r="L148" s="91">
        <f ca="1">IFERROR(__xludf.DUMMYFUNCTION("IMPORTRANGE(""https://docs.google.com/spreadsheets/d/1Yj_ptqi66GCucihVvJfMjLAmec39IyEx_6qawtMGysU/edit?usp=sharing"",""สบก!BH90"")"),0)</f>
        <v>0</v>
      </c>
      <c r="M148" s="101"/>
      <c r="N148" s="91">
        <f ca="1">IFERROR(__xludf.DUMMYFUNCTION("IMPORTRANGE(""https://docs.google.com/spreadsheets/d/1Yj_ptqi66GCucihVvJfMjLAmec39IyEx_6qawtMGysU/edit?usp=sharing"",""สบก!BL90"")"),0)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7"/>
      <c r="B149" s="278"/>
      <c r="C149" s="279" t="s">
        <v>76</v>
      </c>
      <c r="D149" s="279"/>
      <c r="E149" s="279"/>
      <c r="F149" s="279"/>
      <c r="G149" s="280"/>
      <c r="H149" s="281" t="s">
        <v>77</v>
      </c>
      <c r="I149" s="282">
        <f ca="1">IFERROR(__xludf.DUMMYFUNCTION("IMPORTRANGE(""https://docs.google.com/spreadsheets/d/1IYY_tgx_IHuhSq3AJ5eI5OnqOPBNLWSHKh2a30DoXe8/edit?usp=sharing"",""ยะลา!I74"")"),4)</f>
        <v>4</v>
      </c>
      <c r="J149" s="282">
        <f ca="1">IFERROR(__xludf.DUMMYFUNCTION("IMPORTRANGE(""https://docs.google.com/spreadsheets/d/1IYY_tgx_IHuhSq3AJ5eI5OnqOPBNLWSHKh2a30DoXe8/edit?usp=sharing"",""ยะลา!J74"")"),1)</f>
        <v>1</v>
      </c>
      <c r="K149" s="283">
        <f ca="1">IF(I149&gt;0,J149*100/I149,0)</f>
        <v>25</v>
      </c>
      <c r="L149" s="284"/>
      <c r="M149" s="284"/>
      <c r="N149" s="284"/>
      <c r="O149" s="284"/>
      <c r="P149" s="284"/>
    </row>
    <row r="150" spans="1:16" ht="21.75" customHeight="1" x14ac:dyDescent="0.35">
      <c r="A150" s="162"/>
      <c r="B150" s="163"/>
      <c r="C150" s="163" t="s">
        <v>16</v>
      </c>
      <c r="D150" s="164" t="s">
        <v>38</v>
      </c>
      <c r="E150" s="165"/>
      <c r="F150" s="165"/>
      <c r="G150" s="166" t="s">
        <v>39</v>
      </c>
      <c r="H150" s="167" t="s">
        <v>12</v>
      </c>
      <c r="I150" s="168" t="s">
        <v>40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 x14ac:dyDescent="0.35">
      <c r="A151" s="162"/>
      <c r="B151" s="163"/>
      <c r="C151" s="163"/>
      <c r="D151" s="172"/>
      <c r="E151" s="165"/>
      <c r="F151" s="165" t="s">
        <v>40</v>
      </c>
      <c r="G151" s="166" t="s">
        <v>41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 x14ac:dyDescent="0.35">
      <c r="A152" s="162"/>
      <c r="B152" s="163"/>
      <c r="C152" s="163"/>
      <c r="D152" s="172"/>
      <c r="E152" s="165"/>
      <c r="F152" s="165"/>
      <c r="G152" s="177" t="s">
        <v>43</v>
      </c>
      <c r="H152" s="167" t="s">
        <v>12</v>
      </c>
      <c r="I152" s="168"/>
      <c r="J152" s="168"/>
      <c r="K152" s="169"/>
      <c r="L152" s="176"/>
      <c r="M152" s="176"/>
      <c r="N152" s="173"/>
      <c r="O152" s="176"/>
      <c r="P152" s="176"/>
    </row>
    <row r="153" spans="1:16" ht="21.75" customHeight="1" x14ac:dyDescent="0.35">
      <c r="A153" s="183"/>
      <c r="B153" s="184"/>
      <c r="C153" s="163" t="s">
        <v>16</v>
      </c>
      <c r="D153" s="185" t="s">
        <v>44</v>
      </c>
      <c r="E153" s="186"/>
      <c r="F153" s="186"/>
      <c r="G153" s="187"/>
      <c r="H153" s="188"/>
      <c r="I153" s="168"/>
      <c r="J153" s="168"/>
      <c r="K153" s="169"/>
      <c r="L153" s="189"/>
      <c r="M153" s="189"/>
      <c r="N153" s="189"/>
      <c r="O153" s="189"/>
      <c r="P153" s="189"/>
    </row>
    <row r="154" spans="1:16" ht="21.75" customHeight="1" x14ac:dyDescent="0.35">
      <c r="A154" s="183"/>
      <c r="B154" s="184"/>
      <c r="C154" s="184"/>
      <c r="D154" s="190">
        <v>1</v>
      </c>
      <c r="E154" s="191" t="s">
        <v>45</v>
      </c>
      <c r="F154" s="192"/>
      <c r="G154" s="193"/>
      <c r="H154" s="194"/>
      <c r="I154" s="195"/>
      <c r="J154" s="196">
        <f ca="1">IFERROR(__xludf.DUMMYFUNCTION("IMPORTRANGE(""https://docs.google.com/spreadsheets/d/1IYY_tgx_IHuhSq3AJ5eI5OnqOPBNLWSHKh2a30DoXe8/edit?usp=sharing"",""ยะลา!J79"")"),0)</f>
        <v>0</v>
      </c>
      <c r="K154" s="169"/>
      <c r="L154" s="189"/>
      <c r="M154" s="189"/>
      <c r="N154" s="189"/>
      <c r="O154" s="189"/>
      <c r="P154" s="189"/>
    </row>
    <row r="155" spans="1:16" ht="21.75" customHeight="1" x14ac:dyDescent="0.35">
      <c r="A155" s="183"/>
      <c r="B155" s="184"/>
      <c r="C155" s="184"/>
      <c r="D155" s="197">
        <v>2</v>
      </c>
      <c r="E155" s="198" t="s">
        <v>46</v>
      </c>
      <c r="F155" s="199"/>
      <c r="G155" s="200"/>
      <c r="H155" s="194"/>
      <c r="I155" s="195"/>
      <c r="J155" s="205">
        <f ca="1">IFERROR(__xludf.DUMMYFUNCTION("IMPORTRANGE(""https://docs.google.com/spreadsheets/d/1IYY_tgx_IHuhSq3AJ5eI5OnqOPBNLWSHKh2a30DoXe8/edit?usp=sharing"",""ยะลา!J80"")"),1)</f>
        <v>1</v>
      </c>
      <c r="K155" s="169"/>
      <c r="L155" s="189"/>
      <c r="M155" s="189"/>
      <c r="N155" s="189"/>
      <c r="O155" s="189"/>
      <c r="P155" s="189"/>
    </row>
    <row r="156" spans="1:16" ht="21.75" customHeight="1" x14ac:dyDescent="0.35">
      <c r="A156" s="183"/>
      <c r="B156" s="184"/>
      <c r="C156" s="184"/>
      <c r="D156" s="201"/>
      <c r="E156" s="202" t="s">
        <v>47</v>
      </c>
      <c r="F156" s="203"/>
      <c r="G156" s="204"/>
      <c r="H156" s="194"/>
      <c r="I156" s="195"/>
      <c r="J156" s="205">
        <f ca="1">IFERROR(__xludf.DUMMYFUNCTION("IMPORTRANGE(""https://docs.google.com/spreadsheets/d/1IYY_tgx_IHuhSq3AJ5eI5OnqOPBNLWSHKh2a30DoXe8/edit?usp=sharing"",""ยะลา!J81"")"),1)</f>
        <v>1</v>
      </c>
      <c r="K156" s="169"/>
      <c r="L156" s="189"/>
      <c r="M156" s="189"/>
      <c r="N156" s="189"/>
      <c r="O156" s="189"/>
      <c r="P156" s="189"/>
    </row>
    <row r="157" spans="1:16" ht="21.75" customHeight="1" x14ac:dyDescent="0.35">
      <c r="A157" s="183"/>
      <c r="B157" s="184"/>
      <c r="C157" s="184"/>
      <c r="D157" s="201"/>
      <c r="E157" s="202" t="s">
        <v>48</v>
      </c>
      <c r="F157" s="203"/>
      <c r="G157" s="204"/>
      <c r="H157" s="194"/>
      <c r="I157" s="195"/>
      <c r="J157" s="205">
        <f ca="1">IFERROR(__xludf.DUMMYFUNCTION("IMPORTRANGE(""https://docs.google.com/spreadsheets/d/1IYY_tgx_IHuhSq3AJ5eI5OnqOPBNLWSHKh2a30DoXe8/edit?usp=sharing"",""ยะลา!J82"")"),1)</f>
        <v>1</v>
      </c>
      <c r="K157" s="169"/>
      <c r="L157" s="189"/>
      <c r="M157" s="189"/>
      <c r="N157" s="189"/>
      <c r="O157" s="189"/>
      <c r="P157" s="189"/>
    </row>
    <row r="158" spans="1:16" ht="21.75" customHeight="1" x14ac:dyDescent="0.35">
      <c r="A158" s="183"/>
      <c r="B158" s="184"/>
      <c r="C158" s="184"/>
      <c r="D158" s="201"/>
      <c r="E158" s="206"/>
      <c r="F158" s="202" t="s">
        <v>78</v>
      </c>
      <c r="G158" s="204"/>
      <c r="H158" s="188" t="s">
        <v>77</v>
      </c>
      <c r="I158" s="195">
        <f ca="1">IFERROR(__xludf.DUMMYFUNCTION("IMPORTRANGE(""https://docs.google.com/spreadsheets/d/1IYY_tgx_IHuhSq3AJ5eI5OnqOPBNLWSHKh2a30DoXe8/edit?usp=sharing"",""ยะลา!I83"")"),4)</f>
        <v>4</v>
      </c>
      <c r="J158" s="196">
        <f ca="1">IFERROR(__xludf.DUMMYFUNCTION("IMPORTRANGE(""https://docs.google.com/spreadsheets/d/1IYY_tgx_IHuhSq3AJ5eI5OnqOPBNLWSHKh2a30DoXe8/edit?usp=sharing"",""ยะลา!J83"")"),1)</f>
        <v>1</v>
      </c>
      <c r="K158" s="169">
        <f ca="1">IF(I158&gt;0,J158*100/I158,0)</f>
        <v>25</v>
      </c>
      <c r="L158" s="189"/>
      <c r="M158" s="189"/>
      <c r="N158" s="189"/>
      <c r="O158" s="189"/>
      <c r="P158" s="189"/>
    </row>
    <row r="159" spans="1:16" ht="21.75" customHeight="1" x14ac:dyDescent="0.35">
      <c r="A159" s="183"/>
      <c r="B159" s="184"/>
      <c r="C159" s="184"/>
      <c r="D159" s="201"/>
      <c r="E159" s="203"/>
      <c r="F159" s="285" t="s">
        <v>79</v>
      </c>
      <c r="G159" s="204"/>
      <c r="H159" s="286" t="s">
        <v>37</v>
      </c>
      <c r="I159" s="195"/>
      <c r="J159" s="211">
        <f ca="1">IFERROR(__xludf.DUMMYFUNCTION("IMPORTRANGE(""https://docs.google.com/spreadsheets/d/1IYY_tgx_IHuhSq3AJ5eI5OnqOPBNLWSHKh2a30DoXe8/edit?usp=sharing"",""ยะลา!J84"")"),86)</f>
        <v>86</v>
      </c>
      <c r="K159" s="169"/>
      <c r="L159" s="189"/>
      <c r="M159" s="189"/>
      <c r="N159" s="189"/>
      <c r="O159" s="189"/>
      <c r="P159" s="189"/>
    </row>
    <row r="160" spans="1:16" ht="21.75" customHeight="1" x14ac:dyDescent="0.45">
      <c r="A160" s="183"/>
      <c r="B160" s="184"/>
      <c r="C160" s="184"/>
      <c r="D160" s="201"/>
      <c r="E160" s="203"/>
      <c r="F160" s="203"/>
      <c r="G160" s="287" t="s">
        <v>80</v>
      </c>
      <c r="H160" s="286" t="s">
        <v>37</v>
      </c>
      <c r="I160" s="195"/>
      <c r="J160" s="288">
        <f ca="1">IFERROR(__xludf.DUMMYFUNCTION("IMPORTRANGE(""https://docs.google.com/spreadsheets/d/1IYY_tgx_IHuhSq3AJ5eI5OnqOPBNLWSHKh2a30DoXe8/edit?usp=sharing"",""ยะลา!J85"")"),86)</f>
        <v>86</v>
      </c>
      <c r="K160" s="169"/>
      <c r="L160" s="189"/>
      <c r="M160" s="189"/>
      <c r="N160" s="189"/>
      <c r="O160" s="189"/>
      <c r="P160" s="189"/>
    </row>
    <row r="161" spans="1:16" ht="21.75" customHeight="1" x14ac:dyDescent="0.45">
      <c r="A161" s="183"/>
      <c r="B161" s="184"/>
      <c r="C161" s="184"/>
      <c r="D161" s="201"/>
      <c r="E161" s="203"/>
      <c r="F161" s="203"/>
      <c r="G161" s="287" t="s">
        <v>81</v>
      </c>
      <c r="H161" s="286" t="s">
        <v>37</v>
      </c>
      <c r="I161" s="195"/>
      <c r="J161" s="288">
        <f ca="1">IFERROR(__xludf.DUMMYFUNCTION("IMPORTRANGE(""https://docs.google.com/spreadsheets/d/1IYY_tgx_IHuhSq3AJ5eI5OnqOPBNLWSHKh2a30DoXe8/edit?usp=sharing"",""ยะลา!J86"")"),0)</f>
        <v>0</v>
      </c>
      <c r="K161" s="169"/>
      <c r="L161" s="189"/>
      <c r="M161" s="189"/>
      <c r="N161" s="189"/>
      <c r="O161" s="189"/>
      <c r="P161" s="189"/>
    </row>
    <row r="162" spans="1:16" ht="21.75" customHeight="1" x14ac:dyDescent="0.35">
      <c r="A162" s="183"/>
      <c r="B162" s="184"/>
      <c r="C162" s="184"/>
      <c r="D162" s="201"/>
      <c r="E162" s="202" t="s">
        <v>54</v>
      </c>
      <c r="F162" s="203"/>
      <c r="G162" s="204"/>
      <c r="H162" s="194"/>
      <c r="I162" s="195"/>
      <c r="J162" s="205">
        <f ca="1">IFERROR(__xludf.DUMMYFUNCTION("IMPORTRANGE(""https://docs.google.com/spreadsheets/d/1IYY_tgx_IHuhSq3AJ5eI5OnqOPBNLWSHKh2a30DoXe8/edit?usp=sharing"",""ยะลา!J87"")"),0)</f>
        <v>0</v>
      </c>
      <c r="K162" s="169"/>
      <c r="L162" s="189"/>
      <c r="M162" s="189"/>
      <c r="N162" s="189"/>
      <c r="O162" s="189"/>
      <c r="P162" s="189"/>
    </row>
    <row r="163" spans="1:16" ht="21.75" customHeight="1" x14ac:dyDescent="0.35">
      <c r="A163" s="183"/>
      <c r="B163" s="184"/>
      <c r="C163" s="184"/>
      <c r="D163" s="213">
        <v>3</v>
      </c>
      <c r="E163" s="214" t="s">
        <v>55</v>
      </c>
      <c r="F163" s="215"/>
      <c r="G163" s="216"/>
      <c r="H163" s="194"/>
      <c r="I163" s="195"/>
      <c r="J163" s="217">
        <f ca="1">IFERROR(__xludf.DUMMYFUNCTION("IMPORTRANGE(""https://docs.google.com/spreadsheets/d/1IYY_tgx_IHuhSq3AJ5eI5OnqOPBNLWSHKh2a30DoXe8/edit?usp=sharing"",""ยะลา!J88"")"),0)</f>
        <v>0</v>
      </c>
      <c r="K163" s="169"/>
      <c r="L163" s="189"/>
      <c r="M163" s="189"/>
      <c r="N163" s="189"/>
      <c r="O163" s="189"/>
      <c r="P163" s="189"/>
    </row>
    <row r="164" spans="1:16" ht="21.75" customHeight="1" x14ac:dyDescent="0.35">
      <c r="A164" s="277"/>
      <c r="B164" s="278"/>
      <c r="C164" s="279" t="s">
        <v>82</v>
      </c>
      <c r="D164" s="279"/>
      <c r="E164" s="279"/>
      <c r="F164" s="279"/>
      <c r="G164" s="280"/>
      <c r="H164" s="289" t="s">
        <v>83</v>
      </c>
      <c r="I164" s="290">
        <f ca="1">IFERROR(__xludf.DUMMYFUNCTION("IMPORTRANGE(""https://docs.google.com/spreadsheets/d/1IYY_tgx_IHuhSq3AJ5eI5OnqOPBNLWSHKh2a30DoXe8/edit?usp=sharing"",""ยะลา!I89"")"),1)</f>
        <v>1</v>
      </c>
      <c r="J164" s="290">
        <f ca="1">IFERROR(__xludf.DUMMYFUNCTION("IMPORTRANGE(""https://docs.google.com/spreadsheets/d/1IYY_tgx_IHuhSq3AJ5eI5OnqOPBNLWSHKh2a30DoXe8/edit?usp=sharing"",""ยะลา!J89"")"),1)</f>
        <v>1</v>
      </c>
      <c r="K164" s="291">
        <f ca="1">IF(I164&gt;0,J164*100/I164,0)</f>
        <v>100</v>
      </c>
      <c r="L164" s="284"/>
      <c r="M164" s="284"/>
      <c r="N164" s="284"/>
      <c r="O164" s="284"/>
      <c r="P164" s="284"/>
    </row>
    <row r="165" spans="1:16" ht="21.75" customHeight="1" x14ac:dyDescent="0.35">
      <c r="A165" s="162"/>
      <c r="B165" s="163"/>
      <c r="C165" s="163" t="s">
        <v>16</v>
      </c>
      <c r="D165" s="164" t="s">
        <v>38</v>
      </c>
      <c r="E165" s="165"/>
      <c r="F165" s="165"/>
      <c r="G165" s="166" t="s">
        <v>39</v>
      </c>
      <c r="H165" s="167" t="s">
        <v>12</v>
      </c>
      <c r="I165" s="168" t="s">
        <v>40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 x14ac:dyDescent="0.35">
      <c r="A166" s="162"/>
      <c r="B166" s="163"/>
      <c r="C166" s="163"/>
      <c r="D166" s="172"/>
      <c r="E166" s="165"/>
      <c r="F166" s="165" t="s">
        <v>40</v>
      </c>
      <c r="G166" s="166" t="s">
        <v>41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 x14ac:dyDescent="0.35">
      <c r="A167" s="162"/>
      <c r="B167" s="163"/>
      <c r="C167" s="163"/>
      <c r="D167" s="172"/>
      <c r="E167" s="165"/>
      <c r="F167" s="165"/>
      <c r="G167" s="177" t="s">
        <v>43</v>
      </c>
      <c r="H167" s="167" t="s">
        <v>12</v>
      </c>
      <c r="I167" s="168"/>
      <c r="J167" s="168"/>
      <c r="K167" s="169"/>
      <c r="L167" s="176"/>
      <c r="M167" s="176"/>
      <c r="N167" s="173"/>
      <c r="O167" s="176"/>
      <c r="P167" s="176"/>
    </row>
    <row r="168" spans="1:16" ht="21.75" customHeight="1" x14ac:dyDescent="0.35">
      <c r="A168" s="183"/>
      <c r="B168" s="184"/>
      <c r="C168" s="163" t="s">
        <v>16</v>
      </c>
      <c r="D168" s="185" t="s">
        <v>44</v>
      </c>
      <c r="E168" s="186"/>
      <c r="F168" s="186"/>
      <c r="G168" s="187"/>
      <c r="H168" s="188"/>
      <c r="I168" s="168"/>
      <c r="J168" s="168"/>
      <c r="K168" s="169"/>
      <c r="L168" s="189"/>
      <c r="M168" s="189"/>
      <c r="N168" s="189"/>
      <c r="O168" s="189"/>
      <c r="P168" s="189"/>
    </row>
    <row r="169" spans="1:16" ht="21.75" customHeight="1" x14ac:dyDescent="0.35">
      <c r="A169" s="183"/>
      <c r="B169" s="184"/>
      <c r="C169" s="184"/>
      <c r="D169" s="190">
        <v>1</v>
      </c>
      <c r="E169" s="191" t="s">
        <v>45</v>
      </c>
      <c r="F169" s="192"/>
      <c r="G169" s="193"/>
      <c r="H169" s="194"/>
      <c r="I169" s="195"/>
      <c r="J169" s="196">
        <f ca="1">IFERROR(__xludf.DUMMYFUNCTION("IMPORTRANGE(""https://docs.google.com/spreadsheets/d/1IYY_tgx_IHuhSq3AJ5eI5OnqOPBNLWSHKh2a30DoXe8/edit?usp=sharing"",""ยะลา!J94"")"),0)</f>
        <v>0</v>
      </c>
      <c r="K169" s="169"/>
      <c r="L169" s="189"/>
      <c r="M169" s="189"/>
      <c r="N169" s="189"/>
      <c r="O169" s="189"/>
      <c r="P169" s="189"/>
    </row>
    <row r="170" spans="1:16" ht="21.75" customHeight="1" x14ac:dyDescent="0.35">
      <c r="A170" s="183"/>
      <c r="B170" s="184"/>
      <c r="C170" s="184"/>
      <c r="D170" s="197">
        <v>2</v>
      </c>
      <c r="E170" s="198" t="s">
        <v>46</v>
      </c>
      <c r="F170" s="199"/>
      <c r="G170" s="200"/>
      <c r="H170" s="194"/>
      <c r="I170" s="195"/>
      <c r="J170" s="205">
        <f ca="1">IFERROR(__xludf.DUMMYFUNCTION("IMPORTRANGE(""https://docs.google.com/spreadsheets/d/1IYY_tgx_IHuhSq3AJ5eI5OnqOPBNLWSHKh2a30DoXe8/edit?usp=sharing"",""ยะลา!J95"")"),1)</f>
        <v>1</v>
      </c>
      <c r="K170" s="169"/>
      <c r="L170" s="189"/>
      <c r="M170" s="189"/>
      <c r="N170" s="189"/>
      <c r="O170" s="189"/>
      <c r="P170" s="189"/>
    </row>
    <row r="171" spans="1:16" ht="21.75" customHeight="1" x14ac:dyDescent="0.35">
      <c r="A171" s="183"/>
      <c r="B171" s="184"/>
      <c r="C171" s="184"/>
      <c r="D171" s="201"/>
      <c r="E171" s="202" t="s">
        <v>47</v>
      </c>
      <c r="F171" s="203"/>
      <c r="G171" s="204"/>
      <c r="H171" s="194"/>
      <c r="I171" s="195"/>
      <c r="J171" s="205">
        <f ca="1">IFERROR(__xludf.DUMMYFUNCTION("IMPORTRANGE(""https://docs.google.com/spreadsheets/d/1IYY_tgx_IHuhSq3AJ5eI5OnqOPBNLWSHKh2a30DoXe8/edit?usp=sharing"",""ยะลา!J96"")"),1)</f>
        <v>1</v>
      </c>
      <c r="K171" s="169"/>
      <c r="L171" s="189"/>
      <c r="M171" s="189"/>
      <c r="N171" s="189"/>
      <c r="O171" s="189"/>
      <c r="P171" s="189"/>
    </row>
    <row r="172" spans="1:16" ht="21.75" customHeight="1" x14ac:dyDescent="0.35">
      <c r="A172" s="183"/>
      <c r="B172" s="184"/>
      <c r="C172" s="184"/>
      <c r="D172" s="201"/>
      <c r="E172" s="202" t="s">
        <v>48</v>
      </c>
      <c r="F172" s="203"/>
      <c r="G172" s="204"/>
      <c r="H172" s="194"/>
      <c r="I172" s="195"/>
      <c r="J172" s="205">
        <f ca="1">IFERROR(__xludf.DUMMYFUNCTION("IMPORTRANGE(""https://docs.google.com/spreadsheets/d/1IYY_tgx_IHuhSq3AJ5eI5OnqOPBNLWSHKh2a30DoXe8/edit?usp=sharing"",""ยะลา!J97"")"),1)</f>
        <v>1</v>
      </c>
      <c r="K172" s="169"/>
      <c r="L172" s="189"/>
      <c r="M172" s="189"/>
      <c r="N172" s="189"/>
      <c r="O172" s="189"/>
      <c r="P172" s="189"/>
    </row>
    <row r="173" spans="1:16" ht="21.75" customHeight="1" x14ac:dyDescent="0.35">
      <c r="A173" s="183"/>
      <c r="B173" s="184"/>
      <c r="C173" s="184"/>
      <c r="D173" s="201"/>
      <c r="E173" s="206"/>
      <c r="F173" s="212" t="s">
        <v>84</v>
      </c>
      <c r="G173" s="204"/>
      <c r="H173" s="188" t="s">
        <v>83</v>
      </c>
      <c r="I173" s="195">
        <f ca="1">IFERROR(__xludf.DUMMYFUNCTION("IMPORTRANGE(""https://docs.google.com/spreadsheets/d/1IYY_tgx_IHuhSq3AJ5eI5OnqOPBNLWSHKh2a30DoXe8/edit?usp=sharing"",""ยะลา!I98"")"),1)</f>
        <v>1</v>
      </c>
      <c r="J173" s="196">
        <f ca="1">IFERROR(__xludf.DUMMYFUNCTION("IMPORTRANGE(""https://docs.google.com/spreadsheets/d/1IYY_tgx_IHuhSq3AJ5eI5OnqOPBNLWSHKh2a30DoXe8/edit?usp=sharing"",""ยะลา!J98"")"),1)</f>
        <v>1</v>
      </c>
      <c r="K173" s="169">
        <f ca="1">IF(I173&gt;0,J173*100/I173,0)</f>
        <v>100</v>
      </c>
      <c r="L173" s="176"/>
      <c r="M173" s="176"/>
      <c r="N173" s="173"/>
      <c r="O173" s="176"/>
      <c r="P173" s="176"/>
    </row>
    <row r="174" spans="1:16" ht="21.75" customHeight="1" x14ac:dyDescent="0.35">
      <c r="A174" s="183"/>
      <c r="B174" s="184"/>
      <c r="C174" s="184"/>
      <c r="D174" s="201"/>
      <c r="E174" s="202" t="s">
        <v>54</v>
      </c>
      <c r="F174" s="203"/>
      <c r="G174" s="204"/>
      <c r="H174" s="194"/>
      <c r="I174" s="195"/>
      <c r="J174" s="205">
        <f ca="1">IFERROR(__xludf.DUMMYFUNCTION("IMPORTRANGE(""https://docs.google.com/spreadsheets/d/1IYY_tgx_IHuhSq3AJ5eI5OnqOPBNLWSHKh2a30DoXe8/edit?usp=sharing"",""ยะลา!J99"")"),0)</f>
        <v>0</v>
      </c>
      <c r="K174" s="169"/>
      <c r="L174" s="189"/>
      <c r="M174" s="189"/>
      <c r="N174" s="189"/>
      <c r="O174" s="189"/>
      <c r="P174" s="189"/>
    </row>
    <row r="175" spans="1:16" ht="21.75" customHeight="1" x14ac:dyDescent="0.35">
      <c r="A175" s="183"/>
      <c r="B175" s="184"/>
      <c r="C175" s="184"/>
      <c r="D175" s="213">
        <v>3</v>
      </c>
      <c r="E175" s="214" t="s">
        <v>55</v>
      </c>
      <c r="F175" s="215"/>
      <c r="G175" s="216"/>
      <c r="H175" s="194"/>
      <c r="I175" s="195"/>
      <c r="J175" s="217">
        <f ca="1">IFERROR(__xludf.DUMMYFUNCTION("IMPORTRANGE(""https://docs.google.com/spreadsheets/d/1IYY_tgx_IHuhSq3AJ5eI5OnqOPBNLWSHKh2a30DoXe8/edit?usp=sharing"",""ยะลา!J100"")"),0)</f>
        <v>0</v>
      </c>
      <c r="K175" s="169"/>
      <c r="L175" s="189"/>
      <c r="M175" s="189"/>
      <c r="N175" s="189"/>
      <c r="O175" s="189"/>
      <c r="P175" s="189"/>
    </row>
    <row r="176" spans="1:16" ht="21.75" customHeight="1" x14ac:dyDescent="0.35">
      <c r="A176" s="277"/>
      <c r="B176" s="278"/>
      <c r="C176" s="279" t="s">
        <v>85</v>
      </c>
      <c r="D176" s="279"/>
      <c r="E176" s="279"/>
      <c r="F176" s="279"/>
      <c r="G176" s="280"/>
      <c r="H176" s="289" t="s">
        <v>83</v>
      </c>
      <c r="I176" s="290">
        <f ca="1">IFERROR(__xludf.DUMMYFUNCTION("IMPORTRANGE(""https://docs.google.com/spreadsheets/d/1IYY_tgx_IHuhSq3AJ5eI5OnqOPBNLWSHKh2a30DoXe8/edit?usp=sharing"",""ยะลา!I101"")"),0)</f>
        <v>0</v>
      </c>
      <c r="J176" s="290">
        <f ca="1">IFERROR(__xludf.DUMMYFUNCTION("IMPORTRANGE(""https://docs.google.com/spreadsheets/d/1IYY_tgx_IHuhSq3AJ5eI5OnqOPBNLWSHKh2a30DoXe8/edit?usp=sharing"",""ยะลา!J101"")"),0)</f>
        <v>0</v>
      </c>
      <c r="K176" s="291">
        <f ca="1">IF(I176&gt;0,J176*100/I176,0)</f>
        <v>0</v>
      </c>
      <c r="L176" s="284"/>
      <c r="M176" s="284"/>
      <c r="N176" s="284"/>
      <c r="O176" s="284"/>
      <c r="P176" s="284"/>
    </row>
    <row r="177" spans="1:16" ht="21.75" customHeight="1" x14ac:dyDescent="0.35">
      <c r="A177" s="162"/>
      <c r="B177" s="163"/>
      <c r="C177" s="163" t="s">
        <v>16</v>
      </c>
      <c r="D177" s="164" t="s">
        <v>38</v>
      </c>
      <c r="E177" s="165"/>
      <c r="F177" s="165"/>
      <c r="G177" s="166" t="s">
        <v>39</v>
      </c>
      <c r="H177" s="167" t="s">
        <v>12</v>
      </c>
      <c r="I177" s="168" t="s">
        <v>40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 x14ac:dyDescent="0.35">
      <c r="A178" s="162"/>
      <c r="B178" s="163"/>
      <c r="C178" s="163"/>
      <c r="D178" s="172"/>
      <c r="E178" s="165"/>
      <c r="F178" s="165" t="s">
        <v>40</v>
      </c>
      <c r="G178" s="166" t="s">
        <v>41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 x14ac:dyDescent="0.35">
      <c r="A179" s="162"/>
      <c r="B179" s="163"/>
      <c r="C179" s="163"/>
      <c r="D179" s="172"/>
      <c r="E179" s="165"/>
      <c r="F179" s="165"/>
      <c r="G179" s="177" t="s">
        <v>43</v>
      </c>
      <c r="H179" s="167" t="s">
        <v>12</v>
      </c>
      <c r="I179" s="168"/>
      <c r="J179" s="195"/>
      <c r="K179" s="231"/>
      <c r="L179" s="176"/>
      <c r="M179" s="176"/>
      <c r="N179" s="173"/>
      <c r="O179" s="176"/>
      <c r="P179" s="176"/>
    </row>
    <row r="180" spans="1:16" ht="21.75" customHeight="1" x14ac:dyDescent="0.35">
      <c r="A180" s="183"/>
      <c r="B180" s="184"/>
      <c r="C180" s="163" t="s">
        <v>16</v>
      </c>
      <c r="D180" s="185" t="s">
        <v>44</v>
      </c>
      <c r="E180" s="186"/>
      <c r="F180" s="186"/>
      <c r="G180" s="187"/>
      <c r="H180" s="188"/>
      <c r="I180" s="168"/>
      <c r="J180" s="195"/>
      <c r="K180" s="231"/>
      <c r="L180" s="176"/>
      <c r="M180" s="176"/>
      <c r="N180" s="176"/>
      <c r="O180" s="189"/>
      <c r="P180" s="189"/>
    </row>
    <row r="181" spans="1:16" ht="21.75" customHeight="1" x14ac:dyDescent="0.35">
      <c r="A181" s="183"/>
      <c r="B181" s="184"/>
      <c r="C181" s="184"/>
      <c r="D181" s="190">
        <v>1</v>
      </c>
      <c r="E181" s="191" t="s">
        <v>45</v>
      </c>
      <c r="F181" s="192"/>
      <c r="G181" s="193"/>
      <c r="H181" s="194"/>
      <c r="I181" s="195"/>
      <c r="J181" s="195">
        <f ca="1">IFERROR(__xludf.DUMMYFUNCTION("IMPORTRANGE(""https://docs.google.com/spreadsheets/d/1IYY_tgx_IHuhSq3AJ5eI5OnqOPBNLWSHKh2a30DoXe8/edit?usp=sharing"",""ยะลา!J106"")"),0)</f>
        <v>0</v>
      </c>
      <c r="K181" s="231"/>
      <c r="L181" s="176"/>
      <c r="M181" s="176"/>
      <c r="N181" s="176"/>
      <c r="O181" s="189"/>
      <c r="P181" s="189"/>
    </row>
    <row r="182" spans="1:16" ht="21.75" customHeight="1" x14ac:dyDescent="0.35">
      <c r="A182" s="183"/>
      <c r="B182" s="184"/>
      <c r="C182" s="184"/>
      <c r="D182" s="197">
        <v>2</v>
      </c>
      <c r="E182" s="198" t="s">
        <v>46</v>
      </c>
      <c r="F182" s="199"/>
      <c r="G182" s="200"/>
      <c r="H182" s="194"/>
      <c r="I182" s="195"/>
      <c r="J182" s="195">
        <f ca="1">IFERROR(__xludf.DUMMYFUNCTION("IMPORTRANGE(""https://docs.google.com/spreadsheets/d/1IYY_tgx_IHuhSq3AJ5eI5OnqOPBNLWSHKh2a30DoXe8/edit?usp=sharing"",""ยะลา!J107"")"),0)</f>
        <v>0</v>
      </c>
      <c r="K182" s="231"/>
      <c r="L182" s="176"/>
      <c r="M182" s="176"/>
      <c r="N182" s="176"/>
      <c r="O182" s="189"/>
      <c r="P182" s="189"/>
    </row>
    <row r="183" spans="1:16" ht="21.75" customHeight="1" x14ac:dyDescent="0.35">
      <c r="A183" s="183"/>
      <c r="B183" s="184"/>
      <c r="C183" s="184"/>
      <c r="D183" s="201"/>
      <c r="E183" s="202" t="s">
        <v>47</v>
      </c>
      <c r="F183" s="203"/>
      <c r="G183" s="204"/>
      <c r="H183" s="194"/>
      <c r="I183" s="195"/>
      <c r="J183" s="195">
        <f ca="1">IFERROR(__xludf.DUMMYFUNCTION("IMPORTRANGE(""https://docs.google.com/spreadsheets/d/1IYY_tgx_IHuhSq3AJ5eI5OnqOPBNLWSHKh2a30DoXe8/edit?usp=sharing"",""ยะลา!J108"")"),0)</f>
        <v>0</v>
      </c>
      <c r="K183" s="231"/>
      <c r="L183" s="176"/>
      <c r="M183" s="176"/>
      <c r="N183" s="176"/>
      <c r="O183" s="189"/>
      <c r="P183" s="189"/>
    </row>
    <row r="184" spans="1:16" ht="21.75" customHeight="1" x14ac:dyDescent="0.35">
      <c r="A184" s="183"/>
      <c r="B184" s="184"/>
      <c r="C184" s="184"/>
      <c r="D184" s="201"/>
      <c r="E184" s="202" t="s">
        <v>48</v>
      </c>
      <c r="F184" s="203"/>
      <c r="G184" s="204"/>
      <c r="H184" s="194"/>
      <c r="I184" s="195"/>
      <c r="J184" s="195">
        <f ca="1">IFERROR(__xludf.DUMMYFUNCTION("IMPORTRANGE(""https://docs.google.com/spreadsheets/d/1IYY_tgx_IHuhSq3AJ5eI5OnqOPBNLWSHKh2a30DoXe8/edit?usp=sharing"",""ยะลา!J109"")"),0)</f>
        <v>0</v>
      </c>
      <c r="K184" s="231"/>
      <c r="L184" s="176"/>
      <c r="M184" s="176"/>
      <c r="N184" s="176"/>
      <c r="O184" s="189"/>
      <c r="P184" s="189"/>
    </row>
    <row r="185" spans="1:16" ht="21.75" customHeight="1" x14ac:dyDescent="0.35">
      <c r="A185" s="183"/>
      <c r="B185" s="184"/>
      <c r="C185" s="184"/>
      <c r="D185" s="201"/>
      <c r="E185" s="206"/>
      <c r="F185" s="202" t="s">
        <v>86</v>
      </c>
      <c r="G185" s="204"/>
      <c r="H185" s="188" t="s">
        <v>83</v>
      </c>
      <c r="I185" s="195">
        <f ca="1">IFERROR(__xludf.DUMMYFUNCTION("IMPORTRANGE(""https://docs.google.com/spreadsheets/d/1IYY_tgx_IHuhSq3AJ5eI5OnqOPBNLWSHKh2a30DoXe8/edit?usp=sharing"",""ยะลา!I110"")"),0)</f>
        <v>0</v>
      </c>
      <c r="J185" s="211">
        <f ca="1">IFERROR(__xludf.DUMMYFUNCTION("IMPORTRANGE(""https://docs.google.com/spreadsheets/d/1IYY_tgx_IHuhSq3AJ5eI5OnqOPBNLWSHKh2a30DoXe8/edit?usp=sharing"",""ยะลา!J110"")"),0)</f>
        <v>0</v>
      </c>
      <c r="K185" s="231">
        <f t="shared" ref="K185:K186" ca="1" si="69">IF(I185&gt;0,J185*100/I185,0)</f>
        <v>0</v>
      </c>
      <c r="L185" s="176"/>
      <c r="M185" s="176"/>
      <c r="N185" s="173"/>
      <c r="O185" s="176"/>
      <c r="P185" s="176"/>
    </row>
    <row r="186" spans="1:16" ht="21.75" customHeight="1" x14ac:dyDescent="0.35">
      <c r="A186" s="183"/>
      <c r="B186" s="184"/>
      <c r="C186" s="184"/>
      <c r="D186" s="201"/>
      <c r="E186" s="206"/>
      <c r="F186" s="202" t="s">
        <v>87</v>
      </c>
      <c r="G186" s="204"/>
      <c r="H186" s="188" t="s">
        <v>83</v>
      </c>
      <c r="I186" s="195">
        <f ca="1">IFERROR(__xludf.DUMMYFUNCTION("IMPORTRANGE(""https://docs.google.com/spreadsheets/d/1IYY_tgx_IHuhSq3AJ5eI5OnqOPBNLWSHKh2a30DoXe8/edit?usp=sharing"",""ยะลา!I111"")"),0)</f>
        <v>0</v>
      </c>
      <c r="J186" s="211">
        <f ca="1">IFERROR(__xludf.DUMMYFUNCTION("IMPORTRANGE(""https://docs.google.com/spreadsheets/d/1IYY_tgx_IHuhSq3AJ5eI5OnqOPBNLWSHKh2a30DoXe8/edit?usp=sharing"",""ยะลา!J111"")"),0)</f>
        <v>0</v>
      </c>
      <c r="K186" s="231">
        <f t="shared" ca="1" si="69"/>
        <v>0</v>
      </c>
      <c r="L186" s="176"/>
      <c r="M186" s="176"/>
      <c r="N186" s="173"/>
      <c r="O186" s="176"/>
      <c r="P186" s="176"/>
    </row>
    <row r="187" spans="1:16" ht="21.75" customHeight="1" x14ac:dyDescent="0.35">
      <c r="A187" s="183"/>
      <c r="B187" s="184"/>
      <c r="C187" s="184"/>
      <c r="D187" s="201"/>
      <c r="E187" s="202" t="s">
        <v>54</v>
      </c>
      <c r="F187" s="203"/>
      <c r="G187" s="204"/>
      <c r="H187" s="194"/>
      <c r="I187" s="195"/>
      <c r="J187" s="195">
        <f ca="1">IFERROR(__xludf.DUMMYFUNCTION("IMPORTRANGE(""https://docs.google.com/spreadsheets/d/1IYY_tgx_IHuhSq3AJ5eI5OnqOPBNLWSHKh2a30DoXe8/edit?usp=sharing"",""ยะลา!J112"")"),0)</f>
        <v>0</v>
      </c>
      <c r="K187" s="231"/>
      <c r="L187" s="176"/>
      <c r="M187" s="176"/>
      <c r="N187" s="176"/>
      <c r="O187" s="189"/>
      <c r="P187" s="189"/>
    </row>
    <row r="188" spans="1:16" ht="21.75" customHeight="1" x14ac:dyDescent="0.35">
      <c r="A188" s="183"/>
      <c r="B188" s="184"/>
      <c r="C188" s="184"/>
      <c r="D188" s="213">
        <v>3</v>
      </c>
      <c r="E188" s="214" t="s">
        <v>55</v>
      </c>
      <c r="F188" s="215"/>
      <c r="G188" s="216"/>
      <c r="H188" s="194"/>
      <c r="I188" s="195"/>
      <c r="J188" s="234">
        <f ca="1">IFERROR(__xludf.DUMMYFUNCTION("IMPORTRANGE(""https://docs.google.com/spreadsheets/d/1IYY_tgx_IHuhSq3AJ5eI5OnqOPBNLWSHKh2a30DoXe8/edit?usp=sharing"",""ยะลา!J113"")"),0)</f>
        <v>0</v>
      </c>
      <c r="K188" s="231"/>
      <c r="L188" s="176"/>
      <c r="M188" s="176"/>
      <c r="N188" s="176"/>
      <c r="O188" s="189"/>
      <c r="P188" s="189"/>
    </row>
    <row r="189" spans="1:16" ht="21.75" customHeight="1" x14ac:dyDescent="0.35">
      <c r="A189" s="277"/>
      <c r="B189" s="278"/>
      <c r="C189" s="279" t="s">
        <v>88</v>
      </c>
      <c r="D189" s="279"/>
      <c r="E189" s="279"/>
      <c r="F189" s="279"/>
      <c r="G189" s="280"/>
      <c r="H189" s="292" t="s">
        <v>89</v>
      </c>
      <c r="I189" s="290">
        <f ca="1">IFERROR(__xludf.DUMMYFUNCTION("IMPORTRANGE(""https://docs.google.com/spreadsheets/d/1IYY_tgx_IHuhSq3AJ5eI5OnqOPBNLWSHKh2a30DoXe8/edit?usp=sharing"",""ยะลา!I114"")"),12000)</f>
        <v>12000</v>
      </c>
      <c r="J189" s="290">
        <f ca="1">IFERROR(__xludf.DUMMYFUNCTION("IMPORTRANGE(""https://docs.google.com/spreadsheets/d/1IYY_tgx_IHuhSq3AJ5eI5OnqOPBNLWSHKh2a30DoXe8/edit?usp=sharing"",""ยะลา!J114"")"),0)</f>
        <v>0</v>
      </c>
      <c r="K189" s="291">
        <f ca="1">IF(I189&gt;0,J189*100/I189,0)</f>
        <v>0</v>
      </c>
      <c r="L189" s="284"/>
      <c r="M189" s="284"/>
      <c r="N189" s="284"/>
      <c r="O189" s="284"/>
      <c r="P189" s="284"/>
    </row>
    <row r="190" spans="1:16" ht="21.75" customHeight="1" x14ac:dyDescent="0.35">
      <c r="A190" s="162"/>
      <c r="B190" s="163"/>
      <c r="C190" s="163" t="s">
        <v>16</v>
      </c>
      <c r="D190" s="164" t="s">
        <v>38</v>
      </c>
      <c r="E190" s="165"/>
      <c r="F190" s="165"/>
      <c r="G190" s="166" t="s">
        <v>39</v>
      </c>
      <c r="H190" s="167" t="s">
        <v>12</v>
      </c>
      <c r="I190" s="168" t="s">
        <v>40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 x14ac:dyDescent="0.35">
      <c r="A191" s="162"/>
      <c r="B191" s="163"/>
      <c r="C191" s="163"/>
      <c r="D191" s="172"/>
      <c r="E191" s="165"/>
      <c r="F191" s="165" t="s">
        <v>40</v>
      </c>
      <c r="G191" s="166" t="s">
        <v>41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 x14ac:dyDescent="0.35">
      <c r="A192" s="162"/>
      <c r="B192" s="163"/>
      <c r="C192" s="163"/>
      <c r="D192" s="172"/>
      <c r="E192" s="165"/>
      <c r="F192" s="165"/>
      <c r="G192" s="177" t="s">
        <v>43</v>
      </c>
      <c r="H192" s="167" t="s">
        <v>12</v>
      </c>
      <c r="I192" s="168"/>
      <c r="J192" s="168"/>
      <c r="K192" s="169"/>
      <c r="L192" s="176"/>
      <c r="M192" s="176"/>
      <c r="N192" s="173"/>
      <c r="O192" s="176"/>
      <c r="P192" s="176"/>
    </row>
    <row r="193" spans="1:16" ht="21.75" customHeight="1" x14ac:dyDescent="0.35">
      <c r="A193" s="183"/>
      <c r="B193" s="184"/>
      <c r="C193" s="163" t="s">
        <v>16</v>
      </c>
      <c r="D193" s="185" t="s">
        <v>44</v>
      </c>
      <c r="E193" s="186"/>
      <c r="F193" s="186"/>
      <c r="G193" s="187"/>
      <c r="H193" s="188"/>
      <c r="I193" s="168"/>
      <c r="J193" s="168"/>
      <c r="K193" s="169"/>
      <c r="L193" s="189"/>
      <c r="M193" s="189"/>
      <c r="N193" s="189"/>
      <c r="O193" s="189"/>
      <c r="P193" s="189"/>
    </row>
    <row r="194" spans="1:16" ht="21.75" customHeight="1" x14ac:dyDescent="0.35">
      <c r="A194" s="183"/>
      <c r="B194" s="184"/>
      <c r="C194" s="184"/>
      <c r="D194" s="190">
        <v>1</v>
      </c>
      <c r="E194" s="191" t="s">
        <v>45</v>
      </c>
      <c r="F194" s="192"/>
      <c r="G194" s="193"/>
      <c r="H194" s="194"/>
      <c r="I194" s="195"/>
      <c r="J194" s="205">
        <f ca="1">IFERROR(__xludf.DUMMYFUNCTION("IMPORTRANGE(""https://docs.google.com/spreadsheets/d/1IYY_tgx_IHuhSq3AJ5eI5OnqOPBNLWSHKh2a30DoXe8/edit?usp=sharing"",""ยะลา!J119"")"),1)</f>
        <v>1</v>
      </c>
      <c r="K194" s="169"/>
      <c r="L194" s="189"/>
      <c r="M194" s="189"/>
      <c r="N194" s="189"/>
      <c r="O194" s="189"/>
      <c r="P194" s="189"/>
    </row>
    <row r="195" spans="1:16" ht="21.75" customHeight="1" x14ac:dyDescent="0.35">
      <c r="A195" s="183"/>
      <c r="B195" s="184"/>
      <c r="C195" s="184"/>
      <c r="D195" s="197">
        <v>2</v>
      </c>
      <c r="E195" s="198" t="s">
        <v>46</v>
      </c>
      <c r="F195" s="199"/>
      <c r="G195" s="200"/>
      <c r="H195" s="194"/>
      <c r="I195" s="195"/>
      <c r="J195" s="196">
        <f ca="1">IFERROR(__xludf.DUMMYFUNCTION("IMPORTRANGE(""https://docs.google.com/spreadsheets/d/1IYY_tgx_IHuhSq3AJ5eI5OnqOPBNLWSHKh2a30DoXe8/edit?usp=sharing"",""ยะลา!J120"")"),0)</f>
        <v>0</v>
      </c>
      <c r="K195" s="169"/>
      <c r="L195" s="189"/>
      <c r="M195" s="189"/>
      <c r="N195" s="189"/>
      <c r="O195" s="189"/>
      <c r="P195" s="189"/>
    </row>
    <row r="196" spans="1:16" ht="21.75" customHeight="1" x14ac:dyDescent="0.35">
      <c r="A196" s="183"/>
      <c r="B196" s="184"/>
      <c r="C196" s="184"/>
      <c r="D196" s="201"/>
      <c r="E196" s="202" t="s">
        <v>47</v>
      </c>
      <c r="F196" s="203"/>
      <c r="G196" s="204"/>
      <c r="H196" s="194"/>
      <c r="I196" s="195"/>
      <c r="J196" s="196">
        <f ca="1">IFERROR(__xludf.DUMMYFUNCTION("IMPORTRANGE(""https://docs.google.com/spreadsheets/d/1IYY_tgx_IHuhSq3AJ5eI5OnqOPBNLWSHKh2a30DoXe8/edit?usp=sharing"",""ยะลา!J121"")"),0)</f>
        <v>0</v>
      </c>
      <c r="K196" s="169"/>
      <c r="L196" s="189"/>
      <c r="M196" s="189"/>
      <c r="N196" s="189"/>
      <c r="O196" s="189"/>
      <c r="P196" s="189"/>
    </row>
    <row r="197" spans="1:16" ht="21.75" customHeight="1" x14ac:dyDescent="0.35">
      <c r="A197" s="183"/>
      <c r="B197" s="184"/>
      <c r="C197" s="184"/>
      <c r="D197" s="201"/>
      <c r="E197" s="202" t="s">
        <v>48</v>
      </c>
      <c r="F197" s="203"/>
      <c r="G197" s="204"/>
      <c r="H197" s="194"/>
      <c r="I197" s="195"/>
      <c r="J197" s="205">
        <f ca="1">IFERROR(__xludf.DUMMYFUNCTION("IMPORTRANGE(""https://docs.google.com/spreadsheets/d/1IYY_tgx_IHuhSq3AJ5eI5OnqOPBNLWSHKh2a30DoXe8/edit?usp=sharing"",""ยะลา!J122"")"),0)</f>
        <v>0</v>
      </c>
      <c r="K197" s="169"/>
      <c r="L197" s="189"/>
      <c r="M197" s="189"/>
      <c r="N197" s="189"/>
      <c r="O197" s="189"/>
      <c r="P197" s="189"/>
    </row>
    <row r="198" spans="1:16" ht="21.75" customHeight="1" x14ac:dyDescent="0.35">
      <c r="A198" s="183"/>
      <c r="B198" s="184"/>
      <c r="C198" s="184"/>
      <c r="D198" s="201"/>
      <c r="E198" s="203"/>
      <c r="F198" s="203" t="s">
        <v>90</v>
      </c>
      <c r="G198" s="204"/>
      <c r="H198" s="188"/>
      <c r="I198" s="195"/>
      <c r="J198" s="195"/>
      <c r="K198" s="169"/>
      <c r="L198" s="189"/>
      <c r="M198" s="189"/>
      <c r="N198" s="189"/>
      <c r="O198" s="189"/>
      <c r="P198" s="189"/>
    </row>
    <row r="199" spans="1:16" ht="21.75" customHeight="1" x14ac:dyDescent="0.35">
      <c r="A199" s="183"/>
      <c r="B199" s="184"/>
      <c r="C199" s="184"/>
      <c r="D199" s="201"/>
      <c r="E199" s="206"/>
      <c r="F199" s="203"/>
      <c r="G199" s="202" t="s">
        <v>91</v>
      </c>
      <c r="H199" s="188" t="s">
        <v>89</v>
      </c>
      <c r="I199" s="195">
        <f ca="1">IFERROR(__xludf.DUMMYFUNCTION("IMPORTRANGE(""https://docs.google.com/spreadsheets/d/1IYY_tgx_IHuhSq3AJ5eI5OnqOPBNLWSHKh2a30DoXe8/edit?usp=sharing"",""ยะลา!I124"")"),12000)</f>
        <v>12000</v>
      </c>
      <c r="J199" s="196">
        <f ca="1">IFERROR(__xludf.DUMMYFUNCTION("IMPORTRANGE(""https://docs.google.com/spreadsheets/d/1IYY_tgx_IHuhSq3AJ5eI5OnqOPBNLWSHKh2a30DoXe8/edit?usp=sharing"",""ยะลา!J124"")"),0)</f>
        <v>0</v>
      </c>
      <c r="K199" s="169">
        <f t="shared" ref="K199:K201" ca="1" si="70">IF(I199&gt;0,J199*100/I199,0)</f>
        <v>0</v>
      </c>
      <c r="L199" s="189"/>
      <c r="M199" s="189"/>
      <c r="N199" s="189"/>
      <c r="O199" s="189"/>
      <c r="P199" s="189"/>
    </row>
    <row r="200" spans="1:16" ht="21.75" customHeight="1" x14ac:dyDescent="0.35">
      <c r="A200" s="183"/>
      <c r="B200" s="184"/>
      <c r="C200" s="184"/>
      <c r="D200" s="201"/>
      <c r="E200" s="206"/>
      <c r="F200" s="203"/>
      <c r="G200" s="202" t="s">
        <v>92</v>
      </c>
      <c r="H200" s="188" t="s">
        <v>89</v>
      </c>
      <c r="I200" s="195">
        <f ca="1">IFERROR(__xludf.DUMMYFUNCTION("IMPORTRANGE(""https://docs.google.com/spreadsheets/d/1IYY_tgx_IHuhSq3AJ5eI5OnqOPBNLWSHKh2a30DoXe8/edit?usp=sharing"",""ยะลา!I125"")"),12000)</f>
        <v>12000</v>
      </c>
      <c r="J200" s="196">
        <f ca="1">IFERROR(__xludf.DUMMYFUNCTION("IMPORTRANGE(""https://docs.google.com/spreadsheets/d/1IYY_tgx_IHuhSq3AJ5eI5OnqOPBNLWSHKh2a30DoXe8/edit?usp=sharing"",""ยะลา!J125"")"),0)</f>
        <v>0</v>
      </c>
      <c r="K200" s="169">
        <f t="shared" ca="1" si="70"/>
        <v>0</v>
      </c>
      <c r="L200" s="176"/>
      <c r="M200" s="176"/>
      <c r="N200" s="173"/>
      <c r="O200" s="176"/>
      <c r="P200" s="176"/>
    </row>
    <row r="201" spans="1:16" ht="21.75" customHeight="1" x14ac:dyDescent="0.35">
      <c r="A201" s="183"/>
      <c r="B201" s="184"/>
      <c r="C201" s="184"/>
      <c r="D201" s="201"/>
      <c r="E201" s="206"/>
      <c r="F201" s="203" t="s">
        <v>93</v>
      </c>
      <c r="G201" s="204"/>
      <c r="H201" s="188" t="s">
        <v>37</v>
      </c>
      <c r="I201" s="195">
        <f ca="1">IFERROR(__xludf.DUMMYFUNCTION("IMPORTRANGE(""https://docs.google.com/spreadsheets/d/1IYY_tgx_IHuhSq3AJ5eI5OnqOPBNLWSHKh2a30DoXe8/edit?usp=sharing"",""ยะลา!I126"")"),0)</f>
        <v>0</v>
      </c>
      <c r="J201" s="196">
        <f ca="1">IFERROR(__xludf.DUMMYFUNCTION("IMPORTRANGE(""https://docs.google.com/spreadsheets/d/1IYY_tgx_IHuhSq3AJ5eI5OnqOPBNLWSHKh2a30DoXe8/edit?usp=sharing"",""ยะลา!J126"")"),0)</f>
        <v>0</v>
      </c>
      <c r="K201" s="169">
        <f t="shared" ca="1" si="70"/>
        <v>0</v>
      </c>
      <c r="L201" s="176"/>
      <c r="M201" s="176"/>
      <c r="N201" s="173"/>
      <c r="O201" s="176"/>
      <c r="P201" s="176"/>
    </row>
    <row r="202" spans="1:16" ht="21.75" customHeight="1" x14ac:dyDescent="0.35">
      <c r="A202" s="183"/>
      <c r="B202" s="184"/>
      <c r="C202" s="184"/>
      <c r="D202" s="201"/>
      <c r="E202" s="202" t="s">
        <v>54</v>
      </c>
      <c r="F202" s="203"/>
      <c r="G202" s="204"/>
      <c r="H202" s="194"/>
      <c r="I202" s="195"/>
      <c r="J202" s="205">
        <f ca="1">IFERROR(__xludf.DUMMYFUNCTION("IMPORTRANGE(""https://docs.google.com/spreadsheets/d/1IYY_tgx_IHuhSq3AJ5eI5OnqOPBNLWSHKh2a30DoXe8/edit?usp=sharing"",""ยะลา!J127"")"),0)</f>
        <v>0</v>
      </c>
      <c r="K202" s="169"/>
      <c r="L202" s="189"/>
      <c r="M202" s="189"/>
      <c r="N202" s="189"/>
      <c r="O202" s="189"/>
      <c r="P202" s="189"/>
    </row>
    <row r="203" spans="1:16" ht="21.75" customHeight="1" x14ac:dyDescent="0.35">
      <c r="A203" s="241"/>
      <c r="B203" s="242"/>
      <c r="C203" s="242"/>
      <c r="D203" s="243">
        <v>3</v>
      </c>
      <c r="E203" s="244" t="s">
        <v>55</v>
      </c>
      <c r="F203" s="245"/>
      <c r="G203" s="246"/>
      <c r="H203" s="247"/>
      <c r="I203" s="248"/>
      <c r="J203" s="293">
        <f ca="1">IFERROR(__xludf.DUMMYFUNCTION("IMPORTRANGE(""https://docs.google.com/spreadsheets/d/1IYY_tgx_IHuhSq3AJ5eI5OnqOPBNLWSHKh2a30DoXe8/edit?usp=sharing"",""ยะลา!J128"")"),0)</f>
        <v>0</v>
      </c>
      <c r="K203" s="294"/>
      <c r="L203" s="252"/>
      <c r="M203" s="252"/>
      <c r="N203" s="252"/>
      <c r="O203" s="252"/>
      <c r="P203" s="252"/>
    </row>
    <row r="204" spans="1:16" ht="21.75" customHeight="1" x14ac:dyDescent="0.35">
      <c r="A204" s="277"/>
      <c r="B204" s="278"/>
      <c r="C204" s="295" t="s">
        <v>94</v>
      </c>
      <c r="D204" s="279"/>
      <c r="E204" s="279"/>
      <c r="F204" s="279"/>
      <c r="G204" s="280"/>
      <c r="H204" s="292" t="s">
        <v>37</v>
      </c>
      <c r="I204" s="290">
        <f ca="1">IFERROR(__xludf.DUMMYFUNCTION("IMPORTRANGE(""https://docs.google.com/spreadsheets/d/1IYY_tgx_IHuhSq3AJ5eI5OnqOPBNLWSHKh2a30DoXe8/edit?usp=sharing"",""ยะลา!I129"")"),0)</f>
        <v>0</v>
      </c>
      <c r="J204" s="290">
        <f ca="1">IFERROR(__xludf.DUMMYFUNCTION("IMPORTRANGE(""https://docs.google.com/spreadsheets/d/1IYY_tgx_IHuhSq3AJ5eI5OnqOPBNLWSHKh2a30DoXe8/edit?usp=sharing"",""ยะลา!J129"")"),0)</f>
        <v>0</v>
      </c>
      <c r="K204" s="291">
        <f ca="1">IF(I204&gt;0,J204*100/I204,0)</f>
        <v>0</v>
      </c>
      <c r="L204" s="284"/>
      <c r="M204" s="284"/>
      <c r="N204" s="284"/>
      <c r="O204" s="284"/>
      <c r="P204" s="284"/>
    </row>
    <row r="205" spans="1:16" ht="21.75" customHeight="1" x14ac:dyDescent="0.35">
      <c r="A205" s="162"/>
      <c r="B205" s="163"/>
      <c r="C205" s="163" t="s">
        <v>16</v>
      </c>
      <c r="D205" s="164" t="s">
        <v>38</v>
      </c>
      <c r="E205" s="165"/>
      <c r="F205" s="165"/>
      <c r="G205" s="166" t="s">
        <v>39</v>
      </c>
      <c r="H205" s="167" t="s">
        <v>12</v>
      </c>
      <c r="I205" s="168" t="s">
        <v>40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 x14ac:dyDescent="0.35">
      <c r="A206" s="162"/>
      <c r="B206" s="163"/>
      <c r="C206" s="163"/>
      <c r="D206" s="172"/>
      <c r="E206" s="165"/>
      <c r="F206" s="165" t="s">
        <v>40</v>
      </c>
      <c r="G206" s="166" t="s">
        <v>41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 x14ac:dyDescent="0.35">
      <c r="A207" s="162"/>
      <c r="B207" s="163"/>
      <c r="C207" s="163"/>
      <c r="D207" s="172"/>
      <c r="E207" s="165"/>
      <c r="F207" s="165"/>
      <c r="G207" s="177" t="s">
        <v>43</v>
      </c>
      <c r="H207" s="167" t="s">
        <v>12</v>
      </c>
      <c r="I207" s="168"/>
      <c r="J207" s="195"/>
      <c r="K207" s="231"/>
      <c r="L207" s="176"/>
      <c r="M207" s="176"/>
      <c r="N207" s="173"/>
      <c r="O207" s="176"/>
      <c r="P207" s="176"/>
    </row>
    <row r="208" spans="1:16" ht="21.75" customHeight="1" x14ac:dyDescent="0.35">
      <c r="A208" s="183"/>
      <c r="B208" s="184"/>
      <c r="C208" s="163" t="s">
        <v>16</v>
      </c>
      <c r="D208" s="185" t="s">
        <v>44</v>
      </c>
      <c r="E208" s="186"/>
      <c r="F208" s="186"/>
      <c r="G208" s="187"/>
      <c r="H208" s="188"/>
      <c r="I208" s="168"/>
      <c r="J208" s="195"/>
      <c r="K208" s="231"/>
      <c r="L208" s="176"/>
      <c r="M208" s="176"/>
      <c r="N208" s="176"/>
      <c r="O208" s="189"/>
      <c r="P208" s="189"/>
    </row>
    <row r="209" spans="1:16" ht="21.75" customHeight="1" x14ac:dyDescent="0.35">
      <c r="A209" s="183"/>
      <c r="B209" s="184"/>
      <c r="C209" s="184"/>
      <c r="D209" s="190">
        <v>1</v>
      </c>
      <c r="E209" s="191" t="s">
        <v>45</v>
      </c>
      <c r="F209" s="192"/>
      <c r="G209" s="193"/>
      <c r="H209" s="194"/>
      <c r="I209" s="195"/>
      <c r="J209" s="195">
        <f ca="1">IFERROR(__xludf.DUMMYFUNCTION("IMPORTRANGE(""https://docs.google.com/spreadsheets/d/1IYY_tgx_IHuhSq3AJ5eI5OnqOPBNLWSHKh2a30DoXe8/edit?usp=sharing"",""ยะลา!J134"")"),0)</f>
        <v>0</v>
      </c>
      <c r="K209" s="231"/>
      <c r="L209" s="176"/>
      <c r="M209" s="176"/>
      <c r="N209" s="176"/>
      <c r="O209" s="189"/>
      <c r="P209" s="189"/>
    </row>
    <row r="210" spans="1:16" ht="21.75" customHeight="1" x14ac:dyDescent="0.35">
      <c r="A210" s="183"/>
      <c r="B210" s="184"/>
      <c r="C210" s="184"/>
      <c r="D210" s="197">
        <v>2</v>
      </c>
      <c r="E210" s="198" t="s">
        <v>46</v>
      </c>
      <c r="F210" s="199"/>
      <c r="G210" s="200"/>
      <c r="H210" s="194"/>
      <c r="I210" s="195"/>
      <c r="J210" s="195">
        <f ca="1">IFERROR(__xludf.DUMMYFUNCTION("IMPORTRANGE(""https://docs.google.com/spreadsheets/d/1IYY_tgx_IHuhSq3AJ5eI5OnqOPBNLWSHKh2a30DoXe8/edit?usp=sharing"",""ยะลา!J135"")"),0)</f>
        <v>0</v>
      </c>
      <c r="K210" s="231"/>
      <c r="L210" s="176"/>
      <c r="M210" s="176"/>
      <c r="N210" s="176"/>
      <c r="O210" s="189"/>
      <c r="P210" s="189"/>
    </row>
    <row r="211" spans="1:16" ht="21.75" customHeight="1" x14ac:dyDescent="0.35">
      <c r="A211" s="183"/>
      <c r="B211" s="184"/>
      <c r="C211" s="184"/>
      <c r="D211" s="201"/>
      <c r="E211" s="202" t="s">
        <v>47</v>
      </c>
      <c r="F211" s="203"/>
      <c r="G211" s="204"/>
      <c r="H211" s="194"/>
      <c r="I211" s="195"/>
      <c r="J211" s="195">
        <f ca="1">IFERROR(__xludf.DUMMYFUNCTION("IMPORTRANGE(""https://docs.google.com/spreadsheets/d/1IYY_tgx_IHuhSq3AJ5eI5OnqOPBNLWSHKh2a30DoXe8/edit?usp=sharing"",""ยะลา!J136"")"),0)</f>
        <v>0</v>
      </c>
      <c r="K211" s="231"/>
      <c r="L211" s="176"/>
      <c r="M211" s="176"/>
      <c r="N211" s="176"/>
      <c r="O211" s="189"/>
      <c r="P211" s="189"/>
    </row>
    <row r="212" spans="1:16" ht="21.75" customHeight="1" x14ac:dyDescent="0.35">
      <c r="A212" s="183"/>
      <c r="B212" s="184"/>
      <c r="C212" s="184"/>
      <c r="D212" s="201"/>
      <c r="E212" s="202" t="s">
        <v>48</v>
      </c>
      <c r="F212" s="203"/>
      <c r="G212" s="204"/>
      <c r="H212" s="194"/>
      <c r="I212" s="195"/>
      <c r="J212" s="195">
        <f ca="1">IFERROR(__xludf.DUMMYFUNCTION("IMPORTRANGE(""https://docs.google.com/spreadsheets/d/1IYY_tgx_IHuhSq3AJ5eI5OnqOPBNLWSHKh2a30DoXe8/edit?usp=sharing"",""ยะลา!J137"")"),0)</f>
        <v>0</v>
      </c>
      <c r="K212" s="231"/>
      <c r="L212" s="176"/>
      <c r="M212" s="176"/>
      <c r="N212" s="176"/>
      <c r="O212" s="189"/>
      <c r="P212" s="189"/>
    </row>
    <row r="213" spans="1:16" ht="21.75" customHeight="1" x14ac:dyDescent="0.35">
      <c r="A213" s="183"/>
      <c r="B213" s="184"/>
      <c r="C213" s="184"/>
      <c r="D213" s="201"/>
      <c r="E213" s="206"/>
      <c r="F213" s="203" t="s">
        <v>95</v>
      </c>
      <c r="G213" s="204"/>
      <c r="H213" s="188" t="s">
        <v>37</v>
      </c>
      <c r="I213" s="195">
        <f ca="1">IFERROR(__xludf.DUMMYFUNCTION("IMPORTRANGE(""https://docs.google.com/spreadsheets/d/1IYY_tgx_IHuhSq3AJ5eI5OnqOPBNLWSHKh2a30DoXe8/edit?usp=sharing"",""ยะลา!I138"")"),0)</f>
        <v>0</v>
      </c>
      <c r="J213" s="211">
        <f ca="1">IFERROR(__xludf.DUMMYFUNCTION("IMPORTRANGE(""https://docs.google.com/spreadsheets/d/1IYY_tgx_IHuhSq3AJ5eI5OnqOPBNLWSHKh2a30DoXe8/edit?usp=sharing"",""ยะลา!J138"")"),0)</f>
        <v>0</v>
      </c>
      <c r="K213" s="231">
        <f ca="1">IF(I213&gt;0,J213*100/I213,0)</f>
        <v>0</v>
      </c>
      <c r="L213" s="176"/>
      <c r="M213" s="176"/>
      <c r="N213" s="173"/>
      <c r="O213" s="176"/>
      <c r="P213" s="176"/>
    </row>
    <row r="214" spans="1:16" ht="21.75" customHeight="1" x14ac:dyDescent="0.35">
      <c r="A214" s="183"/>
      <c r="B214" s="184"/>
      <c r="C214" s="184"/>
      <c r="D214" s="201"/>
      <c r="E214" s="206"/>
      <c r="F214" s="202" t="s">
        <v>53</v>
      </c>
      <c r="G214" s="204"/>
      <c r="H214" s="188"/>
      <c r="I214" s="195"/>
      <c r="J214" s="195"/>
      <c r="K214" s="231"/>
      <c r="L214" s="176"/>
      <c r="M214" s="176"/>
      <c r="N214" s="176"/>
      <c r="O214" s="189"/>
      <c r="P214" s="189"/>
    </row>
    <row r="215" spans="1:16" ht="21.75" customHeight="1" x14ac:dyDescent="0.35">
      <c r="A215" s="183"/>
      <c r="B215" s="184"/>
      <c r="C215" s="184"/>
      <c r="D215" s="201"/>
      <c r="E215" s="206"/>
      <c r="F215" s="203"/>
      <c r="G215" s="233" t="s">
        <v>96</v>
      </c>
      <c r="H215" s="188" t="s">
        <v>37</v>
      </c>
      <c r="I215" s="195">
        <f ca="1">IFERROR(__xludf.DUMMYFUNCTION("IMPORTRANGE(""https://docs.google.com/spreadsheets/d/1IYY_tgx_IHuhSq3AJ5eI5OnqOPBNLWSHKh2a30DoXe8/edit?usp=sharing"",""ยะลา!I140"")"),0)</f>
        <v>0</v>
      </c>
      <c r="J215" s="211">
        <f ca="1">IFERROR(__xludf.DUMMYFUNCTION("IMPORTRANGE(""https://docs.google.com/spreadsheets/d/1IYY_tgx_IHuhSq3AJ5eI5OnqOPBNLWSHKh2a30DoXe8/edit?usp=sharing"",""ยะลา!J140"")"),0)</f>
        <v>0</v>
      </c>
      <c r="K215" s="231">
        <f t="shared" ref="K215:K216" ca="1" si="71">IF(I215&gt;0,J215*100/I215,0)</f>
        <v>0</v>
      </c>
      <c r="L215" s="176"/>
      <c r="M215" s="176"/>
      <c r="N215" s="173"/>
      <c r="O215" s="176"/>
      <c r="P215" s="176"/>
    </row>
    <row r="216" spans="1:16" ht="21.75" customHeight="1" x14ac:dyDescent="0.35">
      <c r="A216" s="183"/>
      <c r="B216" s="184"/>
      <c r="C216" s="184"/>
      <c r="D216" s="201"/>
      <c r="E216" s="206"/>
      <c r="F216" s="203"/>
      <c r="G216" s="233" t="s">
        <v>97</v>
      </c>
      <c r="H216" s="188" t="s">
        <v>59</v>
      </c>
      <c r="I216" s="195">
        <f ca="1">IFERROR(__xludf.DUMMYFUNCTION("IMPORTRANGE(""https://docs.google.com/spreadsheets/d/1IYY_tgx_IHuhSq3AJ5eI5OnqOPBNLWSHKh2a30DoXe8/edit?usp=sharing"",""ยะลา!I141"")"),0)</f>
        <v>0</v>
      </c>
      <c r="J216" s="211">
        <f ca="1">IFERROR(__xludf.DUMMYFUNCTION("IMPORTRANGE(""https://docs.google.com/spreadsheets/d/1IYY_tgx_IHuhSq3AJ5eI5OnqOPBNLWSHKh2a30DoXe8/edit?usp=sharing"",""ยะลา!J141"")"),0)</f>
        <v>0</v>
      </c>
      <c r="K216" s="231">
        <f t="shared" ca="1" si="71"/>
        <v>0</v>
      </c>
      <c r="L216" s="176"/>
      <c r="M216" s="176"/>
      <c r="N216" s="173"/>
      <c r="O216" s="176"/>
      <c r="P216" s="176"/>
    </row>
    <row r="217" spans="1:16" ht="21.75" customHeight="1" x14ac:dyDescent="0.35">
      <c r="A217" s="183"/>
      <c r="B217" s="184"/>
      <c r="C217" s="184"/>
      <c r="D217" s="201"/>
      <c r="E217" s="202" t="s">
        <v>54</v>
      </c>
      <c r="F217" s="203"/>
      <c r="G217" s="204"/>
      <c r="H217" s="194"/>
      <c r="I217" s="195"/>
      <c r="J217" s="195">
        <f ca="1">IFERROR(__xludf.DUMMYFUNCTION("IMPORTRANGE(""https://docs.google.com/spreadsheets/d/1IYY_tgx_IHuhSq3AJ5eI5OnqOPBNLWSHKh2a30DoXe8/edit?usp=sharing"",""ยะลา!J142"")"),0)</f>
        <v>0</v>
      </c>
      <c r="K217" s="231"/>
      <c r="L217" s="176"/>
      <c r="M217" s="176"/>
      <c r="N217" s="176"/>
      <c r="O217" s="189"/>
      <c r="P217" s="189"/>
    </row>
    <row r="218" spans="1:16" ht="21.75" customHeight="1" x14ac:dyDescent="0.35">
      <c r="A218" s="241"/>
      <c r="B218" s="242"/>
      <c r="C218" s="242"/>
      <c r="D218" s="243">
        <v>3</v>
      </c>
      <c r="E218" s="244" t="s">
        <v>55</v>
      </c>
      <c r="F218" s="245"/>
      <c r="G218" s="246"/>
      <c r="H218" s="247"/>
      <c r="I218" s="248"/>
      <c r="J218" s="249">
        <f ca="1">IFERROR(__xludf.DUMMYFUNCTION("IMPORTRANGE(""https://docs.google.com/spreadsheets/d/1IYY_tgx_IHuhSq3AJ5eI5OnqOPBNLWSHKh2a30DoXe8/edit?usp=sharing"",""ยะลา!J143"")"),0)</f>
        <v>0</v>
      </c>
      <c r="K218" s="250"/>
      <c r="L218" s="251"/>
      <c r="M218" s="251"/>
      <c r="N218" s="251"/>
      <c r="O218" s="252"/>
      <c r="P218" s="252"/>
    </row>
    <row r="219" spans="1:16" ht="21.75" customHeight="1" x14ac:dyDescent="0.35">
      <c r="A219" s="269"/>
      <c r="B219" s="270" t="s">
        <v>98</v>
      </c>
      <c r="C219" s="271"/>
      <c r="D219" s="270"/>
      <c r="E219" s="270"/>
      <c r="F219" s="270"/>
      <c r="G219" s="272"/>
      <c r="H219" s="273" t="s">
        <v>37</v>
      </c>
      <c r="I219" s="274">
        <f ca="1">IFERROR(__xludf.DUMMYFUNCTION("IMPORTRANGE(""https://docs.google.com/spreadsheets/d/1IYY_tgx_IHuhSq3AJ5eI5OnqOPBNLWSHKh2a30DoXe8/edit?usp=sharing"",""ยะลา!I144"")"),15)</f>
        <v>15</v>
      </c>
      <c r="J219" s="274">
        <f ca="1">IFERROR(__xludf.DUMMYFUNCTION("IMPORTRANGE(""https://docs.google.com/spreadsheets/d/1IYY_tgx_IHuhSq3AJ5eI5OnqOPBNLWSHKh2a30DoXe8/edit?usp=sharing"",""ยะลา!J144"")"),15)</f>
        <v>15</v>
      </c>
      <c r="K219" s="275">
        <f ca="1">IF(I219&gt;0,J219*100/I219,0)</f>
        <v>100</v>
      </c>
      <c r="L219" s="276"/>
      <c r="M219" s="276"/>
      <c r="N219" s="276"/>
      <c r="O219" s="275"/>
      <c r="P219" s="275"/>
    </row>
    <row r="220" spans="1:16" ht="21.75" customHeight="1" x14ac:dyDescent="0.45">
      <c r="A220" s="150"/>
      <c r="B220" s="151"/>
      <c r="C220" s="152" t="s">
        <v>16</v>
      </c>
      <c r="D220" s="552" t="s">
        <v>17</v>
      </c>
      <c r="E220" s="543"/>
      <c r="F220" s="543"/>
      <c r="G220" s="543"/>
      <c r="H220" s="153" t="s">
        <v>12</v>
      </c>
      <c r="I220" s="168"/>
      <c r="J220" s="168"/>
      <c r="K220" s="169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8"/>
      <c r="J221" s="168"/>
      <c r="K221" s="169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8"/>
      <c r="J222" s="168"/>
      <c r="K222" s="169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5">
      <c r="A223" s="162"/>
      <c r="B223" s="163"/>
      <c r="C223" s="163" t="s">
        <v>16</v>
      </c>
      <c r="D223" s="164" t="s">
        <v>38</v>
      </c>
      <c r="E223" s="165"/>
      <c r="F223" s="165"/>
      <c r="G223" s="166" t="s">
        <v>39</v>
      </c>
      <c r="H223" s="167" t="s">
        <v>12</v>
      </c>
      <c r="I223" s="168" t="s">
        <v>40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 x14ac:dyDescent="0.35">
      <c r="A224" s="162"/>
      <c r="B224" s="163"/>
      <c r="C224" s="163"/>
      <c r="D224" s="172"/>
      <c r="E224" s="165"/>
      <c r="F224" s="165" t="s">
        <v>40</v>
      </c>
      <c r="G224" s="166" t="s">
        <v>41</v>
      </c>
      <c r="H224" s="167" t="s">
        <v>12</v>
      </c>
      <c r="I224" s="168"/>
      <c r="J224" s="168"/>
      <c r="K224" s="169"/>
      <c r="L224" s="173">
        <f ca="1">L225+L226</f>
        <v>21125</v>
      </c>
      <c r="M224" s="174">
        <f ca="1">IFERROR(__xludf.DUMMYFUNCTION("IMPORTRANGE(""https://docs.google.com/spreadsheets/d/1Yj_ptqi66GCucihVvJfMjLAmec39IyEx_6qawtMGysU/edit?usp=sharing"",""สบก!BS90"")"),21125)</f>
        <v>21125</v>
      </c>
      <c r="N224" s="175">
        <f ca="1">IFERROR(__xludf.DUMMYFUNCTION("IMPORTRANGE(""https://docs.google.com/spreadsheets/d/1Yj_ptqi66GCucihVvJfMjLAmec39IyEx_6qawtMGysU/edit?usp=sharing"",""สบก!BT90"")"),21125)</f>
        <v>21125</v>
      </c>
      <c r="O224" s="176">
        <f ca="1">IF(L224&gt;0,N224*100/L224,0)</f>
        <v>100</v>
      </c>
      <c r="P224" s="176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2"/>
      <c r="E225" s="165"/>
      <c r="F225" s="165"/>
      <c r="G225" s="177" t="s">
        <v>42</v>
      </c>
      <c r="H225" s="167" t="s">
        <v>12</v>
      </c>
      <c r="I225" s="168"/>
      <c r="J225" s="168"/>
      <c r="K225" s="169"/>
      <c r="L225" s="174">
        <f ca="1">IFERROR(__xludf.DUMMYFUNCTION("IMPORTRANGE(""https://docs.google.com/spreadsheets/d/1Yj_ptqi66GCucihVvJfMjLAmec39IyEx_6qawtMGysU/edit?usp=sharing"",""สบก!BO90"")"),0)</f>
        <v>0</v>
      </c>
      <c r="M225" s="173"/>
      <c r="N225" s="173"/>
      <c r="O225" s="176"/>
      <c r="P225" s="176"/>
    </row>
    <row r="226" spans="1:16" ht="21.75" customHeight="1" x14ac:dyDescent="0.35">
      <c r="A226" s="162"/>
      <c r="B226" s="163"/>
      <c r="C226" s="163"/>
      <c r="D226" s="172"/>
      <c r="E226" s="165"/>
      <c r="F226" s="165"/>
      <c r="G226" s="177" t="s">
        <v>43</v>
      </c>
      <c r="H226" s="167" t="s">
        <v>12</v>
      </c>
      <c r="I226" s="168"/>
      <c r="J226" s="168"/>
      <c r="K226" s="169"/>
      <c r="L226" s="174">
        <f ca="1">IFERROR(__xludf.DUMMYFUNCTION("IMPORTRANGE(""https://docs.google.com/spreadsheets/d/1Yj_ptqi66GCucihVvJfMjLAmec39IyEx_6qawtMGysU/edit?usp=sharing"",""สบก!BP90"")"),21125)</f>
        <v>21125</v>
      </c>
      <c r="M226" s="173"/>
      <c r="N226" s="173"/>
      <c r="O226" s="176"/>
      <c r="P226" s="176"/>
    </row>
    <row r="227" spans="1:16" ht="21.75" customHeight="1" x14ac:dyDescent="0.45">
      <c r="A227" s="178"/>
      <c r="B227" s="81"/>
      <c r="C227" s="82" t="s">
        <v>16</v>
      </c>
      <c r="D227" s="549" t="s">
        <v>23</v>
      </c>
      <c r="E227" s="545"/>
      <c r="F227" s="89"/>
      <c r="G227" s="83" t="s">
        <v>18</v>
      </c>
      <c r="H227" s="179" t="s">
        <v>12</v>
      </c>
      <c r="I227" s="208"/>
      <c r="J227" s="208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80"/>
      <c r="B228" s="95"/>
      <c r="C228" s="95"/>
      <c r="D228" s="181"/>
      <c r="E228" s="96"/>
      <c r="F228" s="96"/>
      <c r="G228" s="97" t="s">
        <v>19</v>
      </c>
      <c r="H228" s="182" t="s">
        <v>12</v>
      </c>
      <c r="I228" s="208"/>
      <c r="J228" s="208"/>
      <c r="K228" s="296"/>
      <c r="L228" s="91">
        <f ca="1">IFERROR(__xludf.DUMMYFUNCTION("IMPORTRANGE(""https://docs.google.com/spreadsheets/d/1Yj_ptqi66GCucihVvJfMjLAmec39IyEx_6qawtMGysU/edit?usp=sharing"",""สบก!BQ90"")"),0)</f>
        <v>0</v>
      </c>
      <c r="M228" s="101"/>
      <c r="N228" s="91">
        <f ca="1">IFERROR(__xludf.DUMMYFUNCTION("IMPORTRANGE(""https://docs.google.com/spreadsheets/d/1Yj_ptqi66GCucihVvJfMjLAmec39IyEx_6qawtMGysU/edit?usp=sharing"",""สบก!BU90"")"),0)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3"/>
      <c r="B229" s="297"/>
      <c r="C229" s="271" t="s">
        <v>99</v>
      </c>
      <c r="D229" s="270"/>
      <c r="E229" s="270"/>
      <c r="F229" s="270"/>
      <c r="G229" s="272"/>
      <c r="H229" s="273" t="s">
        <v>37</v>
      </c>
      <c r="I229" s="274">
        <f ca="1">IFERROR(__xludf.DUMMYFUNCTION("IMPORTRANGE(""https://docs.google.com/spreadsheets/d/1IYY_tgx_IHuhSq3AJ5eI5OnqOPBNLWSHKh2a30DoXe8/edit?usp=sharing"",""ยะลา!I149"")"),15)</f>
        <v>15</v>
      </c>
      <c r="J229" s="274">
        <f ca="1">IFERROR(__xludf.DUMMYFUNCTION("IMPORTRANGE(""https://docs.google.com/spreadsheets/d/1IYY_tgx_IHuhSq3AJ5eI5OnqOPBNLWSHKh2a30DoXe8/edit?usp=sharing"",""ยะลา!J149"")"),15)</f>
        <v>15</v>
      </c>
      <c r="K229" s="275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3"/>
      <c r="B230" s="184"/>
      <c r="C230" s="163" t="s">
        <v>16</v>
      </c>
      <c r="D230" s="185" t="s">
        <v>44</v>
      </c>
      <c r="E230" s="186"/>
      <c r="F230" s="186"/>
      <c r="G230" s="187"/>
      <c r="H230" s="188"/>
      <c r="I230" s="168"/>
      <c r="J230" s="168"/>
      <c r="K230" s="169"/>
      <c r="L230" s="189"/>
      <c r="M230" s="189"/>
      <c r="N230" s="189"/>
      <c r="O230" s="189"/>
      <c r="P230" s="189"/>
    </row>
    <row r="231" spans="1:16" ht="21.75" customHeight="1" x14ac:dyDescent="0.35">
      <c r="A231" s="183"/>
      <c r="B231" s="184"/>
      <c r="C231" s="184"/>
      <c r="D231" s="190">
        <v>1</v>
      </c>
      <c r="E231" s="191" t="s">
        <v>45</v>
      </c>
      <c r="F231" s="192"/>
      <c r="G231" s="193"/>
      <c r="H231" s="194"/>
      <c r="I231" s="195"/>
      <c r="J231" s="205">
        <f ca="1">IFERROR(__xludf.DUMMYFUNCTION("IMPORTRANGE(""https://docs.google.com/spreadsheets/d/1IYY_tgx_IHuhSq3AJ5eI5OnqOPBNLWSHKh2a30DoXe8/edit?usp=sharing"",""ยะลา!J151"")"),0)</f>
        <v>0</v>
      </c>
      <c r="K231" s="169"/>
      <c r="L231" s="189"/>
      <c r="M231" s="189"/>
      <c r="N231" s="189"/>
      <c r="O231" s="189"/>
      <c r="P231" s="189"/>
    </row>
    <row r="232" spans="1:16" ht="21.75" customHeight="1" x14ac:dyDescent="0.35">
      <c r="A232" s="183"/>
      <c r="B232" s="184"/>
      <c r="C232" s="184"/>
      <c r="D232" s="197">
        <v>2</v>
      </c>
      <c r="E232" s="198" t="s">
        <v>46</v>
      </c>
      <c r="F232" s="199"/>
      <c r="G232" s="200"/>
      <c r="H232" s="194"/>
      <c r="I232" s="195"/>
      <c r="J232" s="196">
        <f ca="1">IFERROR(__xludf.DUMMYFUNCTION("IMPORTRANGE(""https://docs.google.com/spreadsheets/d/1IYY_tgx_IHuhSq3AJ5eI5OnqOPBNLWSHKh2a30DoXe8/edit?usp=sharing"",""ยะลา!J152"")"),1)</f>
        <v>1</v>
      </c>
      <c r="K232" s="169"/>
      <c r="L232" s="189" t="s">
        <v>40</v>
      </c>
      <c r="M232" s="189"/>
      <c r="N232" s="189" t="s">
        <v>40</v>
      </c>
      <c r="O232" s="189"/>
      <c r="P232" s="189"/>
    </row>
    <row r="233" spans="1:16" ht="21.75" customHeight="1" x14ac:dyDescent="0.35">
      <c r="A233" s="183"/>
      <c r="B233" s="184"/>
      <c r="C233" s="184"/>
      <c r="D233" s="201"/>
      <c r="E233" s="202" t="s">
        <v>47</v>
      </c>
      <c r="F233" s="203"/>
      <c r="G233" s="204"/>
      <c r="H233" s="194"/>
      <c r="I233" s="195"/>
      <c r="J233" s="196">
        <f ca="1">IFERROR(__xludf.DUMMYFUNCTION("IMPORTRANGE(""https://docs.google.com/spreadsheets/d/1IYY_tgx_IHuhSq3AJ5eI5OnqOPBNLWSHKh2a30DoXe8/edit?usp=sharing"",""ยะลา!J153"")"),1)</f>
        <v>1</v>
      </c>
      <c r="K233" s="169"/>
      <c r="L233" s="189"/>
      <c r="M233" s="189"/>
      <c r="N233" s="189"/>
      <c r="O233" s="189"/>
      <c r="P233" s="189"/>
    </row>
    <row r="234" spans="1:16" ht="21.75" customHeight="1" x14ac:dyDescent="0.35">
      <c r="A234" s="183"/>
      <c r="B234" s="184"/>
      <c r="C234" s="184"/>
      <c r="D234" s="201"/>
      <c r="E234" s="202" t="s">
        <v>48</v>
      </c>
      <c r="F234" s="203"/>
      <c r="G234" s="204"/>
      <c r="H234" s="194"/>
      <c r="I234" s="195"/>
      <c r="J234" s="205">
        <f ca="1">IFERROR(__xludf.DUMMYFUNCTION("IMPORTRANGE(""https://docs.google.com/spreadsheets/d/1IYY_tgx_IHuhSq3AJ5eI5OnqOPBNLWSHKh2a30DoXe8/edit?usp=sharing"",""ยะลา!J154"")"),1)</f>
        <v>1</v>
      </c>
      <c r="K234" s="169"/>
      <c r="L234" s="189"/>
      <c r="M234" s="189"/>
      <c r="N234" s="189"/>
      <c r="O234" s="189"/>
      <c r="P234" s="189"/>
    </row>
    <row r="235" spans="1:16" ht="21.75" customHeight="1" x14ac:dyDescent="0.35">
      <c r="A235" s="183"/>
      <c r="B235" s="184"/>
      <c r="C235" s="184"/>
      <c r="D235" s="201"/>
      <c r="E235" s="206"/>
      <c r="F235" s="203"/>
      <c r="G235" s="299" t="s">
        <v>70</v>
      </c>
      <c r="H235" s="194" t="s">
        <v>37</v>
      </c>
      <c r="I235" s="195">
        <f ca="1">IFERROR(__xludf.DUMMYFUNCTION("IMPORTRANGE(""https://docs.google.com/spreadsheets/d/1IYY_tgx_IHuhSq3AJ5eI5OnqOPBNLWSHKh2a30DoXe8/edit?usp=sharing"",""ยะลา!I155"")"),15)</f>
        <v>15</v>
      </c>
      <c r="J235" s="196">
        <f ca="1">IFERROR(__xludf.DUMMYFUNCTION("IMPORTRANGE(""https://docs.google.com/spreadsheets/d/1IYY_tgx_IHuhSq3AJ5eI5OnqOPBNLWSHKh2a30DoXe8/edit?usp=sharing"",""ยะลา!J155"")"),15)</f>
        <v>15</v>
      </c>
      <c r="K235" s="169">
        <f ca="1">IF(I235&gt;0,J235*100/I235,0)</f>
        <v>100</v>
      </c>
      <c r="L235" s="189"/>
      <c r="M235" s="189"/>
      <c r="N235" s="189"/>
      <c r="O235" s="189"/>
      <c r="P235" s="189"/>
    </row>
    <row r="236" spans="1:16" ht="21.75" customHeight="1" x14ac:dyDescent="0.35">
      <c r="A236" s="183"/>
      <c r="B236" s="184"/>
      <c r="C236" s="184"/>
      <c r="D236" s="201"/>
      <c r="E236" s="202" t="s">
        <v>54</v>
      </c>
      <c r="F236" s="203"/>
      <c r="G236" s="204"/>
      <c r="H236" s="194"/>
      <c r="I236" s="195"/>
      <c r="J236" s="205">
        <f ca="1">IFERROR(__xludf.DUMMYFUNCTION("IMPORTRANGE(""https://docs.google.com/spreadsheets/d/1IYY_tgx_IHuhSq3AJ5eI5OnqOPBNLWSHKh2a30DoXe8/edit?usp=sharing"",""ยะลา!J156"")"),0)</f>
        <v>0</v>
      </c>
      <c r="K236" s="169"/>
      <c r="L236" s="189"/>
      <c r="M236" s="189"/>
      <c r="N236" s="189"/>
      <c r="O236" s="189"/>
      <c r="P236" s="189"/>
    </row>
    <row r="237" spans="1:16" ht="21.75" customHeight="1" x14ac:dyDescent="0.35">
      <c r="A237" s="183"/>
      <c r="B237" s="184"/>
      <c r="C237" s="184"/>
      <c r="D237" s="213">
        <v>3</v>
      </c>
      <c r="E237" s="214" t="s">
        <v>55</v>
      </c>
      <c r="F237" s="215"/>
      <c r="G237" s="216"/>
      <c r="H237" s="194"/>
      <c r="I237" s="195"/>
      <c r="J237" s="217">
        <f ca="1">IFERROR(__xludf.DUMMYFUNCTION("IMPORTRANGE(""https://docs.google.com/spreadsheets/d/1IYY_tgx_IHuhSq3AJ5eI5OnqOPBNLWSHKh2a30DoXe8/edit?usp=sharing"",""ยะลา!J157"")"),0)</f>
        <v>0</v>
      </c>
      <c r="K237" s="169"/>
      <c r="L237" s="189"/>
      <c r="M237" s="189"/>
      <c r="N237" s="189"/>
      <c r="O237" s="189"/>
      <c r="P237" s="189"/>
    </row>
    <row r="238" spans="1:16" ht="21.75" customHeight="1" x14ac:dyDescent="0.35">
      <c r="A238" s="183"/>
      <c r="B238" s="184"/>
      <c r="C238" s="271" t="s">
        <v>100</v>
      </c>
      <c r="D238" s="300"/>
      <c r="E238" s="270"/>
      <c r="F238" s="270"/>
      <c r="G238" s="272"/>
      <c r="H238" s="273" t="s">
        <v>37</v>
      </c>
      <c r="I238" s="274">
        <f ca="1">IFERROR(__xludf.DUMMYFUNCTION("IMPORTRANGE(""https://docs.google.com/spreadsheets/d/1IYY_tgx_IHuhSq3AJ5eI5OnqOPBNLWSHKh2a30DoXe8/edit?usp=sharing"",""ยะลา!I158"")"),0)</f>
        <v>0</v>
      </c>
      <c r="J238" s="274">
        <f ca="1">IFERROR(__xludf.DUMMYFUNCTION("IMPORTRANGE(""https://docs.google.com/spreadsheets/d/1IYY_tgx_IHuhSq3AJ5eI5OnqOPBNLWSHKh2a30DoXe8/edit?usp=sharing"",""ยะลา!J158"")"),0)</f>
        <v>0</v>
      </c>
      <c r="K238" s="275">
        <f ca="1">IF(I238&gt;0,J238*100/I238,0)</f>
        <v>0</v>
      </c>
      <c r="L238" s="189"/>
      <c r="M238" s="189"/>
      <c r="N238" s="189"/>
      <c r="O238" s="189"/>
      <c r="P238" s="189"/>
    </row>
    <row r="239" spans="1:16" ht="21.75" customHeight="1" x14ac:dyDescent="0.35">
      <c r="A239" s="183"/>
      <c r="B239" s="184"/>
      <c r="C239" s="163" t="s">
        <v>16</v>
      </c>
      <c r="D239" s="185" t="s">
        <v>44</v>
      </c>
      <c r="E239" s="186"/>
      <c r="F239" s="186"/>
      <c r="G239" s="187"/>
      <c r="H239" s="188"/>
      <c r="I239" s="168"/>
      <c r="J239" s="168"/>
      <c r="K239" s="169"/>
      <c r="L239" s="189"/>
      <c r="M239" s="189"/>
      <c r="N239" s="189"/>
      <c r="O239" s="189"/>
      <c r="P239" s="189"/>
    </row>
    <row r="240" spans="1:16" ht="21.75" customHeight="1" x14ac:dyDescent="0.35">
      <c r="A240" s="183"/>
      <c r="B240" s="184"/>
      <c r="C240" s="184"/>
      <c r="D240" s="190">
        <v>1</v>
      </c>
      <c r="E240" s="191" t="s">
        <v>45</v>
      </c>
      <c r="F240" s="192"/>
      <c r="G240" s="193"/>
      <c r="H240" s="194"/>
      <c r="I240" s="195"/>
      <c r="J240" s="195" t="str">
        <f ca="1">IFERROR(__xludf.DUMMYFUNCTION("IMPORTRANGE(""https://docs.google.com/spreadsheets/d/1IYY_tgx_IHuhSq3AJ5eI5OnqOPBNLWSHKh2a30DoXe8/edit?usp=sharing"",""ยะลา!J159"")"),"")</f>
        <v/>
      </c>
      <c r="K240" s="169"/>
      <c r="L240" s="189"/>
      <c r="M240" s="189"/>
      <c r="N240" s="189"/>
      <c r="O240" s="189"/>
      <c r="P240" s="189"/>
    </row>
    <row r="241" spans="1:16" ht="21.75" customHeight="1" x14ac:dyDescent="0.35">
      <c r="A241" s="183"/>
      <c r="B241" s="184"/>
      <c r="C241" s="184"/>
      <c r="D241" s="197">
        <v>2</v>
      </c>
      <c r="E241" s="198" t="s">
        <v>46</v>
      </c>
      <c r="F241" s="199"/>
      <c r="G241" s="200"/>
      <c r="H241" s="194"/>
      <c r="I241" s="195"/>
      <c r="J241" s="195">
        <f ca="1">IFERROR(__xludf.DUMMYFUNCTION("IMPORTRANGE(""https://docs.google.com/spreadsheets/d/1IYY_tgx_IHuhSq3AJ5eI5OnqOPBNLWSHKh2a30DoXe8/edit?usp=sharing"",""ยะลา!J161"")"),0)</f>
        <v>0</v>
      </c>
      <c r="K241" s="169"/>
      <c r="L241" s="189" t="s">
        <v>40</v>
      </c>
      <c r="M241" s="189"/>
      <c r="N241" s="189" t="s">
        <v>40</v>
      </c>
      <c r="O241" s="189"/>
      <c r="P241" s="189"/>
    </row>
    <row r="242" spans="1:16" ht="21.75" customHeight="1" x14ac:dyDescent="0.35">
      <c r="A242" s="183"/>
      <c r="B242" s="184"/>
      <c r="C242" s="184"/>
      <c r="D242" s="201"/>
      <c r="E242" s="202" t="s">
        <v>47</v>
      </c>
      <c r="F242" s="203"/>
      <c r="G242" s="204"/>
      <c r="H242" s="194"/>
      <c r="I242" s="195"/>
      <c r="J242" s="195">
        <f ca="1">IFERROR(__xludf.DUMMYFUNCTION("IMPORTRANGE(""https://docs.google.com/spreadsheets/d/1IYY_tgx_IHuhSq3AJ5eI5OnqOPBNLWSHKh2a30DoXe8/edit?usp=sharing"",""ยะลา!J162"")"),0)</f>
        <v>0</v>
      </c>
      <c r="K242" s="169"/>
      <c r="L242" s="189"/>
      <c r="M242" s="189"/>
      <c r="N242" s="189"/>
      <c r="O242" s="189"/>
      <c r="P242" s="189"/>
    </row>
    <row r="243" spans="1:16" ht="21.75" customHeight="1" x14ac:dyDescent="0.35">
      <c r="A243" s="183"/>
      <c r="B243" s="184"/>
      <c r="C243" s="184"/>
      <c r="D243" s="201"/>
      <c r="E243" s="202" t="s">
        <v>48</v>
      </c>
      <c r="F243" s="203"/>
      <c r="G243" s="204"/>
      <c r="H243" s="194"/>
      <c r="I243" s="195"/>
      <c r="J243" s="195">
        <f ca="1">IFERROR(__xludf.DUMMYFUNCTION("IMPORTRANGE(""https://docs.google.com/spreadsheets/d/1IYY_tgx_IHuhSq3AJ5eI5OnqOPBNLWSHKh2a30DoXe8/edit?usp=sharing"",""ยะลา!J163"")"),0)</f>
        <v>0</v>
      </c>
      <c r="K243" s="169"/>
      <c r="L243" s="189"/>
      <c r="M243" s="189"/>
      <c r="N243" s="189"/>
      <c r="O243" s="189"/>
      <c r="P243" s="189"/>
    </row>
    <row r="244" spans="1:16" ht="21.75" customHeight="1" x14ac:dyDescent="0.35">
      <c r="A244" s="183"/>
      <c r="B244" s="184"/>
      <c r="C244" s="184"/>
      <c r="D244" s="201"/>
      <c r="E244" s="203"/>
      <c r="F244" s="202" t="s">
        <v>101</v>
      </c>
      <c r="G244" s="203"/>
      <c r="H244" s="194" t="s">
        <v>37</v>
      </c>
      <c r="I244" s="211">
        <f ca="1">IFERROR(__xludf.DUMMYFUNCTION("IMPORTRANGE(""https://docs.google.com/spreadsheets/d/1IYY_tgx_IHuhSq3AJ5eI5OnqOPBNLWSHKh2a30DoXe8/edit?usp=sharing"",""ยะลา!I164"")"),0)</f>
        <v>0</v>
      </c>
      <c r="J244" s="195">
        <f ca="1">IFERROR(__xludf.DUMMYFUNCTION("IMPORTRANGE(""https://docs.google.com/spreadsheets/d/1IYY_tgx_IHuhSq3AJ5eI5OnqOPBNLWSHKh2a30DoXe8/edit?usp=sharing"",""ยะลา!J164"")"),0)</f>
        <v>0</v>
      </c>
      <c r="K244" s="169">
        <f ca="1">IF(I244&gt;0,J244*100/I244,0)</f>
        <v>0</v>
      </c>
      <c r="L244" s="189"/>
      <c r="M244" s="189"/>
      <c r="N244" s="189"/>
      <c r="O244" s="189"/>
      <c r="P244" s="189"/>
    </row>
    <row r="245" spans="1:16" ht="21.75" customHeight="1" x14ac:dyDescent="0.35">
      <c r="A245" s="183"/>
      <c r="B245" s="184"/>
      <c r="C245" s="184"/>
      <c r="D245" s="201"/>
      <c r="E245" s="202" t="s">
        <v>54</v>
      </c>
      <c r="F245" s="203"/>
      <c r="G245" s="204"/>
      <c r="H245" s="194"/>
      <c r="I245" s="195"/>
      <c r="J245" s="195">
        <f ca="1">IFERROR(__xludf.DUMMYFUNCTION("IMPORTRANGE(""https://docs.google.com/spreadsheets/d/1IYY_tgx_IHuhSq3AJ5eI5OnqOPBNLWSHKh2a30DoXe8/edit?usp=sharing"",""ยะลา!J165"")"),0)</f>
        <v>0</v>
      </c>
      <c r="K245" s="169"/>
      <c r="L245" s="189"/>
      <c r="M245" s="189"/>
      <c r="N245" s="189"/>
      <c r="O245" s="189"/>
      <c r="P245" s="189"/>
    </row>
    <row r="246" spans="1:16" ht="21.75" customHeight="1" x14ac:dyDescent="0.35">
      <c r="A246" s="241"/>
      <c r="B246" s="242"/>
      <c r="C246" s="242"/>
      <c r="D246" s="243">
        <v>3</v>
      </c>
      <c r="E246" s="244" t="s">
        <v>55</v>
      </c>
      <c r="F246" s="245"/>
      <c r="G246" s="246"/>
      <c r="H246" s="247"/>
      <c r="I246" s="248"/>
      <c r="J246" s="249">
        <f ca="1">IFERROR(__xludf.DUMMYFUNCTION("IMPORTRANGE(""https://docs.google.com/spreadsheets/d/1IYY_tgx_IHuhSq3AJ5eI5OnqOPBNLWSHKh2a30DoXe8/edit?usp=sharing"",""ยะลา!J166"")"),0)</f>
        <v>0</v>
      </c>
      <c r="K246" s="294"/>
      <c r="L246" s="252"/>
      <c r="M246" s="252"/>
      <c r="N246" s="252"/>
      <c r="O246" s="252"/>
      <c r="P246" s="252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IFERROR(__xludf.DUMMYFUNCTION("IMPORTRANGE(""https://docs.google.com/spreadsheets/d/1IYY_tgx_IHuhSq3AJ5eI5OnqOPBNLWSHKh2a30DoXe8/edit?usp=sharing"",""ยะลา!I169"")"),0)</f>
        <v>0</v>
      </c>
      <c r="J249" s="322">
        <f ca="1">IFERROR(__xludf.DUMMYFUNCTION("IMPORTRANGE(""https://docs.google.com/spreadsheets/d/1IYY_tgx_IHuhSq3AJ5eI5OnqOPBNLWSHKh2a30DoXe8/edit?usp=sharing"",""ยะลา!J169"")"),0)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52" t="s">
        <v>17</v>
      </c>
      <c r="E250" s="543"/>
      <c r="F250" s="543"/>
      <c r="G250" s="543"/>
      <c r="H250" s="153" t="s">
        <v>12</v>
      </c>
      <c r="I250" s="168"/>
      <c r="J250" s="168"/>
      <c r="K250" s="169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8"/>
      <c r="J251" s="168"/>
      <c r="K251" s="169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8"/>
      <c r="J252" s="168"/>
      <c r="K252" s="169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5">
      <c r="A253" s="162"/>
      <c r="B253" s="163"/>
      <c r="C253" s="163" t="s">
        <v>16</v>
      </c>
      <c r="D253" s="164" t="s">
        <v>38</v>
      </c>
      <c r="E253" s="165"/>
      <c r="F253" s="165"/>
      <c r="G253" s="166" t="s">
        <v>39</v>
      </c>
      <c r="H253" s="167" t="s">
        <v>12</v>
      </c>
      <c r="I253" s="168" t="s">
        <v>40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 x14ac:dyDescent="0.35">
      <c r="A254" s="162"/>
      <c r="B254" s="163"/>
      <c r="C254" s="163"/>
      <c r="D254" s="172"/>
      <c r="E254" s="165"/>
      <c r="F254" s="165" t="s">
        <v>40</v>
      </c>
      <c r="G254" s="166" t="s">
        <v>41</v>
      </c>
      <c r="H254" s="167" t="s">
        <v>12</v>
      </c>
      <c r="I254" s="168"/>
      <c r="J254" s="168"/>
      <c r="K254" s="169"/>
      <c r="L254" s="173">
        <f ca="1">L255+L256</f>
        <v>0</v>
      </c>
      <c r="M254" s="174">
        <f ca="1">IFERROR(__xludf.DUMMYFUNCTION("IMPORTRANGE(""https://docs.google.com/spreadsheets/d/1Yj_ptqi66GCucihVvJfMjLAmec39IyEx_6qawtMGysU/edit?usp=sharing"",""สบก!CB90"")"),0)</f>
        <v>0</v>
      </c>
      <c r="N254" s="175">
        <f ca="1">IFERROR(__xludf.DUMMYFUNCTION("IMPORTRANGE(""https://docs.google.com/spreadsheets/d/1Yj_ptqi66GCucihVvJfMjLAmec39IyEx_6qawtMGysU/edit?usp=sharing"",""สบก!CC90"")"),0)</f>
        <v>0</v>
      </c>
      <c r="O254" s="176">
        <f ca="1">IF(L254&gt;0,N254*100/L254,0)</f>
        <v>0</v>
      </c>
      <c r="P254" s="176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2"/>
      <c r="E255" s="165"/>
      <c r="F255" s="165"/>
      <c r="G255" s="177" t="s">
        <v>42</v>
      </c>
      <c r="H255" s="167" t="s">
        <v>12</v>
      </c>
      <c r="I255" s="168"/>
      <c r="J255" s="168"/>
      <c r="K255" s="169"/>
      <c r="L255" s="174">
        <f ca="1">IFERROR(__xludf.DUMMYFUNCTION("IMPORTRANGE(""https://docs.google.com/spreadsheets/d/1Yj_ptqi66GCucihVvJfMjLAmec39IyEx_6qawtMGysU/edit?usp=sharing"",""สบก!BX90"")"),0)</f>
        <v>0</v>
      </c>
      <c r="M255" s="173"/>
      <c r="N255" s="173"/>
      <c r="O255" s="176"/>
      <c r="P255" s="176"/>
    </row>
    <row r="256" spans="1:16" ht="21.75" customHeight="1" x14ac:dyDescent="0.35">
      <c r="A256" s="162"/>
      <c r="B256" s="163"/>
      <c r="C256" s="163"/>
      <c r="D256" s="172"/>
      <c r="E256" s="165"/>
      <c r="F256" s="165"/>
      <c r="G256" s="177" t="s">
        <v>43</v>
      </c>
      <c r="H256" s="167" t="s">
        <v>12</v>
      </c>
      <c r="I256" s="168"/>
      <c r="J256" s="168"/>
      <c r="K256" s="169"/>
      <c r="L256" s="174">
        <f ca="1">IFERROR(__xludf.DUMMYFUNCTION("IMPORTRANGE(""https://docs.google.com/spreadsheets/d/1Yj_ptqi66GCucihVvJfMjLAmec39IyEx_6qawtMGysU/edit?usp=sharing"",""สบก!BY90"")"),0)</f>
        <v>0</v>
      </c>
      <c r="M256" s="173"/>
      <c r="N256" s="173"/>
      <c r="O256" s="176"/>
      <c r="P256" s="176"/>
    </row>
    <row r="257" spans="1:16" ht="21.75" customHeight="1" x14ac:dyDescent="0.45">
      <c r="A257" s="178"/>
      <c r="B257" s="81"/>
      <c r="C257" s="82" t="s">
        <v>16</v>
      </c>
      <c r="D257" s="549" t="s">
        <v>23</v>
      </c>
      <c r="E257" s="545"/>
      <c r="F257" s="89"/>
      <c r="G257" s="83" t="s">
        <v>18</v>
      </c>
      <c r="H257" s="179" t="s">
        <v>12</v>
      </c>
      <c r="I257" s="168"/>
      <c r="J257" s="168"/>
      <c r="K257" s="169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80"/>
      <c r="B258" s="95"/>
      <c r="C258" s="95"/>
      <c r="D258" s="181"/>
      <c r="E258" s="96"/>
      <c r="F258" s="96"/>
      <c r="G258" s="97" t="s">
        <v>19</v>
      </c>
      <c r="H258" s="182" t="s">
        <v>12</v>
      </c>
      <c r="I258" s="168"/>
      <c r="J258" s="168"/>
      <c r="K258" s="169"/>
      <c r="L258" s="91">
        <f ca="1">IFERROR(__xludf.DUMMYFUNCTION("IMPORTRANGE(""https://docs.google.com/spreadsheets/d/1Yj_ptqi66GCucihVvJfMjLAmec39IyEx_6qawtMGysU/edit?usp=sharing"",""สบก!BZ90"")"),0)</f>
        <v>0</v>
      </c>
      <c r="M258" s="101"/>
      <c r="N258" s="91">
        <f ca="1">IFERROR(__xludf.DUMMYFUNCTION("IMPORTRANGE(""https://docs.google.com/spreadsheets/d/1Yj_ptqi66GCucihVvJfMjLAmec39IyEx_6qawtMGysU/edit?usp=sharing"",""สบก!CD90"")"),0)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3"/>
      <c r="B259" s="184"/>
      <c r="C259" s="163" t="s">
        <v>16</v>
      </c>
      <c r="D259" s="185" t="s">
        <v>44</v>
      </c>
      <c r="E259" s="186"/>
      <c r="F259" s="186"/>
      <c r="G259" s="187"/>
      <c r="H259" s="188"/>
      <c r="I259" s="168"/>
      <c r="J259" s="168"/>
      <c r="K259" s="169"/>
      <c r="L259" s="189"/>
      <c r="M259" s="189"/>
      <c r="N259" s="189"/>
      <c r="O259" s="189"/>
      <c r="P259" s="189"/>
    </row>
    <row r="260" spans="1:16" ht="21.75" customHeight="1" x14ac:dyDescent="0.35">
      <c r="A260" s="183"/>
      <c r="B260" s="184"/>
      <c r="C260" s="184"/>
      <c r="D260" s="190">
        <v>1</v>
      </c>
      <c r="E260" s="191" t="s">
        <v>45</v>
      </c>
      <c r="F260" s="192"/>
      <c r="G260" s="193"/>
      <c r="H260" s="194"/>
      <c r="I260" s="195"/>
      <c r="J260" s="196">
        <f ca="1">IFERROR(__xludf.DUMMYFUNCTION("IMPORTRANGE(""https://docs.google.com/spreadsheets/d/1IYY_tgx_IHuhSq3AJ5eI5OnqOPBNLWSHKh2a30DoXe8/edit?usp=sharing"",""ยะลา!J175"")"),0)</f>
        <v>0</v>
      </c>
      <c r="K260" s="169"/>
      <c r="L260" s="189"/>
      <c r="M260" s="189"/>
      <c r="N260" s="189"/>
      <c r="O260" s="189"/>
      <c r="P260" s="189"/>
    </row>
    <row r="261" spans="1:16" ht="21.75" customHeight="1" x14ac:dyDescent="0.35">
      <c r="A261" s="183"/>
      <c r="B261" s="184"/>
      <c r="C261" s="184"/>
      <c r="D261" s="197">
        <v>2</v>
      </c>
      <c r="E261" s="198" t="s">
        <v>46</v>
      </c>
      <c r="F261" s="199"/>
      <c r="G261" s="200"/>
      <c r="H261" s="194"/>
      <c r="I261" s="195"/>
      <c r="J261" s="205">
        <f ca="1">IFERROR(__xludf.DUMMYFUNCTION("IMPORTRANGE(""https://docs.google.com/spreadsheets/d/1IYY_tgx_IHuhSq3AJ5eI5OnqOPBNLWSHKh2a30DoXe8/edit?usp=sharing"",""ยะลา!J176"")"),0)</f>
        <v>0</v>
      </c>
      <c r="K261" s="169"/>
      <c r="L261" s="189" t="s">
        <v>40</v>
      </c>
      <c r="M261" s="189"/>
      <c r="N261" s="189" t="s">
        <v>40</v>
      </c>
      <c r="O261" s="189"/>
      <c r="P261" s="189"/>
    </row>
    <row r="262" spans="1:16" ht="21.75" customHeight="1" x14ac:dyDescent="0.35">
      <c r="A262" s="183"/>
      <c r="B262" s="184"/>
      <c r="C262" s="184"/>
      <c r="D262" s="201"/>
      <c r="E262" s="202" t="s">
        <v>47</v>
      </c>
      <c r="F262" s="203"/>
      <c r="G262" s="204"/>
      <c r="H262" s="194"/>
      <c r="I262" s="195"/>
      <c r="J262" s="205">
        <f ca="1">IFERROR(__xludf.DUMMYFUNCTION("IMPORTRANGE(""https://docs.google.com/spreadsheets/d/1IYY_tgx_IHuhSq3AJ5eI5OnqOPBNLWSHKh2a30DoXe8/edit?usp=sharing"",""ยะลา!J177"")"),0)</f>
        <v>0</v>
      </c>
      <c r="K262" s="169"/>
      <c r="L262" s="189"/>
      <c r="M262" s="189"/>
      <c r="N262" s="189"/>
      <c r="O262" s="189"/>
      <c r="P262" s="189"/>
    </row>
    <row r="263" spans="1:16" ht="21.75" customHeight="1" x14ac:dyDescent="0.35">
      <c r="A263" s="183"/>
      <c r="B263" s="184"/>
      <c r="C263" s="184"/>
      <c r="D263" s="201"/>
      <c r="E263" s="202" t="s">
        <v>48</v>
      </c>
      <c r="F263" s="203"/>
      <c r="G263" s="204"/>
      <c r="H263" s="194"/>
      <c r="I263" s="195"/>
      <c r="J263" s="205">
        <f ca="1">IFERROR(__xludf.DUMMYFUNCTION("IMPORTRANGE(""https://docs.google.com/spreadsheets/d/1IYY_tgx_IHuhSq3AJ5eI5OnqOPBNLWSHKh2a30DoXe8/edit?usp=sharing"",""ยะลา!J178"")"),0)</f>
        <v>0</v>
      </c>
      <c r="K263" s="169"/>
      <c r="L263" s="189"/>
      <c r="M263" s="189"/>
      <c r="N263" s="189"/>
      <c r="O263" s="189"/>
      <c r="P263" s="189"/>
    </row>
    <row r="264" spans="1:16" ht="21.75" customHeight="1" x14ac:dyDescent="0.35">
      <c r="A264" s="183"/>
      <c r="B264" s="184"/>
      <c r="C264" s="184"/>
      <c r="D264" s="201"/>
      <c r="E264" s="206"/>
      <c r="F264" s="202" t="s">
        <v>105</v>
      </c>
      <c r="G264" s="204"/>
      <c r="H264" s="188" t="s">
        <v>59</v>
      </c>
      <c r="I264" s="195">
        <f ca="1">IFERROR(__xludf.DUMMYFUNCTION("IMPORTRANGE(""https://docs.google.com/spreadsheets/d/1IYY_tgx_IHuhSq3AJ5eI5OnqOPBNLWSHKh2a30DoXe8/edit?usp=sharing"",""ยะลา!I179"")"),0)</f>
        <v>0</v>
      </c>
      <c r="J264" s="196">
        <f ca="1">IFERROR(__xludf.DUMMYFUNCTION("IMPORTRANGE(""https://docs.google.com/spreadsheets/d/1IYY_tgx_IHuhSq3AJ5eI5OnqOPBNLWSHKh2a30DoXe8/edit?usp=sharing"",""ยะลา!J179"")"),0)</f>
        <v>0</v>
      </c>
      <c r="K264" s="169">
        <f t="shared" ref="K264:K267" ca="1" si="82">IF(I264&gt;0,J264*100/I264,0)</f>
        <v>0</v>
      </c>
      <c r="L264" s="189"/>
      <c r="M264" s="189"/>
      <c r="N264" s="189"/>
      <c r="O264" s="189"/>
      <c r="P264" s="189"/>
    </row>
    <row r="265" spans="1:16" ht="21.75" customHeight="1" x14ac:dyDescent="0.35">
      <c r="A265" s="183"/>
      <c r="B265" s="184"/>
      <c r="C265" s="184"/>
      <c r="D265" s="201"/>
      <c r="E265" s="206"/>
      <c r="F265" s="202" t="s">
        <v>106</v>
      </c>
      <c r="G265" s="204"/>
      <c r="H265" s="188" t="s">
        <v>37</v>
      </c>
      <c r="I265" s="195">
        <f ca="1">IFERROR(__xludf.DUMMYFUNCTION("IMPORTRANGE(""https://docs.google.com/spreadsheets/d/1IYY_tgx_IHuhSq3AJ5eI5OnqOPBNLWSHKh2a30DoXe8/edit?usp=sharing"",""ยะลา!I180"")"),0)</f>
        <v>0</v>
      </c>
      <c r="J265" s="196">
        <f ca="1">IFERROR(__xludf.DUMMYFUNCTION("IMPORTRANGE(""https://docs.google.com/spreadsheets/d/1IYY_tgx_IHuhSq3AJ5eI5OnqOPBNLWSHKh2a30DoXe8/edit?usp=sharing"",""ยะลา!J180"")"),0)</f>
        <v>0</v>
      </c>
      <c r="K265" s="169">
        <f t="shared" ca="1" si="82"/>
        <v>0</v>
      </c>
      <c r="L265" s="189"/>
      <c r="M265" s="189"/>
      <c r="N265" s="189"/>
      <c r="O265" s="189"/>
      <c r="P265" s="189"/>
    </row>
    <row r="266" spans="1:16" ht="21.75" customHeight="1" x14ac:dyDescent="0.35">
      <c r="A266" s="183"/>
      <c r="B266" s="184"/>
      <c r="C266" s="184"/>
      <c r="D266" s="201"/>
      <c r="E266" s="206"/>
      <c r="F266" s="202" t="s">
        <v>107</v>
      </c>
      <c r="G266" s="204"/>
      <c r="H266" s="188" t="s">
        <v>37</v>
      </c>
      <c r="I266" s="195">
        <f ca="1">IFERROR(__xludf.DUMMYFUNCTION("IMPORTRANGE(""https://docs.google.com/spreadsheets/d/1IYY_tgx_IHuhSq3AJ5eI5OnqOPBNLWSHKh2a30DoXe8/edit?usp=sharing"",""ยะลา!I181"")"),0)</f>
        <v>0</v>
      </c>
      <c r="J266" s="196">
        <f ca="1">IFERROR(__xludf.DUMMYFUNCTION("IMPORTRANGE(""https://docs.google.com/spreadsheets/d/1IYY_tgx_IHuhSq3AJ5eI5OnqOPBNLWSHKh2a30DoXe8/edit?usp=sharing"",""ยะลา!J181"")"),0)</f>
        <v>0</v>
      </c>
      <c r="K266" s="169">
        <f t="shared" ca="1" si="82"/>
        <v>0</v>
      </c>
      <c r="L266" s="189"/>
      <c r="M266" s="189"/>
      <c r="N266" s="189"/>
      <c r="O266" s="189"/>
      <c r="P266" s="189"/>
    </row>
    <row r="267" spans="1:16" ht="21.75" customHeight="1" x14ac:dyDescent="0.35">
      <c r="A267" s="183"/>
      <c r="B267" s="184"/>
      <c r="C267" s="184"/>
      <c r="D267" s="201"/>
      <c r="E267" s="206"/>
      <c r="F267" s="202" t="s">
        <v>108</v>
      </c>
      <c r="G267" s="204"/>
      <c r="H267" s="188" t="s">
        <v>37</v>
      </c>
      <c r="I267" s="195">
        <f ca="1">IFERROR(__xludf.DUMMYFUNCTION("IMPORTRANGE(""https://docs.google.com/spreadsheets/d/1IYY_tgx_IHuhSq3AJ5eI5OnqOPBNLWSHKh2a30DoXe8/edit?usp=sharing"",""ยะลา!I182"")"),0)</f>
        <v>0</v>
      </c>
      <c r="J267" s="196">
        <f ca="1">IFERROR(__xludf.DUMMYFUNCTION("IMPORTRANGE(""https://docs.google.com/spreadsheets/d/1IYY_tgx_IHuhSq3AJ5eI5OnqOPBNLWSHKh2a30DoXe8/edit?usp=sharing"",""ยะลา!J182"")"),0)</f>
        <v>0</v>
      </c>
      <c r="K267" s="169">
        <f t="shared" ca="1" si="82"/>
        <v>0</v>
      </c>
      <c r="L267" s="189"/>
      <c r="M267" s="189"/>
      <c r="N267" s="189"/>
      <c r="O267" s="189"/>
      <c r="P267" s="189"/>
    </row>
    <row r="268" spans="1:16" ht="21.75" customHeight="1" x14ac:dyDescent="0.35">
      <c r="A268" s="183"/>
      <c r="B268" s="184"/>
      <c r="C268" s="184"/>
      <c r="D268" s="201"/>
      <c r="E268" s="202" t="s">
        <v>54</v>
      </c>
      <c r="F268" s="203"/>
      <c r="G268" s="204"/>
      <c r="H268" s="194"/>
      <c r="I268" s="195"/>
      <c r="J268" s="205">
        <f ca="1">IFERROR(__xludf.DUMMYFUNCTION("IMPORTRANGE(""https://docs.google.com/spreadsheets/d/1IYY_tgx_IHuhSq3AJ5eI5OnqOPBNLWSHKh2a30DoXe8/edit?usp=sharing"",""ยะลา!J183"")"),0)</f>
        <v>0</v>
      </c>
      <c r="K268" s="169"/>
      <c r="L268" s="189"/>
      <c r="M268" s="189"/>
      <c r="N268" s="189"/>
      <c r="O268" s="189"/>
      <c r="P268" s="189"/>
    </row>
    <row r="269" spans="1:16" ht="21.75" customHeight="1" x14ac:dyDescent="0.35">
      <c r="A269" s="241"/>
      <c r="B269" s="242"/>
      <c r="C269" s="242"/>
      <c r="D269" s="243">
        <v>3</v>
      </c>
      <c r="E269" s="244" t="s">
        <v>55</v>
      </c>
      <c r="F269" s="245"/>
      <c r="G269" s="246"/>
      <c r="H269" s="247"/>
      <c r="I269" s="248"/>
      <c r="J269" s="293">
        <f ca="1">IFERROR(__xludf.DUMMYFUNCTION("IMPORTRANGE(""https://docs.google.com/spreadsheets/d/1IYY_tgx_IHuhSq3AJ5eI5OnqOPBNLWSHKh2a30DoXe8/edit?usp=sharing"",""ยะลา!J184"")"),0)</f>
        <v>0</v>
      </c>
      <c r="K269" s="294"/>
      <c r="L269" s="252"/>
      <c r="M269" s="252"/>
      <c r="N269" s="252"/>
      <c r="O269" s="252"/>
      <c r="P269" s="252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IFERROR(__xludf.DUMMYFUNCTION("IMPORTRANGE(""https://docs.google.com/spreadsheets/d/1IYY_tgx_IHuhSq3AJ5eI5OnqOPBNLWSHKh2a30DoXe8/edit?usp=sharing"",""ยะลา!I185"")"),0)</f>
        <v>0</v>
      </c>
      <c r="J270" s="322">
        <f ca="1">IFERROR(__xludf.DUMMYFUNCTION("IMPORTRANGE(""https://docs.google.com/spreadsheets/d/1IYY_tgx_IHuhSq3AJ5eI5OnqOPBNLWSHKh2a30DoXe8/edit?usp=sharing"",""ยะลา!J185"")"),0)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52" t="s">
        <v>17</v>
      </c>
      <c r="E271" s="543"/>
      <c r="F271" s="543"/>
      <c r="G271" s="543"/>
      <c r="H271" s="153" t="s">
        <v>12</v>
      </c>
      <c r="I271" s="168"/>
      <c r="J271" s="168"/>
      <c r="K271" s="169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8"/>
      <c r="J272" s="168"/>
      <c r="K272" s="169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8"/>
      <c r="J273" s="168"/>
      <c r="K273" s="169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5">
      <c r="A274" s="162"/>
      <c r="B274" s="163"/>
      <c r="C274" s="163" t="s">
        <v>16</v>
      </c>
      <c r="D274" s="164" t="s">
        <v>38</v>
      </c>
      <c r="E274" s="165"/>
      <c r="F274" s="165"/>
      <c r="G274" s="166" t="s">
        <v>39</v>
      </c>
      <c r="H274" s="167" t="s">
        <v>12</v>
      </c>
      <c r="I274" s="168" t="s">
        <v>40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 x14ac:dyDescent="0.35">
      <c r="A275" s="162"/>
      <c r="B275" s="163"/>
      <c r="C275" s="163"/>
      <c r="D275" s="172"/>
      <c r="E275" s="165"/>
      <c r="F275" s="165" t="s">
        <v>40</v>
      </c>
      <c r="G275" s="166" t="s">
        <v>41</v>
      </c>
      <c r="H275" s="167" t="s">
        <v>12</v>
      </c>
      <c r="I275" s="168"/>
      <c r="J275" s="168"/>
      <c r="K275" s="169"/>
      <c r="L275" s="173">
        <f ca="1">L276+L277</f>
        <v>0</v>
      </c>
      <c r="M275" s="174">
        <f ca="1">IFERROR(__xludf.DUMMYFUNCTION("IMPORTRANGE(""https://docs.google.com/spreadsheets/d/1Yj_ptqi66GCucihVvJfMjLAmec39IyEx_6qawtMGysU/edit?usp=sharing"",""สบก!CK90"")"),0)</f>
        <v>0</v>
      </c>
      <c r="N275" s="175">
        <f ca="1">IFERROR(__xludf.DUMMYFUNCTION("IMPORTRANGE(""https://docs.google.com/spreadsheets/d/1Yj_ptqi66GCucihVvJfMjLAmec39IyEx_6qawtMGysU/edit?usp=sharing"",""สบก!CL90"")"),0)</f>
        <v>0</v>
      </c>
      <c r="O275" s="176">
        <f ca="1">IF(L275&gt;0,N275*100/L275,0)</f>
        <v>0</v>
      </c>
      <c r="P275" s="176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2"/>
      <c r="E276" s="165"/>
      <c r="F276" s="165"/>
      <c r="G276" s="177" t="s">
        <v>42</v>
      </c>
      <c r="H276" s="167" t="s">
        <v>12</v>
      </c>
      <c r="I276" s="168"/>
      <c r="J276" s="168"/>
      <c r="K276" s="169"/>
      <c r="L276" s="174">
        <f ca="1">IFERROR(__xludf.DUMMYFUNCTION("IMPORTRANGE(""https://docs.google.com/spreadsheets/d/1Yj_ptqi66GCucihVvJfMjLAmec39IyEx_6qawtMGysU/edit?usp=sharing"",""สบก!CG90"")"),0)</f>
        <v>0</v>
      </c>
      <c r="M276" s="173"/>
      <c r="N276" s="173"/>
      <c r="O276" s="176"/>
      <c r="P276" s="176"/>
    </row>
    <row r="277" spans="1:16" ht="21.75" customHeight="1" x14ac:dyDescent="0.35">
      <c r="A277" s="162"/>
      <c r="B277" s="163"/>
      <c r="C277" s="163"/>
      <c r="D277" s="172"/>
      <c r="E277" s="165"/>
      <c r="F277" s="165"/>
      <c r="G277" s="177" t="s">
        <v>43</v>
      </c>
      <c r="H277" s="167" t="s">
        <v>12</v>
      </c>
      <c r="I277" s="168"/>
      <c r="J277" s="168"/>
      <c r="K277" s="169"/>
      <c r="L277" s="174">
        <f ca="1">IFERROR(__xludf.DUMMYFUNCTION("IMPORTRANGE(""https://docs.google.com/spreadsheets/d/1Yj_ptqi66GCucihVvJfMjLAmec39IyEx_6qawtMGysU/edit?usp=sharing"",""สบก!CH90"")"),0)</f>
        <v>0</v>
      </c>
      <c r="M277" s="173"/>
      <c r="N277" s="173"/>
      <c r="O277" s="176"/>
      <c r="P277" s="176"/>
    </row>
    <row r="278" spans="1:16" ht="21.75" customHeight="1" x14ac:dyDescent="0.45">
      <c r="A278" s="178"/>
      <c r="B278" s="81"/>
      <c r="C278" s="82" t="s">
        <v>16</v>
      </c>
      <c r="D278" s="549" t="s">
        <v>23</v>
      </c>
      <c r="E278" s="545"/>
      <c r="F278" s="89"/>
      <c r="G278" s="83" t="s">
        <v>18</v>
      </c>
      <c r="H278" s="179" t="s">
        <v>12</v>
      </c>
      <c r="I278" s="168"/>
      <c r="J278" s="168"/>
      <c r="K278" s="169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80"/>
      <c r="B279" s="95"/>
      <c r="C279" s="95"/>
      <c r="D279" s="181"/>
      <c r="E279" s="96"/>
      <c r="F279" s="96"/>
      <c r="G279" s="97" t="s">
        <v>19</v>
      </c>
      <c r="H279" s="182" t="s">
        <v>12</v>
      </c>
      <c r="I279" s="168"/>
      <c r="J279" s="168"/>
      <c r="K279" s="169"/>
      <c r="L279" s="91">
        <f ca="1">IFERROR(__xludf.DUMMYFUNCTION("IMPORTRANGE(""https://docs.google.com/spreadsheets/d/1Yj_ptqi66GCucihVvJfMjLAmec39IyEx_6qawtMGysU/edit?usp=sharing"",""สบก!CI90"")"),0)</f>
        <v>0</v>
      </c>
      <c r="M279" s="101"/>
      <c r="N279" s="91">
        <f ca="1">IFERROR(__xludf.DUMMYFUNCTION("IMPORTRANGE(""https://docs.google.com/spreadsheets/d/1Yj_ptqi66GCucihVvJfMjLAmec39IyEx_6qawtMGysU/edit?usp=sharing"",""สบก!CM90"")"),0)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3"/>
      <c r="B280" s="184"/>
      <c r="C280" s="163" t="s">
        <v>16</v>
      </c>
      <c r="D280" s="185" t="s">
        <v>44</v>
      </c>
      <c r="E280" s="186"/>
      <c r="F280" s="186"/>
      <c r="G280" s="187"/>
      <c r="H280" s="188"/>
      <c r="I280" s="168"/>
      <c r="J280" s="168"/>
      <c r="K280" s="169"/>
      <c r="L280" s="189"/>
      <c r="M280" s="189"/>
      <c r="N280" s="189"/>
      <c r="O280" s="189"/>
      <c r="P280" s="189"/>
    </row>
    <row r="281" spans="1:16" ht="21.75" customHeight="1" x14ac:dyDescent="0.35">
      <c r="A281" s="183"/>
      <c r="B281" s="184"/>
      <c r="C281" s="184"/>
      <c r="D281" s="190">
        <v>1</v>
      </c>
      <c r="E281" s="191" t="s">
        <v>45</v>
      </c>
      <c r="F281" s="192"/>
      <c r="G281" s="193"/>
      <c r="H281" s="194"/>
      <c r="I281" s="195"/>
      <c r="J281" s="196">
        <f ca="1">IFERROR(__xludf.DUMMYFUNCTION("IMPORTRANGE(""https://docs.google.com/spreadsheets/d/1IYY_tgx_IHuhSq3AJ5eI5OnqOPBNLWSHKh2a30DoXe8/edit?usp=sharing"",""ยะลา!J191"")"),0)</f>
        <v>0</v>
      </c>
      <c r="K281" s="169"/>
      <c r="L281" s="189"/>
      <c r="M281" s="189"/>
      <c r="N281" s="189"/>
      <c r="O281" s="189"/>
      <c r="P281" s="189"/>
    </row>
    <row r="282" spans="1:16" ht="21.75" customHeight="1" x14ac:dyDescent="0.35">
      <c r="A282" s="183"/>
      <c r="B282" s="184"/>
      <c r="C282" s="184"/>
      <c r="D282" s="197">
        <v>2</v>
      </c>
      <c r="E282" s="198" t="s">
        <v>46</v>
      </c>
      <c r="F282" s="199"/>
      <c r="G282" s="200"/>
      <c r="H282" s="194"/>
      <c r="I282" s="195"/>
      <c r="J282" s="205">
        <f ca="1">IFERROR(__xludf.DUMMYFUNCTION("IMPORTRANGE(""https://docs.google.com/spreadsheets/d/1IYY_tgx_IHuhSq3AJ5eI5OnqOPBNLWSHKh2a30DoXe8/edit?usp=sharing"",""ยะลา!J192"")"),0)</f>
        <v>0</v>
      </c>
      <c r="K282" s="169"/>
      <c r="L282" s="189"/>
      <c r="M282" s="189"/>
      <c r="N282" s="189"/>
      <c r="O282" s="189"/>
      <c r="P282" s="189"/>
    </row>
    <row r="283" spans="1:16" ht="21.75" customHeight="1" x14ac:dyDescent="0.35">
      <c r="A283" s="183"/>
      <c r="B283" s="184"/>
      <c r="C283" s="184"/>
      <c r="D283" s="201"/>
      <c r="E283" s="202" t="s">
        <v>47</v>
      </c>
      <c r="F283" s="203"/>
      <c r="G283" s="204"/>
      <c r="H283" s="194"/>
      <c r="I283" s="195"/>
      <c r="J283" s="205">
        <f ca="1">IFERROR(__xludf.DUMMYFUNCTION("IMPORTRANGE(""https://docs.google.com/spreadsheets/d/1IYY_tgx_IHuhSq3AJ5eI5OnqOPBNLWSHKh2a30DoXe8/edit?usp=sharing"",""ยะลา!J193"")"),0)</f>
        <v>0</v>
      </c>
      <c r="K283" s="169"/>
      <c r="L283" s="189"/>
      <c r="M283" s="189"/>
      <c r="N283" s="189"/>
      <c r="O283" s="189"/>
      <c r="P283" s="189"/>
    </row>
    <row r="284" spans="1:16" ht="21.75" customHeight="1" x14ac:dyDescent="0.35">
      <c r="A284" s="183"/>
      <c r="B284" s="184"/>
      <c r="C284" s="184"/>
      <c r="D284" s="201"/>
      <c r="E284" s="202" t="s">
        <v>48</v>
      </c>
      <c r="F284" s="203"/>
      <c r="G284" s="204"/>
      <c r="H284" s="194"/>
      <c r="I284" s="195"/>
      <c r="J284" s="205">
        <f ca="1">IFERROR(__xludf.DUMMYFUNCTION("IMPORTRANGE(""https://docs.google.com/spreadsheets/d/1IYY_tgx_IHuhSq3AJ5eI5OnqOPBNLWSHKh2a30DoXe8/edit?usp=sharing"",""ยะลา!J194"")"),0)</f>
        <v>0</v>
      </c>
      <c r="K284" s="169"/>
      <c r="L284" s="189"/>
      <c r="M284" s="189"/>
      <c r="N284" s="189"/>
      <c r="O284" s="189"/>
      <c r="P284" s="189"/>
    </row>
    <row r="285" spans="1:16" ht="21.75" customHeight="1" x14ac:dyDescent="0.35">
      <c r="A285" s="183"/>
      <c r="B285" s="184"/>
      <c r="C285" s="184"/>
      <c r="D285" s="201"/>
      <c r="E285" s="203"/>
      <c r="F285" s="202" t="s">
        <v>110</v>
      </c>
      <c r="G285" s="204"/>
      <c r="H285" s="194" t="s">
        <v>37</v>
      </c>
      <c r="I285" s="195">
        <f ca="1">IFERROR(__xludf.DUMMYFUNCTION("IMPORTRANGE(""https://docs.google.com/spreadsheets/d/1IYY_tgx_IHuhSq3AJ5eI5OnqOPBNLWSHKh2a30DoXe8/edit?usp=sharing"",""ยะลา!I195"")"),0)</f>
        <v>0</v>
      </c>
      <c r="J285" s="196">
        <f ca="1">IFERROR(__xludf.DUMMYFUNCTION("IMPORTRANGE(""https://docs.google.com/spreadsheets/d/1IYY_tgx_IHuhSq3AJ5eI5OnqOPBNLWSHKh2a30DoXe8/edit?usp=sharing"",""ยะลา!J195"")"),0)</f>
        <v>0</v>
      </c>
      <c r="K285" s="169">
        <f ca="1">IF(I285&gt;0,J285*100/I285,0)</f>
        <v>0</v>
      </c>
      <c r="L285" s="189"/>
      <c r="M285" s="189"/>
      <c r="N285" s="189"/>
      <c r="O285" s="189"/>
      <c r="P285" s="189"/>
    </row>
    <row r="286" spans="1:16" ht="21.75" customHeight="1" x14ac:dyDescent="0.35">
      <c r="A286" s="183"/>
      <c r="B286" s="184"/>
      <c r="C286" s="184"/>
      <c r="D286" s="201"/>
      <c r="E286" s="202" t="s">
        <v>54</v>
      </c>
      <c r="F286" s="203"/>
      <c r="G286" s="204"/>
      <c r="H286" s="194"/>
      <c r="I286" s="195"/>
      <c r="J286" s="205">
        <f ca="1">IFERROR(__xludf.DUMMYFUNCTION("IMPORTRANGE(""https://docs.google.com/spreadsheets/d/1IYY_tgx_IHuhSq3AJ5eI5OnqOPBNLWSHKh2a30DoXe8/edit?usp=sharing"",""ยะลา!J196"")"),0)</f>
        <v>0</v>
      </c>
      <c r="K286" s="169"/>
      <c r="L286" s="189"/>
      <c r="M286" s="189"/>
      <c r="N286" s="189"/>
      <c r="O286" s="189"/>
      <c r="P286" s="189"/>
    </row>
    <row r="287" spans="1:16" ht="21.75" customHeight="1" x14ac:dyDescent="0.35">
      <c r="A287" s="183"/>
      <c r="B287" s="184"/>
      <c r="C287" s="184"/>
      <c r="D287" s="213">
        <v>3</v>
      </c>
      <c r="E287" s="214" t="s">
        <v>55</v>
      </c>
      <c r="F287" s="215"/>
      <c r="G287" s="216"/>
      <c r="H287" s="194"/>
      <c r="I287" s="195"/>
      <c r="J287" s="217">
        <f ca="1">IFERROR(__xludf.DUMMYFUNCTION("IMPORTRANGE(""https://docs.google.com/spreadsheets/d/1IYY_tgx_IHuhSq3AJ5eI5OnqOPBNLWSHKh2a30DoXe8/edit?usp=sharing"",""ยะลา!J197"")"),0)</f>
        <v>0</v>
      </c>
      <c r="K287" s="169"/>
      <c r="L287" s="189"/>
      <c r="M287" s="189"/>
      <c r="N287" s="189"/>
      <c r="O287" s="189"/>
      <c r="P287" s="189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IFERROR(__xludf.DUMMYFUNCTION("IMPORTRANGE(""https://docs.google.com/spreadsheets/d/1IYY_tgx_IHuhSq3AJ5eI5OnqOPBNLWSHKh2a30DoXe8/edit?usp=sharing"",""ยะลา!I199"")"),0)</f>
        <v>0</v>
      </c>
      <c r="J289" s="322">
        <f ca="1">IFERROR(__xludf.DUMMYFUNCTION("IMPORTRANGE(""https://docs.google.com/spreadsheets/d/1IYY_tgx_IHuhSq3AJ5eI5OnqOPBNLWSHKh2a30DoXe8/edit?usp=sharing"",""ยะลา!J199"")"),0)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52" t="s">
        <v>17</v>
      </c>
      <c r="E290" s="543"/>
      <c r="F290" s="543"/>
      <c r="G290" s="543"/>
      <c r="H290" s="153" t="s">
        <v>12</v>
      </c>
      <c r="I290" s="195"/>
      <c r="J290" s="195"/>
      <c r="K290" s="231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5"/>
      <c r="J291" s="195"/>
      <c r="K291" s="231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5"/>
      <c r="J292" s="195"/>
      <c r="K292" s="231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5">
      <c r="A293" s="162"/>
      <c r="B293" s="163"/>
      <c r="C293" s="163" t="s">
        <v>16</v>
      </c>
      <c r="D293" s="164" t="s">
        <v>38</v>
      </c>
      <c r="E293" s="165"/>
      <c r="F293" s="165"/>
      <c r="G293" s="166" t="s">
        <v>39</v>
      </c>
      <c r="H293" s="167" t="s">
        <v>12</v>
      </c>
      <c r="I293" s="195" t="s">
        <v>40</v>
      </c>
      <c r="J293" s="195"/>
      <c r="K293" s="231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 x14ac:dyDescent="0.35">
      <c r="A294" s="162"/>
      <c r="B294" s="163"/>
      <c r="C294" s="163"/>
      <c r="D294" s="172"/>
      <c r="E294" s="165"/>
      <c r="F294" s="165" t="s">
        <v>40</v>
      </c>
      <c r="G294" s="166" t="s">
        <v>41</v>
      </c>
      <c r="H294" s="167" t="s">
        <v>12</v>
      </c>
      <c r="I294" s="195"/>
      <c r="J294" s="195"/>
      <c r="K294" s="231"/>
      <c r="L294" s="173">
        <f ca="1">L295+L296</f>
        <v>0</v>
      </c>
      <c r="M294" s="174">
        <f ca="1">IFERROR(__xludf.DUMMYFUNCTION("IMPORTRANGE(""https://docs.google.com/spreadsheets/d/1Yj_ptqi66GCucihVvJfMjLAmec39IyEx_6qawtMGysU/edit?usp=sharing"",""สบก!CT90"")"),0)</f>
        <v>0</v>
      </c>
      <c r="N294" s="175">
        <f ca="1">IFERROR(__xludf.DUMMYFUNCTION("IMPORTRANGE(""https://docs.google.com/spreadsheets/d/1Yj_ptqi66GCucihVvJfMjLAmec39IyEx_6qawtMGysU/edit?usp=sharing"",""สบก!CU90"")"),0)</f>
        <v>0</v>
      </c>
      <c r="O294" s="176">
        <f ca="1">IF(L294&gt;0,N294*100/L294,0)</f>
        <v>0</v>
      </c>
      <c r="P294" s="176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2"/>
      <c r="E295" s="165"/>
      <c r="F295" s="165"/>
      <c r="G295" s="177" t="s">
        <v>42</v>
      </c>
      <c r="H295" s="167" t="s">
        <v>12</v>
      </c>
      <c r="I295" s="195"/>
      <c r="J295" s="195"/>
      <c r="K295" s="231"/>
      <c r="L295" s="174">
        <f ca="1">IFERROR(__xludf.DUMMYFUNCTION("IMPORTRANGE(""https://docs.google.com/spreadsheets/d/1Yj_ptqi66GCucihVvJfMjLAmec39IyEx_6qawtMGysU/edit?usp=sharing"",""สบก!CP90"")"),0)</f>
        <v>0</v>
      </c>
      <c r="M295" s="173"/>
      <c r="N295" s="173"/>
      <c r="O295" s="176"/>
      <c r="P295" s="176"/>
    </row>
    <row r="296" spans="1:16" ht="21.75" customHeight="1" x14ac:dyDescent="0.35">
      <c r="A296" s="162"/>
      <c r="B296" s="163"/>
      <c r="C296" s="163"/>
      <c r="D296" s="172"/>
      <c r="E296" s="165"/>
      <c r="F296" s="165"/>
      <c r="G296" s="177" t="s">
        <v>43</v>
      </c>
      <c r="H296" s="167" t="s">
        <v>12</v>
      </c>
      <c r="I296" s="195"/>
      <c r="J296" s="195"/>
      <c r="K296" s="231"/>
      <c r="L296" s="174">
        <f ca="1">IFERROR(__xludf.DUMMYFUNCTION("IMPORTRANGE(""https://docs.google.com/spreadsheets/d/1Yj_ptqi66GCucihVvJfMjLAmec39IyEx_6qawtMGysU/edit?usp=sharing"",""สบก!CQ90"")"),0)</f>
        <v>0</v>
      </c>
      <c r="M296" s="173"/>
      <c r="N296" s="173"/>
      <c r="O296" s="176"/>
      <c r="P296" s="176"/>
    </row>
    <row r="297" spans="1:16" ht="21.75" customHeight="1" x14ac:dyDescent="0.45">
      <c r="A297" s="178"/>
      <c r="B297" s="81"/>
      <c r="C297" s="82" t="s">
        <v>16</v>
      </c>
      <c r="D297" s="549" t="s">
        <v>23</v>
      </c>
      <c r="E297" s="545"/>
      <c r="F297" s="89"/>
      <c r="G297" s="83" t="s">
        <v>18</v>
      </c>
      <c r="H297" s="179" t="s">
        <v>12</v>
      </c>
      <c r="I297" s="195"/>
      <c r="J297" s="195"/>
      <c r="K297" s="231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80"/>
      <c r="B298" s="95"/>
      <c r="C298" s="95"/>
      <c r="D298" s="181"/>
      <c r="E298" s="96"/>
      <c r="F298" s="96"/>
      <c r="G298" s="97" t="s">
        <v>19</v>
      </c>
      <c r="H298" s="182" t="s">
        <v>12</v>
      </c>
      <c r="I298" s="195"/>
      <c r="J298" s="195"/>
      <c r="K298" s="231"/>
      <c r="L298" s="91">
        <f ca="1">IFERROR(__xludf.DUMMYFUNCTION("IMPORTRANGE(""https://docs.google.com/spreadsheets/d/1Yj_ptqi66GCucihVvJfMjLAmec39IyEx_6qawtMGysU/edit?usp=sharing"",""สบก!CR90"")"),0)</f>
        <v>0</v>
      </c>
      <c r="M298" s="101"/>
      <c r="N298" s="91">
        <f ca="1">IFERROR(__xludf.DUMMYFUNCTION("IMPORTRANGE(""https://docs.google.com/spreadsheets/d/1Yj_ptqi66GCucihVvJfMjLAmec39IyEx_6qawtMGysU/edit?usp=sharing"",""สบก!CV90"")"),0)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3"/>
      <c r="B299" s="184"/>
      <c r="C299" s="163" t="s">
        <v>16</v>
      </c>
      <c r="D299" s="185" t="s">
        <v>44</v>
      </c>
      <c r="E299" s="186"/>
      <c r="F299" s="186"/>
      <c r="G299" s="187"/>
      <c r="H299" s="188"/>
      <c r="I299" s="195"/>
      <c r="J299" s="195"/>
      <c r="K299" s="231"/>
      <c r="L299" s="176"/>
      <c r="M299" s="176"/>
      <c r="N299" s="176"/>
      <c r="O299" s="189"/>
      <c r="P299" s="189"/>
    </row>
    <row r="300" spans="1:16" ht="21.75" customHeight="1" x14ac:dyDescent="0.35">
      <c r="A300" s="183"/>
      <c r="B300" s="184"/>
      <c r="C300" s="184"/>
      <c r="D300" s="190">
        <v>1</v>
      </c>
      <c r="E300" s="191" t="s">
        <v>45</v>
      </c>
      <c r="F300" s="192"/>
      <c r="G300" s="193"/>
      <c r="H300" s="194"/>
      <c r="I300" s="195"/>
      <c r="J300" s="195">
        <f ca="1">IFERROR(__xludf.DUMMYFUNCTION("IMPORTRANGE(""https://docs.google.com/spreadsheets/d/1IYY_tgx_IHuhSq3AJ5eI5OnqOPBNLWSHKh2a30DoXe8/edit?usp=sharing"",""ยะลา!J205"")"),0)</f>
        <v>0</v>
      </c>
      <c r="K300" s="231"/>
      <c r="L300" s="176"/>
      <c r="M300" s="176"/>
      <c r="N300" s="176"/>
      <c r="O300" s="189"/>
      <c r="P300" s="189"/>
    </row>
    <row r="301" spans="1:16" ht="21.75" customHeight="1" x14ac:dyDescent="0.35">
      <c r="A301" s="183"/>
      <c r="B301" s="184"/>
      <c r="C301" s="184"/>
      <c r="D301" s="197">
        <v>2</v>
      </c>
      <c r="E301" s="198" t="s">
        <v>46</v>
      </c>
      <c r="F301" s="199"/>
      <c r="G301" s="200"/>
      <c r="H301" s="194"/>
      <c r="I301" s="195"/>
      <c r="J301" s="195">
        <f ca="1">IFERROR(__xludf.DUMMYFUNCTION("IMPORTRANGE(""https://docs.google.com/spreadsheets/d/1IYY_tgx_IHuhSq3AJ5eI5OnqOPBNLWSHKh2a30DoXe8/edit?usp=sharing"",""ยะลา!J206"")"),0)</f>
        <v>0</v>
      </c>
      <c r="K301" s="231"/>
      <c r="L301" s="176" t="s">
        <v>40</v>
      </c>
      <c r="M301" s="176"/>
      <c r="N301" s="176" t="s">
        <v>40</v>
      </c>
      <c r="O301" s="189"/>
      <c r="P301" s="189"/>
    </row>
    <row r="302" spans="1:16" ht="21.75" customHeight="1" x14ac:dyDescent="0.35">
      <c r="A302" s="183"/>
      <c r="B302" s="184"/>
      <c r="C302" s="184"/>
      <c r="D302" s="201"/>
      <c r="E302" s="202" t="s">
        <v>47</v>
      </c>
      <c r="F302" s="203"/>
      <c r="G302" s="204"/>
      <c r="H302" s="194"/>
      <c r="I302" s="195"/>
      <c r="J302" s="195">
        <f ca="1">IFERROR(__xludf.DUMMYFUNCTION("IMPORTRANGE(""https://docs.google.com/spreadsheets/d/1IYY_tgx_IHuhSq3AJ5eI5OnqOPBNLWSHKh2a30DoXe8/edit?usp=sharing"",""ยะลา!J207"")"),0)</f>
        <v>0</v>
      </c>
      <c r="K302" s="231"/>
      <c r="L302" s="176"/>
      <c r="M302" s="176"/>
      <c r="N302" s="176"/>
      <c r="O302" s="189"/>
      <c r="P302" s="189"/>
    </row>
    <row r="303" spans="1:16" ht="21.75" customHeight="1" x14ac:dyDescent="0.35">
      <c r="A303" s="183"/>
      <c r="B303" s="184"/>
      <c r="C303" s="184"/>
      <c r="D303" s="201"/>
      <c r="E303" s="202" t="s">
        <v>48</v>
      </c>
      <c r="F303" s="203"/>
      <c r="G303" s="204"/>
      <c r="H303" s="194"/>
      <c r="I303" s="195"/>
      <c r="J303" s="195">
        <f ca="1">IFERROR(__xludf.DUMMYFUNCTION("IMPORTRANGE(""https://docs.google.com/spreadsheets/d/1IYY_tgx_IHuhSq3AJ5eI5OnqOPBNLWSHKh2a30DoXe8/edit?usp=sharing"",""ยะลา!J208"")"),0)</f>
        <v>0</v>
      </c>
      <c r="K303" s="231"/>
      <c r="L303" s="176"/>
      <c r="M303" s="176"/>
      <c r="N303" s="176"/>
      <c r="O303" s="189"/>
      <c r="P303" s="189"/>
    </row>
    <row r="304" spans="1:16" ht="21.75" customHeight="1" x14ac:dyDescent="0.35">
      <c r="A304" s="183"/>
      <c r="B304" s="184"/>
      <c r="C304" s="184"/>
      <c r="D304" s="201"/>
      <c r="E304" s="206"/>
      <c r="F304" s="202" t="s">
        <v>113</v>
      </c>
      <c r="G304" s="204"/>
      <c r="H304" s="188" t="s">
        <v>37</v>
      </c>
      <c r="I304" s="195">
        <f ca="1">IFERROR(__xludf.DUMMYFUNCTION("IMPORTRANGE(""https://docs.google.com/spreadsheets/d/1IYY_tgx_IHuhSq3AJ5eI5OnqOPBNLWSHKh2a30DoXe8/edit?usp=sharing"",""ยะลา!I209"")"),0)</f>
        <v>0</v>
      </c>
      <c r="J304" s="211">
        <f ca="1">IFERROR(__xludf.DUMMYFUNCTION("IMPORTRANGE(""https://docs.google.com/spreadsheets/d/1IYY_tgx_IHuhSq3AJ5eI5OnqOPBNLWSHKh2a30DoXe8/edit?usp=sharing"",""ยะลา!J209"")"),0)</f>
        <v>0</v>
      </c>
      <c r="K304" s="231">
        <f ca="1">IF(I304&gt;0,J304*100/I304,0)</f>
        <v>0</v>
      </c>
      <c r="L304" s="176"/>
      <c r="M304" s="176"/>
      <c r="N304" s="176"/>
      <c r="O304" s="189"/>
      <c r="P304" s="189"/>
    </row>
    <row r="305" spans="1:16" ht="21.75" customHeight="1" x14ac:dyDescent="0.35">
      <c r="A305" s="183"/>
      <c r="B305" s="184"/>
      <c r="C305" s="184"/>
      <c r="D305" s="201"/>
      <c r="E305" s="206"/>
      <c r="F305" s="202" t="s">
        <v>114</v>
      </c>
      <c r="G305" s="204"/>
      <c r="H305" s="188"/>
      <c r="I305" s="195"/>
      <c r="J305" s="195"/>
      <c r="K305" s="231"/>
      <c r="L305" s="176"/>
      <c r="M305" s="176"/>
      <c r="N305" s="176"/>
      <c r="O305" s="189"/>
      <c r="P305" s="189"/>
    </row>
    <row r="306" spans="1:16" ht="21.75" customHeight="1" x14ac:dyDescent="0.35">
      <c r="A306" s="183"/>
      <c r="B306" s="184"/>
      <c r="C306" s="184"/>
      <c r="D306" s="201"/>
      <c r="E306" s="206"/>
      <c r="F306" s="203" t="s">
        <v>53</v>
      </c>
      <c r="G306" s="204"/>
      <c r="H306" s="188" t="s">
        <v>37</v>
      </c>
      <c r="I306" s="195">
        <f ca="1">IFERROR(__xludf.DUMMYFUNCTION("IMPORTRANGE(""https://docs.google.com/spreadsheets/d/1IYY_tgx_IHuhSq3AJ5eI5OnqOPBNLWSHKh2a30DoXe8/edit?usp=sharing"",""ยะลา!I211"")"),0)</f>
        <v>0</v>
      </c>
      <c r="J306" s="211">
        <f ca="1">IFERROR(__xludf.DUMMYFUNCTION("IMPORTRANGE(""https://docs.google.com/spreadsheets/d/1IYY_tgx_IHuhSq3AJ5eI5OnqOPBNLWSHKh2a30DoXe8/edit?usp=sharing"",""ยะลา!J211"")"),0)</f>
        <v>0</v>
      </c>
      <c r="K306" s="231">
        <f ca="1">IF(I306&gt;0,J306*100/I306,0)</f>
        <v>0</v>
      </c>
      <c r="L306" s="176"/>
      <c r="M306" s="176"/>
      <c r="N306" s="176"/>
      <c r="O306" s="189"/>
      <c r="P306" s="189"/>
    </row>
    <row r="307" spans="1:16" ht="21.75" customHeight="1" x14ac:dyDescent="0.35">
      <c r="A307" s="183"/>
      <c r="B307" s="184"/>
      <c r="C307" s="184"/>
      <c r="D307" s="201"/>
      <c r="E307" s="202" t="s">
        <v>54</v>
      </c>
      <c r="F307" s="203"/>
      <c r="G307" s="204"/>
      <c r="H307" s="194"/>
      <c r="I307" s="195"/>
      <c r="J307" s="195">
        <f ca="1">IFERROR(__xludf.DUMMYFUNCTION("IMPORTRANGE(""https://docs.google.com/spreadsheets/d/1IYY_tgx_IHuhSq3AJ5eI5OnqOPBNLWSHKh2a30DoXe8/edit?usp=sharing"",""ยะลา!J212"")"),0)</f>
        <v>0</v>
      </c>
      <c r="K307" s="231"/>
      <c r="L307" s="176"/>
      <c r="M307" s="176"/>
      <c r="N307" s="176"/>
      <c r="O307" s="189"/>
      <c r="P307" s="189"/>
    </row>
    <row r="308" spans="1:16" ht="21.75" customHeight="1" x14ac:dyDescent="0.35">
      <c r="A308" s="183"/>
      <c r="B308" s="184"/>
      <c r="C308" s="184"/>
      <c r="D308" s="213">
        <v>3</v>
      </c>
      <c r="E308" s="214" t="s">
        <v>55</v>
      </c>
      <c r="F308" s="215"/>
      <c r="G308" s="216"/>
      <c r="H308" s="194"/>
      <c r="I308" s="195"/>
      <c r="J308" s="332">
        <f ca="1">IFERROR(__xludf.DUMMYFUNCTION("IMPORTRANGE(""https://docs.google.com/spreadsheets/d/1IYY_tgx_IHuhSq3AJ5eI5OnqOPBNLWSHKh2a30DoXe8/edit?usp=sharing"",""ยะลา!J213"")"),0)</f>
        <v>0</v>
      </c>
      <c r="K308" s="231"/>
      <c r="L308" s="176"/>
      <c r="M308" s="176"/>
      <c r="N308" s="176"/>
      <c r="O308" s="189"/>
      <c r="P308" s="189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IFERROR(__xludf.DUMMYFUNCTION("IMPORTRANGE(""https://docs.google.com/spreadsheets/d/1IYY_tgx_IHuhSq3AJ5eI5OnqOPBNLWSHKh2a30DoXe8/edit?usp=sharing"",""ยะลา!I214"")"),0)</f>
        <v>0</v>
      </c>
      <c r="J309" s="339">
        <f ca="1">IFERROR(__xludf.DUMMYFUNCTION("IMPORTRANGE(""https://docs.google.com/spreadsheets/d/1IYY_tgx_IHuhSq3AJ5eI5OnqOPBNLWSHKh2a30DoXe8/edit?usp=sharing"",""ยะลา!J214"")"),0)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52" t="s">
        <v>17</v>
      </c>
      <c r="E310" s="543"/>
      <c r="F310" s="543"/>
      <c r="G310" s="54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5">
      <c r="A313" s="162"/>
      <c r="B313" s="163"/>
      <c r="C313" s="163" t="s">
        <v>16</v>
      </c>
      <c r="D313" s="164" t="s">
        <v>38</v>
      </c>
      <c r="E313" s="165"/>
      <c r="F313" s="165"/>
      <c r="G313" s="166" t="s">
        <v>39</v>
      </c>
      <c r="H313" s="167" t="s">
        <v>12</v>
      </c>
      <c r="I313" s="168" t="s">
        <v>40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 x14ac:dyDescent="0.35">
      <c r="A314" s="162"/>
      <c r="B314" s="163"/>
      <c r="C314" s="163"/>
      <c r="D314" s="172"/>
      <c r="E314" s="165"/>
      <c r="F314" s="165" t="s">
        <v>40</v>
      </c>
      <c r="G314" s="166" t="s">
        <v>41</v>
      </c>
      <c r="H314" s="167" t="s">
        <v>12</v>
      </c>
      <c r="I314" s="168"/>
      <c r="J314" s="168"/>
      <c r="K314" s="169"/>
      <c r="L314" s="173">
        <f ca="1">L315+L316</f>
        <v>0</v>
      </c>
      <c r="M314" s="174">
        <f ca="1">IFERROR(__xludf.DUMMYFUNCTION("IMPORTRANGE(""https://docs.google.com/spreadsheets/d/1Yj_ptqi66GCucihVvJfMjLAmec39IyEx_6qawtMGysU/edit?usp=sharing"",""สบก!DC90"")"),0)</f>
        <v>0</v>
      </c>
      <c r="N314" s="175">
        <f ca="1">IFERROR(__xludf.DUMMYFUNCTION("IMPORTRANGE(""https://docs.google.com/spreadsheets/d/1Yj_ptqi66GCucihVvJfMjLAmec39IyEx_6qawtMGysU/edit?usp=sharing"",""สบก!DD90"")"),0)</f>
        <v>0</v>
      </c>
      <c r="O314" s="176">
        <f ca="1">IF(L314&gt;0,N314*100/L314,0)</f>
        <v>0</v>
      </c>
      <c r="P314" s="176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2"/>
      <c r="E315" s="165"/>
      <c r="F315" s="165"/>
      <c r="G315" s="177" t="s">
        <v>42</v>
      </c>
      <c r="H315" s="167" t="s">
        <v>12</v>
      </c>
      <c r="I315" s="168"/>
      <c r="J315" s="168"/>
      <c r="K315" s="169"/>
      <c r="L315" s="174">
        <f ca="1">IFERROR(__xludf.DUMMYFUNCTION("IMPORTRANGE(""https://docs.google.com/spreadsheets/d/1Yj_ptqi66GCucihVvJfMjLAmec39IyEx_6qawtMGysU/edit?usp=sharing"",""สบก!CY90"")"),0)</f>
        <v>0</v>
      </c>
      <c r="M315" s="173"/>
      <c r="N315" s="173"/>
      <c r="O315" s="176"/>
      <c r="P315" s="176"/>
    </row>
    <row r="316" spans="1:16" ht="21.75" customHeight="1" x14ac:dyDescent="0.35">
      <c r="A316" s="162"/>
      <c r="B316" s="163"/>
      <c r="C316" s="163"/>
      <c r="D316" s="172"/>
      <c r="E316" s="165"/>
      <c r="F316" s="165"/>
      <c r="G316" s="177" t="s">
        <v>43</v>
      </c>
      <c r="H316" s="167" t="s">
        <v>12</v>
      </c>
      <c r="I316" s="168"/>
      <c r="J316" s="195"/>
      <c r="K316" s="231"/>
      <c r="L316" s="174">
        <f ca="1">IFERROR(__xludf.DUMMYFUNCTION("IMPORTRANGE(""https://docs.google.com/spreadsheets/d/1Yj_ptqi66GCucihVvJfMjLAmec39IyEx_6qawtMGysU/edit?usp=sharing"",""สบก!CZ90"")"),0)</f>
        <v>0</v>
      </c>
      <c r="M316" s="173"/>
      <c r="N316" s="173"/>
      <c r="O316" s="176"/>
      <c r="P316" s="176"/>
    </row>
    <row r="317" spans="1:16" ht="21.75" customHeight="1" x14ac:dyDescent="0.45">
      <c r="A317" s="178"/>
      <c r="B317" s="81"/>
      <c r="C317" s="82" t="s">
        <v>16</v>
      </c>
      <c r="D317" s="549" t="s">
        <v>23</v>
      </c>
      <c r="E317" s="545"/>
      <c r="F317" s="89"/>
      <c r="G317" s="83" t="s">
        <v>18</v>
      </c>
      <c r="H317" s="179" t="s">
        <v>12</v>
      </c>
      <c r="I317" s="168"/>
      <c r="J317" s="195"/>
      <c r="K317" s="231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80"/>
      <c r="B318" s="95"/>
      <c r="C318" s="95"/>
      <c r="D318" s="181"/>
      <c r="E318" s="96"/>
      <c r="F318" s="96"/>
      <c r="G318" s="97" t="s">
        <v>19</v>
      </c>
      <c r="H318" s="182" t="s">
        <v>12</v>
      </c>
      <c r="I318" s="168"/>
      <c r="J318" s="195"/>
      <c r="K318" s="231"/>
      <c r="L318" s="91">
        <f ca="1">IFERROR(__xludf.DUMMYFUNCTION("IMPORTRANGE(""https://docs.google.com/spreadsheets/d/1Yj_ptqi66GCucihVvJfMjLAmec39IyEx_6qawtMGysU/edit?usp=sharing"",""สบก!DA90"")"),0)</f>
        <v>0</v>
      </c>
      <c r="M318" s="101"/>
      <c r="N318" s="91">
        <f ca="1">IFERROR(__xludf.DUMMYFUNCTION("IMPORTRANGE(""https://docs.google.com/spreadsheets/d/1Yj_ptqi66GCucihVvJfMjLAmec39IyEx_6qawtMGysU/edit?usp=sharing"",""สบก!DE90"")"),0)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3"/>
      <c r="B319" s="184"/>
      <c r="C319" s="163" t="s">
        <v>16</v>
      </c>
      <c r="D319" s="185" t="s">
        <v>44</v>
      </c>
      <c r="E319" s="186"/>
      <c r="F319" s="186"/>
      <c r="G319" s="187"/>
      <c r="H319" s="188"/>
      <c r="I319" s="168"/>
      <c r="J319" s="195"/>
      <c r="K319" s="231"/>
      <c r="L319" s="176"/>
      <c r="M319" s="176"/>
      <c r="N319" s="176"/>
      <c r="O319" s="189"/>
      <c r="P319" s="189"/>
    </row>
    <row r="320" spans="1:16" ht="21.75" customHeight="1" x14ac:dyDescent="0.35">
      <c r="A320" s="183"/>
      <c r="B320" s="184"/>
      <c r="C320" s="184"/>
      <c r="D320" s="190">
        <v>1</v>
      </c>
      <c r="E320" s="191" t="s">
        <v>45</v>
      </c>
      <c r="F320" s="192"/>
      <c r="G320" s="193"/>
      <c r="H320" s="194"/>
      <c r="I320" s="195"/>
      <c r="J320" s="195">
        <f ca="1">IFERROR(__xludf.DUMMYFUNCTION("IMPORTRANGE(""https://docs.google.com/spreadsheets/d/1IYY_tgx_IHuhSq3AJ5eI5OnqOPBNLWSHKh2a30DoXe8/edit?usp=sharing"",""ยะลา!J220"")"),0)</f>
        <v>0</v>
      </c>
      <c r="K320" s="231"/>
      <c r="L320" s="176"/>
      <c r="M320" s="176"/>
      <c r="N320" s="176"/>
      <c r="O320" s="189"/>
      <c r="P320" s="189"/>
    </row>
    <row r="321" spans="1:16" ht="21.75" customHeight="1" x14ac:dyDescent="0.35">
      <c r="A321" s="183"/>
      <c r="B321" s="184"/>
      <c r="C321" s="184"/>
      <c r="D321" s="197">
        <v>2</v>
      </c>
      <c r="E321" s="198" t="s">
        <v>46</v>
      </c>
      <c r="F321" s="199"/>
      <c r="G321" s="200"/>
      <c r="H321" s="194"/>
      <c r="I321" s="195"/>
      <c r="J321" s="195">
        <f ca="1">IFERROR(__xludf.DUMMYFUNCTION("IMPORTRANGE(""https://docs.google.com/spreadsheets/d/1IYY_tgx_IHuhSq3AJ5eI5OnqOPBNLWSHKh2a30DoXe8/edit?usp=sharing"",""ยะลา!J221"")"),0)</f>
        <v>0</v>
      </c>
      <c r="K321" s="231"/>
      <c r="L321" s="176" t="s">
        <v>40</v>
      </c>
      <c r="M321" s="176"/>
      <c r="N321" s="176" t="s">
        <v>40</v>
      </c>
      <c r="O321" s="189"/>
      <c r="P321" s="189"/>
    </row>
    <row r="322" spans="1:16" ht="21.75" customHeight="1" x14ac:dyDescent="0.35">
      <c r="A322" s="183"/>
      <c r="B322" s="184"/>
      <c r="C322" s="184"/>
      <c r="D322" s="201"/>
      <c r="E322" s="202" t="s">
        <v>47</v>
      </c>
      <c r="F322" s="203"/>
      <c r="G322" s="204"/>
      <c r="H322" s="194"/>
      <c r="I322" s="195"/>
      <c r="J322" s="195">
        <f ca="1">IFERROR(__xludf.DUMMYFUNCTION("IMPORTRANGE(""https://docs.google.com/spreadsheets/d/1IYY_tgx_IHuhSq3AJ5eI5OnqOPBNLWSHKh2a30DoXe8/edit?usp=sharing"",""ยะลา!J222"")"),0)</f>
        <v>0</v>
      </c>
      <c r="K322" s="231"/>
      <c r="L322" s="176"/>
      <c r="M322" s="176"/>
      <c r="N322" s="176"/>
      <c r="O322" s="189"/>
      <c r="P322" s="189"/>
    </row>
    <row r="323" spans="1:16" ht="21.75" customHeight="1" x14ac:dyDescent="0.35">
      <c r="A323" s="183"/>
      <c r="B323" s="184"/>
      <c r="C323" s="184"/>
      <c r="D323" s="201"/>
      <c r="E323" s="202" t="s">
        <v>48</v>
      </c>
      <c r="F323" s="203"/>
      <c r="G323" s="204"/>
      <c r="H323" s="194"/>
      <c r="I323" s="195"/>
      <c r="J323" s="195">
        <f ca="1">IFERROR(__xludf.DUMMYFUNCTION("IMPORTRANGE(""https://docs.google.com/spreadsheets/d/1IYY_tgx_IHuhSq3AJ5eI5OnqOPBNLWSHKh2a30DoXe8/edit?usp=sharing"",""ยะลา!J223"")"),0)</f>
        <v>0</v>
      </c>
      <c r="K323" s="231"/>
      <c r="L323" s="176"/>
      <c r="M323" s="176"/>
      <c r="N323" s="176"/>
      <c r="O323" s="189"/>
      <c r="P323" s="189"/>
    </row>
    <row r="324" spans="1:16" ht="21.75" customHeight="1" x14ac:dyDescent="0.35">
      <c r="A324" s="183"/>
      <c r="B324" s="184"/>
      <c r="C324" s="184"/>
      <c r="D324" s="201"/>
      <c r="E324" s="206"/>
      <c r="F324" s="202" t="s">
        <v>117</v>
      </c>
      <c r="G324" s="204"/>
      <c r="H324" s="194" t="s">
        <v>116</v>
      </c>
      <c r="I324" s="195">
        <f ca="1">IFERROR(__xludf.DUMMYFUNCTION("IMPORTRANGE(""https://docs.google.com/spreadsheets/d/1IYY_tgx_IHuhSq3AJ5eI5OnqOPBNLWSHKh2a30DoXe8/edit?usp=sharing"",""ยะลา!I224"")"),0)</f>
        <v>0</v>
      </c>
      <c r="J324" s="211">
        <f ca="1">IFERROR(__xludf.DUMMYFUNCTION("IMPORTRANGE(""https://docs.google.com/spreadsheets/d/1IYY_tgx_IHuhSq3AJ5eI5OnqOPBNLWSHKh2a30DoXe8/edit?usp=sharing"",""ยะลา!J224"")"),0)</f>
        <v>0</v>
      </c>
      <c r="K324" s="231">
        <f ca="1">IF(I324&gt;0,J324*100/I324,0)</f>
        <v>0</v>
      </c>
      <c r="L324" s="176"/>
      <c r="M324" s="176"/>
      <c r="N324" s="176"/>
      <c r="O324" s="189"/>
      <c r="P324" s="189"/>
    </row>
    <row r="325" spans="1:16" ht="21.75" customHeight="1" x14ac:dyDescent="0.35">
      <c r="A325" s="183"/>
      <c r="B325" s="184"/>
      <c r="C325" s="184"/>
      <c r="D325" s="201"/>
      <c r="E325" s="202" t="s">
        <v>54</v>
      </c>
      <c r="F325" s="203"/>
      <c r="G325" s="204"/>
      <c r="H325" s="194"/>
      <c r="I325" s="195"/>
      <c r="J325" s="195">
        <f ca="1">IFERROR(__xludf.DUMMYFUNCTION("IMPORTRANGE(""https://docs.google.com/spreadsheets/d/1IYY_tgx_IHuhSq3AJ5eI5OnqOPBNLWSHKh2a30DoXe8/edit?usp=sharing"",""ยะลา!J225"")"),0)</f>
        <v>0</v>
      </c>
      <c r="K325" s="231"/>
      <c r="L325" s="176"/>
      <c r="M325" s="176"/>
      <c r="N325" s="176"/>
      <c r="O325" s="189"/>
      <c r="P325" s="189"/>
    </row>
    <row r="326" spans="1:16" ht="21.75" customHeight="1" x14ac:dyDescent="0.35">
      <c r="A326" s="183"/>
      <c r="B326" s="184"/>
      <c r="C326" s="184"/>
      <c r="D326" s="213">
        <v>3</v>
      </c>
      <c r="E326" s="214" t="s">
        <v>55</v>
      </c>
      <c r="F326" s="215"/>
      <c r="G326" s="216"/>
      <c r="H326" s="194"/>
      <c r="I326" s="195"/>
      <c r="J326" s="234">
        <f ca="1">IFERROR(__xludf.DUMMYFUNCTION("IMPORTRANGE(""https://docs.google.com/spreadsheets/d/1IYY_tgx_IHuhSq3AJ5eI5OnqOPBNLWSHKh2a30DoXe8/edit?usp=sharing"",""ยะลา!J226"")"),0)</f>
        <v>0</v>
      </c>
      <c r="K326" s="231"/>
      <c r="L326" s="176"/>
      <c r="M326" s="176"/>
      <c r="N326" s="176"/>
      <c r="O326" s="189"/>
      <c r="P326" s="189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IFERROR(__xludf.DUMMYFUNCTION("IMPORTRANGE(""https://docs.google.com/spreadsheets/d/1IYY_tgx_IHuhSq3AJ5eI5OnqOPBNLWSHKh2a30DoXe8/edit?usp=sharing"",""ยะลา!I228"")"),100)</f>
        <v>100</v>
      </c>
      <c r="J328" s="345">
        <f ca="1">IFERROR(__xludf.DUMMYFUNCTION("IMPORTRANGE(""https://docs.google.com/spreadsheets/d/1IYY_tgx_IHuhSq3AJ5eI5OnqOPBNLWSHKh2a30DoXe8/edit?usp=sharing"",""ยะลา!J228"")"),36)</f>
        <v>36</v>
      </c>
      <c r="K328" s="323">
        <f ca="1">IF(I328&gt;0,J328*100/I328,0)</f>
        <v>36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52" t="s">
        <v>17</v>
      </c>
      <c r="E329" s="543"/>
      <c r="F329" s="543"/>
      <c r="G329" s="543"/>
      <c r="H329" s="153" t="s">
        <v>12</v>
      </c>
      <c r="I329" s="168"/>
      <c r="J329" s="168"/>
      <c r="K329" s="169"/>
      <c r="L329" s="156">
        <f t="shared" ref="L329:N329" ca="1" si="98">L330+L331</f>
        <v>1038050</v>
      </c>
      <c r="M329" s="156">
        <f t="shared" ca="1" si="98"/>
        <v>609090</v>
      </c>
      <c r="N329" s="156">
        <f t="shared" ca="1" si="98"/>
        <v>503786</v>
      </c>
      <c r="O329" s="155">
        <f t="shared" ref="O329:O331" ca="1" si="99">IF(L329&gt;0,N329*100/L329,0)</f>
        <v>48.531958961514377</v>
      </c>
      <c r="P329" s="155">
        <f t="shared" ref="P329:P331" ca="1" si="100">IF(M329&gt;0,N329*100/M329,0)</f>
        <v>82.711257777996678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8"/>
      <c r="J330" s="168"/>
      <c r="K330" s="169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8"/>
      <c r="J331" s="168"/>
      <c r="K331" s="169"/>
      <c r="L331" s="161">
        <f t="shared" ref="L331:N331" ca="1" si="102">L333+L337</f>
        <v>1038050</v>
      </c>
      <c r="M331" s="161">
        <f t="shared" ca="1" si="102"/>
        <v>609090</v>
      </c>
      <c r="N331" s="161">
        <f t="shared" ca="1" si="102"/>
        <v>503786</v>
      </c>
      <c r="O331" s="160">
        <f t="shared" ca="1" si="99"/>
        <v>48.531958961514377</v>
      </c>
      <c r="P331" s="160">
        <f t="shared" ca="1" si="100"/>
        <v>82.711257777996678</v>
      </c>
    </row>
    <row r="332" spans="1:16" ht="21.75" customHeight="1" x14ac:dyDescent="0.35">
      <c r="A332" s="162"/>
      <c r="B332" s="163"/>
      <c r="C332" s="163" t="s">
        <v>16</v>
      </c>
      <c r="D332" s="164" t="s">
        <v>38</v>
      </c>
      <c r="E332" s="165"/>
      <c r="F332" s="165"/>
      <c r="G332" s="166" t="s">
        <v>39</v>
      </c>
      <c r="H332" s="167" t="s">
        <v>12</v>
      </c>
      <c r="I332" s="168" t="s">
        <v>40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 x14ac:dyDescent="0.35">
      <c r="A333" s="162"/>
      <c r="B333" s="163"/>
      <c r="C333" s="163"/>
      <c r="D333" s="172"/>
      <c r="E333" s="165"/>
      <c r="F333" s="165" t="s">
        <v>40</v>
      </c>
      <c r="G333" s="166" t="s">
        <v>41</v>
      </c>
      <c r="H333" s="167" t="s">
        <v>12</v>
      </c>
      <c r="I333" s="168"/>
      <c r="J333" s="168"/>
      <c r="K333" s="169"/>
      <c r="L333" s="173">
        <f ca="1">L334+L335</f>
        <v>891050</v>
      </c>
      <c r="M333" s="174">
        <f ca="1">IFERROR(__xludf.DUMMYFUNCTION("IMPORTRANGE(""https://docs.google.com/spreadsheets/d/1Yj_ptqi66GCucihVvJfMjLAmec39IyEx_6qawtMGysU/edit?usp=sharing"",""สบก!DL90"")"),462090)</f>
        <v>462090</v>
      </c>
      <c r="N333" s="175">
        <f ca="1">IFERROR(__xludf.DUMMYFUNCTION("IMPORTRANGE(""https://docs.google.com/spreadsheets/d/1Yj_ptqi66GCucihVvJfMjLAmec39IyEx_6qawtMGysU/edit?usp=sharing"",""สบก!DM90"")"),356786)</f>
        <v>356786</v>
      </c>
      <c r="O333" s="176">
        <f ca="1">IF(L333&gt;0,N333*100/L333,0)</f>
        <v>40.041075136075413</v>
      </c>
      <c r="P333" s="176">
        <f ca="1">IF(M333&gt;0,N333*100/M333,0)</f>
        <v>77.211365751260573</v>
      </c>
    </row>
    <row r="334" spans="1:16" ht="21.75" customHeight="1" x14ac:dyDescent="0.35">
      <c r="A334" s="162"/>
      <c r="B334" s="163"/>
      <c r="C334" s="163"/>
      <c r="D334" s="172"/>
      <c r="E334" s="165"/>
      <c r="F334" s="165"/>
      <c r="G334" s="177" t="s">
        <v>42</v>
      </c>
      <c r="H334" s="167" t="s">
        <v>12</v>
      </c>
      <c r="I334" s="168"/>
      <c r="J334" s="168"/>
      <c r="K334" s="169"/>
      <c r="L334" s="174">
        <f ca="1">IFERROR(__xludf.DUMMYFUNCTION("IMPORTRANGE(""https://docs.google.com/spreadsheets/d/1Yj_ptqi66GCucihVvJfMjLAmec39IyEx_6qawtMGysU/edit?usp=sharing"",""สบก!DH90"")"),624000)</f>
        <v>624000</v>
      </c>
      <c r="M334" s="173"/>
      <c r="N334" s="173"/>
      <c r="O334" s="176"/>
      <c r="P334" s="176"/>
    </row>
    <row r="335" spans="1:16" ht="21.75" customHeight="1" x14ac:dyDescent="0.35">
      <c r="A335" s="162"/>
      <c r="B335" s="163"/>
      <c r="C335" s="163"/>
      <c r="D335" s="172"/>
      <c r="E335" s="165"/>
      <c r="F335" s="165"/>
      <c r="G335" s="177" t="s">
        <v>43</v>
      </c>
      <c r="H335" s="167" t="s">
        <v>12</v>
      </c>
      <c r="I335" s="168"/>
      <c r="J335" s="168"/>
      <c r="K335" s="169"/>
      <c r="L335" s="174">
        <f ca="1">IFERROR(__xludf.DUMMYFUNCTION("IMPORTRANGE(""https://docs.google.com/spreadsheets/d/1Yj_ptqi66GCucihVvJfMjLAmec39IyEx_6qawtMGysU/edit?usp=sharing"",""สบก!DI90"")"),267050)</f>
        <v>267050</v>
      </c>
      <c r="M335" s="173"/>
      <c r="N335" s="173"/>
      <c r="O335" s="176"/>
      <c r="P335" s="176"/>
    </row>
    <row r="336" spans="1:16" ht="21.75" customHeight="1" x14ac:dyDescent="0.45">
      <c r="A336" s="178"/>
      <c r="B336" s="81"/>
      <c r="C336" s="82" t="s">
        <v>16</v>
      </c>
      <c r="D336" s="549" t="s">
        <v>23</v>
      </c>
      <c r="E336" s="545"/>
      <c r="F336" s="89"/>
      <c r="G336" s="83" t="s">
        <v>18</v>
      </c>
      <c r="H336" s="179" t="s">
        <v>12</v>
      </c>
      <c r="I336" s="168"/>
      <c r="J336" s="168"/>
      <c r="K336" s="169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80"/>
      <c r="B337" s="95"/>
      <c r="C337" s="95"/>
      <c r="D337" s="181"/>
      <c r="E337" s="96"/>
      <c r="F337" s="96"/>
      <c r="G337" s="97" t="s">
        <v>19</v>
      </c>
      <c r="H337" s="182" t="s">
        <v>12</v>
      </c>
      <c r="I337" s="168"/>
      <c r="J337" s="168"/>
      <c r="K337" s="169"/>
      <c r="L337" s="91">
        <f ca="1">IFERROR(__xludf.DUMMYFUNCTION("IMPORTRANGE(""https://docs.google.com/spreadsheets/d/1Yj_ptqi66GCucihVvJfMjLAmec39IyEx_6qawtMGysU/edit?usp=sharing"",""สบก!DJ90"")"),147000)</f>
        <v>147000</v>
      </c>
      <c r="M337" s="101">
        <f ca="1">L337</f>
        <v>147000</v>
      </c>
      <c r="N337" s="91">
        <f ca="1">IFERROR(__xludf.DUMMYFUNCTION("IMPORTRANGE(""https://docs.google.com/spreadsheets/d/1Yj_ptqi66GCucihVvJfMjLAmec39IyEx_6qawtMGysU/edit?usp=sharing"",""สบก!DN90"")"),147000)</f>
        <v>147000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3"/>
      <c r="B338" s="297"/>
      <c r="C338" s="346" t="s">
        <v>120</v>
      </c>
      <c r="D338" s="203"/>
      <c r="E338" s="203"/>
      <c r="F338" s="203"/>
      <c r="G338" s="204"/>
      <c r="H338" s="188"/>
      <c r="I338" s="347"/>
      <c r="J338" s="347"/>
      <c r="K338" s="348"/>
      <c r="L338" s="189"/>
      <c r="M338" s="189"/>
      <c r="N338" s="189"/>
      <c r="O338" s="349"/>
      <c r="P338" s="349"/>
    </row>
    <row r="339" spans="1:16" ht="21.75" customHeight="1" x14ac:dyDescent="0.35">
      <c r="A339" s="183"/>
      <c r="B339" s="297"/>
      <c r="C339" s="184"/>
      <c r="D339" s="203"/>
      <c r="E339" s="202" t="s">
        <v>121</v>
      </c>
      <c r="F339" s="203"/>
      <c r="G339" s="204"/>
      <c r="H339" s="350" t="s">
        <v>37</v>
      </c>
      <c r="I339" s="211">
        <f ca="1">IFERROR(__xludf.DUMMYFUNCTION("IMPORTRANGE(""https://docs.google.com/spreadsheets/d/1IYY_tgx_IHuhSq3AJ5eI5OnqOPBNLWSHKh2a30DoXe8/edit?usp=sharing"",""ยะลา!I234"")"),0)</f>
        <v>0</v>
      </c>
      <c r="J339" s="195">
        <f ca="1">IFERROR(__xludf.DUMMYFUNCTION("IMPORTRANGE(""https://docs.google.com/spreadsheets/d/1IYY_tgx_IHuhSq3AJ5eI5OnqOPBNLWSHKh2a30DoXe8/edit?usp=sharing"",""ยะลา!J234"")"),83)</f>
        <v>83</v>
      </c>
      <c r="K339" s="348">
        <f t="shared" ref="K339:K346" ca="1" si="103">IF(I339&gt;0,J339*100/I339,0)</f>
        <v>0</v>
      </c>
      <c r="L339" s="189"/>
      <c r="M339" s="189"/>
      <c r="N339" s="189"/>
      <c r="O339" s="349"/>
      <c r="P339" s="349"/>
    </row>
    <row r="340" spans="1:16" ht="21.75" customHeight="1" x14ac:dyDescent="0.35">
      <c r="A340" s="183"/>
      <c r="B340" s="297"/>
      <c r="C340" s="184"/>
      <c r="D340" s="203"/>
      <c r="E340" s="203"/>
      <c r="F340" s="203"/>
      <c r="G340" s="204"/>
      <c r="H340" s="350" t="s">
        <v>122</v>
      </c>
      <c r="I340" s="195">
        <f ca="1">IFERROR(__xludf.DUMMYFUNCTION("IMPORTRANGE(""https://docs.google.com/spreadsheets/d/1IYY_tgx_IHuhSq3AJ5eI5OnqOPBNLWSHKh2a30DoXe8/edit?usp=sharing"",""ยะลา!I235"")"),1040)</f>
        <v>1040</v>
      </c>
      <c r="J340" s="195">
        <f ca="1">IFERROR(__xludf.DUMMYFUNCTION("IMPORTRANGE(""https://docs.google.com/spreadsheets/d/1IYY_tgx_IHuhSq3AJ5eI5OnqOPBNLWSHKh2a30DoXe8/edit?usp=sharing"",""ยะลา!J235"")"),552.61)</f>
        <v>552.61</v>
      </c>
      <c r="K340" s="348">
        <f t="shared" ca="1" si="103"/>
        <v>53.135576923076925</v>
      </c>
      <c r="L340" s="189"/>
      <c r="M340" s="189"/>
      <c r="N340" s="189"/>
      <c r="O340" s="349"/>
      <c r="P340" s="349"/>
    </row>
    <row r="341" spans="1:16" ht="21.75" customHeight="1" x14ac:dyDescent="0.35">
      <c r="A341" s="183"/>
      <c r="B341" s="297"/>
      <c r="C341" s="184"/>
      <c r="D341" s="203"/>
      <c r="E341" s="202" t="s">
        <v>123</v>
      </c>
      <c r="F341" s="203"/>
      <c r="G341" s="204"/>
      <c r="H341" s="188" t="s">
        <v>37</v>
      </c>
      <c r="I341" s="195">
        <f ca="1">IFERROR(__xludf.DUMMYFUNCTION("IMPORTRANGE(""https://docs.google.com/spreadsheets/d/1IYY_tgx_IHuhSq3AJ5eI5OnqOPBNLWSHKh2a30DoXe8/edit?usp=sharing"",""ยะลา!I236"")"),100)</f>
        <v>100</v>
      </c>
      <c r="J341" s="195">
        <f ca="1">IFERROR(__xludf.DUMMYFUNCTION("IMPORTRANGE(""https://docs.google.com/spreadsheets/d/1IYY_tgx_IHuhSq3AJ5eI5OnqOPBNLWSHKh2a30DoXe8/edit?usp=sharing"",""ยะลา!J236"")"),96)</f>
        <v>96</v>
      </c>
      <c r="K341" s="348">
        <f t="shared" ca="1" si="103"/>
        <v>96</v>
      </c>
      <c r="L341" s="189"/>
      <c r="M341" s="189"/>
      <c r="N341" s="189"/>
      <c r="O341" s="349"/>
      <c r="P341" s="349"/>
    </row>
    <row r="342" spans="1:16" ht="21.75" customHeight="1" x14ac:dyDescent="0.35">
      <c r="A342" s="183"/>
      <c r="B342" s="297"/>
      <c r="C342" s="184"/>
      <c r="D342" s="203"/>
      <c r="E342" s="203"/>
      <c r="F342" s="203"/>
      <c r="G342" s="204"/>
      <c r="H342" s="188" t="s">
        <v>122</v>
      </c>
      <c r="I342" s="351">
        <f ca="1">IFERROR(__xludf.DUMMYFUNCTION("IMPORTRANGE(""https://docs.google.com/spreadsheets/d/1IYY_tgx_IHuhSq3AJ5eI5OnqOPBNLWSHKh2a30DoXe8/edit?usp=sharing"",""ยะลา!I237"")"),0)</f>
        <v>0</v>
      </c>
      <c r="J342" s="195">
        <f ca="1">IFERROR(__xludf.DUMMYFUNCTION("IMPORTRANGE(""https://docs.google.com/spreadsheets/d/1IYY_tgx_IHuhSq3AJ5eI5OnqOPBNLWSHKh2a30DoXe8/edit?usp=sharing"",""ยะลา!J237"")"),682.15)</f>
        <v>682.15</v>
      </c>
      <c r="K342" s="348">
        <f t="shared" ca="1" si="103"/>
        <v>0</v>
      </c>
      <c r="L342" s="189"/>
      <c r="M342" s="189"/>
      <c r="N342" s="189"/>
      <c r="O342" s="349"/>
      <c r="P342" s="349"/>
    </row>
    <row r="343" spans="1:16" ht="21.75" customHeight="1" x14ac:dyDescent="0.35">
      <c r="A343" s="183"/>
      <c r="B343" s="297"/>
      <c r="C343" s="184"/>
      <c r="D343" s="203"/>
      <c r="E343" s="202" t="s">
        <v>124</v>
      </c>
      <c r="F343" s="203"/>
      <c r="G343" s="204"/>
      <c r="H343" s="188" t="s">
        <v>37</v>
      </c>
      <c r="I343" s="195">
        <f ca="1">IFERROR(__xludf.DUMMYFUNCTION("IMPORTRANGE(""https://docs.google.com/spreadsheets/d/1IYY_tgx_IHuhSq3AJ5eI5OnqOPBNLWSHKh2a30DoXe8/edit?usp=sharing"",""ยะลา!I238"")"),100)</f>
        <v>100</v>
      </c>
      <c r="J343" s="195">
        <f ca="1">IFERROR(__xludf.DUMMYFUNCTION("IMPORTRANGE(""https://docs.google.com/spreadsheets/d/1IYY_tgx_IHuhSq3AJ5eI5OnqOPBNLWSHKh2a30DoXe8/edit?usp=sharing"",""ยะลา!J238"")"),0)</f>
        <v>0</v>
      </c>
      <c r="K343" s="348">
        <f t="shared" ca="1" si="103"/>
        <v>0</v>
      </c>
      <c r="L343" s="189"/>
      <c r="M343" s="189"/>
      <c r="N343" s="189"/>
      <c r="O343" s="349"/>
      <c r="P343" s="349"/>
    </row>
    <row r="344" spans="1:16" ht="21.75" customHeight="1" x14ac:dyDescent="0.35">
      <c r="A344" s="183"/>
      <c r="B344" s="297"/>
      <c r="C344" s="184"/>
      <c r="D344" s="203"/>
      <c r="E344" s="203"/>
      <c r="F344" s="203"/>
      <c r="G344" s="204"/>
      <c r="H344" s="188" t="s">
        <v>122</v>
      </c>
      <c r="I344" s="351">
        <f ca="1">IFERROR(__xludf.DUMMYFUNCTION("IMPORTRANGE(""https://docs.google.com/spreadsheets/d/1IYY_tgx_IHuhSq3AJ5eI5OnqOPBNLWSHKh2a30DoXe8/edit?usp=sharing"",""ยะลา!I239"")"),0)</f>
        <v>0</v>
      </c>
      <c r="J344" s="195">
        <f ca="1">IFERROR(__xludf.DUMMYFUNCTION("IMPORTRANGE(""https://docs.google.com/spreadsheets/d/1IYY_tgx_IHuhSq3AJ5eI5OnqOPBNLWSHKh2a30DoXe8/edit?usp=sharing"",""ยะลา!J239"")"),0)</f>
        <v>0</v>
      </c>
      <c r="K344" s="348">
        <f t="shared" ca="1" si="103"/>
        <v>0</v>
      </c>
      <c r="L344" s="189"/>
      <c r="M344" s="189"/>
      <c r="N344" s="189"/>
      <c r="O344" s="349"/>
      <c r="P344" s="349"/>
    </row>
    <row r="345" spans="1:16" ht="21.75" customHeight="1" x14ac:dyDescent="0.35">
      <c r="A345" s="183"/>
      <c r="B345" s="297"/>
      <c r="C345" s="184"/>
      <c r="D345" s="203"/>
      <c r="E345" s="202" t="s">
        <v>125</v>
      </c>
      <c r="F345" s="203"/>
      <c r="G345" s="204"/>
      <c r="H345" s="188" t="s">
        <v>37</v>
      </c>
      <c r="I345" s="195">
        <f ca="1">IFERROR(__xludf.DUMMYFUNCTION("IMPORTRANGE(""https://docs.google.com/spreadsheets/d/1IYY_tgx_IHuhSq3AJ5eI5OnqOPBNLWSHKh2a30DoXe8/edit?usp=sharing"",""ยะลา!I240"")"),100)</f>
        <v>100</v>
      </c>
      <c r="J345" s="195">
        <f ca="1">IFERROR(__xludf.DUMMYFUNCTION("IMPORTRANGE(""https://docs.google.com/spreadsheets/d/1IYY_tgx_IHuhSq3AJ5eI5OnqOPBNLWSHKh2a30DoXe8/edit?usp=sharing"",""ยะลา!J240"")"),36)</f>
        <v>36</v>
      </c>
      <c r="K345" s="348">
        <f t="shared" ca="1" si="103"/>
        <v>36</v>
      </c>
      <c r="L345" s="189"/>
      <c r="M345" s="189"/>
      <c r="N345" s="189"/>
      <c r="O345" s="349"/>
      <c r="P345" s="349"/>
    </row>
    <row r="346" spans="1:16" ht="21.75" customHeight="1" x14ac:dyDescent="0.35">
      <c r="A346" s="241"/>
      <c r="B346" s="352"/>
      <c r="C346" s="242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IFERROR(__xludf.DUMMYFUNCTION("IMPORTRANGE(""https://docs.google.com/spreadsheets/d/1IYY_tgx_IHuhSq3AJ5eI5OnqOPBNLWSHKh2a30DoXe8/edit?usp=sharing"",""ยะลา!I241"")"),0)</f>
        <v>0</v>
      </c>
      <c r="J346" s="195">
        <f ca="1">IFERROR(__xludf.DUMMYFUNCTION("IMPORTRANGE(""https://docs.google.com/spreadsheets/d/1IYY_tgx_IHuhSq3AJ5eI5OnqOPBNLWSHKh2a30DoXe8/edit?usp=sharing"",""ยะลา!J241"")"),345.35)</f>
        <v>345.35</v>
      </c>
      <c r="K346" s="357">
        <f t="shared" ca="1" si="103"/>
        <v>0</v>
      </c>
      <c r="L346" s="252"/>
      <c r="M346" s="252"/>
      <c r="N346" s="252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IFERROR(__xludf.DUMMYFUNCTION("IMPORTRANGE(""https://docs.google.com/spreadsheets/d/1IYY_tgx_IHuhSq3AJ5eI5OnqOPBNLWSHKh2a30DoXe8/edit?usp=sharing"",""ยะลา!L242"")"),610667)</f>
        <v>610667</v>
      </c>
      <c r="M347" s="364"/>
      <c r="N347" s="364">
        <f ca="1">IFERROR(__xludf.DUMMYFUNCTION("IMPORTRANGE(""https://docs.google.com/spreadsheets/d/1IYY_tgx_IHuhSq3AJ5eI5OnqOPBNLWSHKh2a30DoXe8/edit?usp=sharing"",""ยะลา!M242"")"),306953.81)</f>
        <v>306953.81</v>
      </c>
      <c r="O347" s="364">
        <f ca="1">+IF(L347&gt;0,N347*100/L347,0)</f>
        <v>50.265334462153675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IFERROR(__xludf.DUMMYFUNCTION("IMPORTRANGE(""https://docs.google.com/spreadsheets/d/1IYY_tgx_IHuhSq3AJ5eI5OnqOPBNLWSHKh2a30DoXe8/edit?usp=sharing"",""ยะลา!I244"")"),0)</f>
        <v>0</v>
      </c>
      <c r="J349" s="377">
        <f ca="1">IFERROR(__xludf.DUMMYFUNCTION("IMPORTRANGE(""https://docs.google.com/spreadsheets/d/1IYY_tgx_IHuhSq3AJ5eI5OnqOPBNLWSHKh2a30DoXe8/edit?usp=sharing"",""ยะลา!J244"")"),0)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IFERROR(__xludf.DUMMYFUNCTION("IMPORTRANGE(""https://docs.google.com/spreadsheets/d/1IYY_tgx_IHuhSq3AJ5eI5OnqOPBNLWSHKh2a30DoXe8/edit?usp=sharing"",""ยะลา!L244"")"),0)</f>
        <v>0</v>
      </c>
      <c r="M349" s="379"/>
      <c r="N349" s="379">
        <f ca="1">IFERROR(__xludf.DUMMYFUNCTION("IMPORTRANGE(""https://docs.google.com/spreadsheets/d/1IYY_tgx_IHuhSq3AJ5eI5OnqOPBNLWSHKh2a30DoXe8/edit?usp=sharing"",""ยะลา!M244"")"),0)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IFERROR(__xludf.DUMMYFUNCTION("IMPORTRANGE(""https://docs.google.com/spreadsheets/d/1IYY_tgx_IHuhSq3AJ5eI5OnqOPBNLWSHKh2a30DoXe8/edit?usp=sharing"",""ยะลา!I245"")"),0)</f>
        <v>0</v>
      </c>
      <c r="J350" s="377">
        <f ca="1">IFERROR(__xludf.DUMMYFUNCTION("IMPORTRANGE(""https://docs.google.com/spreadsheets/d/1IYY_tgx_IHuhSq3AJ5eI5OnqOPBNLWSHKh2a30DoXe8/edit?usp=sharing"",""ยะลา!J245"")"),0)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164" t="s">
        <v>38</v>
      </c>
      <c r="E351" s="165"/>
      <c r="F351" s="165"/>
      <c r="G351" s="166" t="s">
        <v>39</v>
      </c>
      <c r="H351" s="167" t="s">
        <v>12</v>
      </c>
      <c r="I351" s="168" t="s">
        <v>40</v>
      </c>
      <c r="J351" s="168"/>
      <c r="K351" s="169"/>
      <c r="L351" s="170">
        <f ca="1">IFERROR(__xludf.DUMMYFUNCTION("IMPORTRANGE(""https://docs.google.com/spreadsheets/d/1IYY_tgx_IHuhSq3AJ5eI5OnqOPBNLWSHKh2a30DoXe8/edit?usp=sharing"",""ยะลา!L246"")"),0)</f>
        <v>0</v>
      </c>
      <c r="M351" s="170"/>
      <c r="N351" s="170">
        <f ca="1">IFERROR(__xludf.DUMMYFUNCTION("IMPORTRANGE(""https://docs.google.com/spreadsheets/d/1IYY_tgx_IHuhSq3AJ5eI5OnqOPBNLWSHKh2a30DoXe8/edit?usp=sharing"",""ยะลา!M246"")"),0)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 x14ac:dyDescent="0.35">
      <c r="A352" s="162"/>
      <c r="B352" s="163"/>
      <c r="C352" s="163"/>
      <c r="D352" s="172"/>
      <c r="E352" s="165"/>
      <c r="F352" s="165" t="s">
        <v>40</v>
      </c>
      <c r="G352" s="166" t="s">
        <v>41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IFERROR(__xludf.DUMMYFUNCTION("IMPORTRANGE(""https://docs.google.com/spreadsheets/d/1IYY_tgx_IHuhSq3AJ5eI5OnqOPBNLWSHKh2a30DoXe8/edit?usp=sharing"",""ยะลา!L247"")"),0)</f>
        <v>0</v>
      </c>
      <c r="M352" s="171"/>
      <c r="N352" s="170">
        <f ca="1">IFERROR(__xludf.DUMMYFUNCTION("IMPORTRANGE(""https://docs.google.com/spreadsheets/d/1IYY_tgx_IHuhSq3AJ5eI5OnqOPBNLWSHKh2a30DoXe8/edit?usp=sharing"",""ยะลา!M247"")"),0)</f>
        <v>0</v>
      </c>
      <c r="O352" s="171">
        <f t="shared" ca="1" si="105"/>
        <v>0</v>
      </c>
      <c r="P352" s="171"/>
    </row>
    <row r="353" spans="1:16" ht="21.75" customHeight="1" x14ac:dyDescent="0.35">
      <c r="A353" s="162"/>
      <c r="B353" s="163"/>
      <c r="C353" s="163"/>
      <c r="D353" s="172"/>
      <c r="E353" s="165"/>
      <c r="F353" s="165"/>
      <c r="G353" s="380" t="s">
        <v>129</v>
      </c>
      <c r="H353" s="167" t="s">
        <v>12</v>
      </c>
      <c r="I353" s="168"/>
      <c r="J353" s="168"/>
      <c r="K353" s="169"/>
      <c r="L353" s="176">
        <f ca="1">IFERROR(__xludf.DUMMYFUNCTION("IMPORTRANGE(""https://docs.google.com/spreadsheets/d/1IYY_tgx_IHuhSq3AJ5eI5OnqOPBNLWSHKh2a30DoXe8/edit?usp=sharing"",""ยะลา!L248"")"),0)</f>
        <v>0</v>
      </c>
      <c r="M353" s="176"/>
      <c r="N353" s="176">
        <f ca="1">IFERROR(__xludf.DUMMYFUNCTION("IMPORTRANGE(""https://docs.google.com/spreadsheets/d/1IYY_tgx_IHuhSq3AJ5eI5OnqOPBNLWSHKh2a30DoXe8/edit?usp=sharing"",""ยะลา!M248"")"),0)</f>
        <v>0</v>
      </c>
      <c r="O353" s="176">
        <f t="shared" ca="1" si="105"/>
        <v>0</v>
      </c>
      <c r="P353" s="176"/>
    </row>
    <row r="354" spans="1:16" ht="21.75" customHeight="1" x14ac:dyDescent="0.35">
      <c r="A354" s="162"/>
      <c r="B354" s="163"/>
      <c r="C354" s="163"/>
      <c r="D354" s="172"/>
      <c r="E354" s="165"/>
      <c r="F354" s="165"/>
      <c r="G354" s="380" t="s">
        <v>130</v>
      </c>
      <c r="H354" s="167" t="s">
        <v>12</v>
      </c>
      <c r="I354" s="168"/>
      <c r="J354" s="168"/>
      <c r="K354" s="169"/>
      <c r="L354" s="176">
        <f ca="1">IFERROR(__xludf.DUMMYFUNCTION("IMPORTRANGE(""https://docs.google.com/spreadsheets/d/1IYY_tgx_IHuhSq3AJ5eI5OnqOPBNLWSHKh2a30DoXe8/edit?usp=sharing"",""ยะลา!L249"")"),0)</f>
        <v>0</v>
      </c>
      <c r="M354" s="176"/>
      <c r="N354" s="173">
        <f ca="1">IFERROR(__xludf.DUMMYFUNCTION("IMPORTRANGE(""https://docs.google.com/spreadsheets/d/1IYY_tgx_IHuhSq3AJ5eI5OnqOPBNLWSHKh2a30DoXe8/edit?usp=sharing"",""ยะลา!M249"")"),0)</f>
        <v>0</v>
      </c>
      <c r="O354" s="176">
        <f t="shared" ca="1" si="105"/>
        <v>0</v>
      </c>
      <c r="P354" s="176"/>
    </row>
    <row r="355" spans="1:16" ht="21.75" customHeight="1" x14ac:dyDescent="0.35">
      <c r="A355" s="381"/>
      <c r="B355" s="382"/>
      <c r="C355" s="163"/>
      <c r="D355" s="383"/>
      <c r="E355" s="165"/>
      <c r="F355" s="165"/>
      <c r="G355" s="384" t="s">
        <v>131</v>
      </c>
      <c r="H355" s="167" t="s">
        <v>12</v>
      </c>
      <c r="I355" s="195"/>
      <c r="J355" s="195"/>
      <c r="K355" s="231"/>
      <c r="L355" s="176"/>
      <c r="M355" s="176"/>
      <c r="N355" s="385">
        <f ca="1">IFERROR(__xludf.DUMMYFUNCTION("IMPORTRANGE(""https://docs.google.com/spreadsheets/d/1IYY_tgx_IHuhSq3AJ5eI5OnqOPBNLWSHKh2a30DoXe8/edit?usp=sharing"",""ยะลา!M250"")"),0)</f>
        <v>0</v>
      </c>
      <c r="O355" s="176"/>
      <c r="P355" s="176"/>
    </row>
    <row r="356" spans="1:16" ht="21.75" customHeight="1" x14ac:dyDescent="0.35">
      <c r="A356" s="381"/>
      <c r="B356" s="382"/>
      <c r="C356" s="163"/>
      <c r="D356" s="383"/>
      <c r="E356" s="165"/>
      <c r="F356" s="165"/>
      <c r="G356" s="384" t="s">
        <v>132</v>
      </c>
      <c r="H356" s="167" t="s">
        <v>12</v>
      </c>
      <c r="I356" s="195"/>
      <c r="J356" s="195"/>
      <c r="K356" s="231"/>
      <c r="L356" s="176"/>
      <c r="M356" s="176"/>
      <c r="N356" s="385">
        <f ca="1">IFERROR(__xludf.DUMMYFUNCTION("IMPORTRANGE(""https://docs.google.com/spreadsheets/d/1IYY_tgx_IHuhSq3AJ5eI5OnqOPBNLWSHKh2a30DoXe8/edit?usp=sharing"",""ยะลา!M251"")"),0)</f>
        <v>0</v>
      </c>
      <c r="O356" s="176"/>
      <c r="P356" s="176"/>
    </row>
    <row r="357" spans="1:16" ht="21.75" customHeight="1" x14ac:dyDescent="0.35">
      <c r="A357" s="381"/>
      <c r="B357" s="382"/>
      <c r="C357" s="163"/>
      <c r="D357" s="383"/>
      <c r="E357" s="165"/>
      <c r="F357" s="165"/>
      <c r="G357" s="384" t="s">
        <v>133</v>
      </c>
      <c r="H357" s="167" t="s">
        <v>12</v>
      </c>
      <c r="I357" s="195"/>
      <c r="J357" s="195"/>
      <c r="K357" s="231"/>
      <c r="L357" s="176"/>
      <c r="M357" s="176"/>
      <c r="N357" s="385">
        <f ca="1">IFERROR(__xludf.DUMMYFUNCTION("IMPORTRANGE(""https://docs.google.com/spreadsheets/d/1IYY_tgx_IHuhSq3AJ5eI5OnqOPBNLWSHKh2a30DoXe8/edit?usp=sharing"",""ยะลา!M252"")"),0)</f>
        <v>0</v>
      </c>
      <c r="O357" s="176"/>
      <c r="P357" s="176"/>
    </row>
    <row r="358" spans="1:16" ht="21.75" customHeight="1" x14ac:dyDescent="0.35">
      <c r="A358" s="381"/>
      <c r="B358" s="382"/>
      <c r="C358" s="163"/>
      <c r="D358" s="383"/>
      <c r="E358" s="165"/>
      <c r="F358" s="165"/>
      <c r="G358" s="384" t="s">
        <v>134</v>
      </c>
      <c r="H358" s="167" t="s">
        <v>12</v>
      </c>
      <c r="I358" s="195"/>
      <c r="J358" s="195"/>
      <c r="K358" s="231"/>
      <c r="L358" s="176"/>
      <c r="M358" s="176"/>
      <c r="N358" s="385">
        <f ca="1">IFERROR(__xludf.DUMMYFUNCTION("IMPORTRANGE(""https://docs.google.com/spreadsheets/d/1IYY_tgx_IHuhSq3AJ5eI5OnqOPBNLWSHKh2a30DoXe8/edit?usp=sharing"",""ยะลา!M253"")"),0)</f>
        <v>0</v>
      </c>
      <c r="O358" s="176"/>
      <c r="P358" s="176"/>
    </row>
    <row r="359" spans="1:16" ht="21.75" customHeight="1" x14ac:dyDescent="0.35">
      <c r="A359" s="183"/>
      <c r="B359" s="184"/>
      <c r="C359" s="163" t="s">
        <v>16</v>
      </c>
      <c r="D359" s="185" t="s">
        <v>44</v>
      </c>
      <c r="E359" s="186"/>
      <c r="F359" s="186"/>
      <c r="G359" s="187"/>
      <c r="H359" s="188"/>
      <c r="I359" s="168"/>
      <c r="J359" s="168"/>
      <c r="K359" s="169"/>
      <c r="L359" s="189"/>
      <c r="M359" s="189"/>
      <c r="N359" s="189"/>
      <c r="O359" s="189"/>
      <c r="P359" s="189"/>
    </row>
    <row r="360" spans="1:16" ht="21.75" customHeight="1" x14ac:dyDescent="0.35">
      <c r="A360" s="183"/>
      <c r="B360" s="184"/>
      <c r="C360" s="184"/>
      <c r="D360" s="190">
        <v>1</v>
      </c>
      <c r="E360" s="191" t="s">
        <v>45</v>
      </c>
      <c r="F360" s="192"/>
      <c r="G360" s="193"/>
      <c r="H360" s="194"/>
      <c r="I360" s="195"/>
      <c r="J360" s="205">
        <f ca="1">IFERROR(__xludf.DUMMYFUNCTION("IMPORTRANGE(""https://docs.google.com/spreadsheets/d/1IYY_tgx_IHuhSq3AJ5eI5OnqOPBNLWSHKh2a30DoXe8/edit?usp=sharing"",""ยะลา!J255"")"),0)</f>
        <v>0</v>
      </c>
      <c r="K360" s="169"/>
      <c r="L360" s="189"/>
      <c r="M360" s="189"/>
      <c r="N360" s="189"/>
      <c r="O360" s="189"/>
      <c r="P360" s="189"/>
    </row>
    <row r="361" spans="1:16" ht="21.75" customHeight="1" x14ac:dyDescent="0.35">
      <c r="A361" s="183"/>
      <c r="B361" s="184"/>
      <c r="C361" s="184"/>
      <c r="D361" s="197">
        <v>2</v>
      </c>
      <c r="E361" s="198" t="s">
        <v>46</v>
      </c>
      <c r="F361" s="199"/>
      <c r="G361" s="200"/>
      <c r="H361" s="194"/>
      <c r="I361" s="195"/>
      <c r="J361" s="196">
        <f ca="1">IFERROR(__xludf.DUMMYFUNCTION("IMPORTRANGE(""https://docs.google.com/spreadsheets/d/1IYY_tgx_IHuhSq3AJ5eI5OnqOPBNLWSHKh2a30DoXe8/edit?usp=sharing"",""ยะลา!J256"")"),0)</f>
        <v>0</v>
      </c>
      <c r="K361" s="169"/>
      <c r="L361" s="189" t="s">
        <v>40</v>
      </c>
      <c r="M361" s="189"/>
      <c r="N361" s="189" t="s">
        <v>40</v>
      </c>
      <c r="O361" s="189"/>
      <c r="P361" s="189"/>
    </row>
    <row r="362" spans="1:16" ht="21.75" customHeight="1" x14ac:dyDescent="0.35">
      <c r="A362" s="183"/>
      <c r="B362" s="184"/>
      <c r="C362" s="184"/>
      <c r="D362" s="201"/>
      <c r="E362" s="202" t="s">
        <v>47</v>
      </c>
      <c r="F362" s="203"/>
      <c r="G362" s="204"/>
      <c r="H362" s="194"/>
      <c r="I362" s="195"/>
      <c r="J362" s="196">
        <f ca="1">IFERROR(__xludf.DUMMYFUNCTION("IMPORTRANGE(""https://docs.google.com/spreadsheets/d/1IYY_tgx_IHuhSq3AJ5eI5OnqOPBNLWSHKh2a30DoXe8/edit?usp=sharing"",""ยะลา!J257"")"),0)</f>
        <v>0</v>
      </c>
      <c r="K362" s="169"/>
      <c r="L362" s="189"/>
      <c r="M362" s="189"/>
      <c r="N362" s="189"/>
      <c r="O362" s="189"/>
      <c r="P362" s="189"/>
    </row>
    <row r="363" spans="1:16" ht="21.75" customHeight="1" x14ac:dyDescent="0.35">
      <c r="A363" s="183"/>
      <c r="B363" s="184"/>
      <c r="C363" s="184"/>
      <c r="D363" s="201"/>
      <c r="E363" s="202" t="s">
        <v>48</v>
      </c>
      <c r="F363" s="203"/>
      <c r="G363" s="204"/>
      <c r="H363" s="194"/>
      <c r="I363" s="195"/>
      <c r="J363" s="205">
        <f ca="1">IFERROR(__xludf.DUMMYFUNCTION("IMPORTRANGE(""https://docs.google.com/spreadsheets/d/1IYY_tgx_IHuhSq3AJ5eI5OnqOPBNLWSHKh2a30DoXe8/edit?usp=sharing"",""ยะลา!J258"")"),0)</f>
        <v>0</v>
      </c>
      <c r="K363" s="169"/>
      <c r="L363" s="189"/>
      <c r="M363" s="189"/>
      <c r="N363" s="189"/>
      <c r="O363" s="189"/>
      <c r="P363" s="189"/>
    </row>
    <row r="364" spans="1:16" ht="21.75" hidden="1" customHeight="1" x14ac:dyDescent="0.35">
      <c r="A364" s="183"/>
      <c r="B364" s="184"/>
      <c r="C364" s="184"/>
      <c r="D364" s="201"/>
      <c r="E364" s="206"/>
      <c r="F364" s="202" t="s">
        <v>70</v>
      </c>
      <c r="G364" s="204"/>
      <c r="H364" s="188"/>
      <c r="I364" s="195"/>
      <c r="J364" s="195">
        <f ca="1">IFERROR(__xludf.DUMMYFUNCTION("IMPORTRANGE(""https://docs.google.com/spreadsheets/d/1IYY_tgx_IHuhSq3AJ5eI5OnqOPBNLWSHKh2a30DoXe8/edit?usp=sharing"",""ยะลา!J166"")"),0)</f>
        <v>0</v>
      </c>
      <c r="K364" s="169"/>
      <c r="L364" s="189"/>
      <c r="M364" s="189"/>
      <c r="N364" s="189"/>
      <c r="O364" s="189"/>
      <c r="P364" s="189"/>
    </row>
    <row r="365" spans="1:16" ht="21.75" hidden="1" customHeight="1" x14ac:dyDescent="0.35">
      <c r="A365" s="183"/>
      <c r="B365" s="184"/>
      <c r="C365" s="184"/>
      <c r="D365" s="201"/>
      <c r="E365" s="206"/>
      <c r="F365" s="203"/>
      <c r="G365" s="233" t="s">
        <v>135</v>
      </c>
      <c r="H365" s="188" t="s">
        <v>37</v>
      </c>
      <c r="I365" s="195">
        <f ca="1">IFERROR(__xludf.DUMMYFUNCTION("IMPORTRANGE(""https://docs.google.com/spreadsheets/d/1C3CXT74ZlgGe6_JY_1olB1XN4rF0dxEuIIF-xsYjHgg/edit?usp=sharing"",""งบกองทุน!f63"")"),0)</f>
        <v>0</v>
      </c>
      <c r="J365" s="195">
        <f ca="1">IFERROR(__xludf.DUMMYFUNCTION("IMPORTRANGE(""https://docs.google.com/spreadsheets/d/1IYY_tgx_IHuhSq3AJ5eI5OnqOPBNLWSHKh2a30DoXe8/edit?usp=sharing"",""ยะลา!J166"")"),0)</f>
        <v>0</v>
      </c>
      <c r="K365" s="169">
        <f ca="1">IF(I365&gt;0,J365*100/I365,0)</f>
        <v>0</v>
      </c>
      <c r="L365" s="189"/>
      <c r="M365" s="189"/>
      <c r="N365" s="189"/>
      <c r="O365" s="189"/>
      <c r="P365" s="189"/>
    </row>
    <row r="366" spans="1:16" ht="21.75" hidden="1" customHeight="1" x14ac:dyDescent="0.35">
      <c r="A366" s="183"/>
      <c r="B366" s="184"/>
      <c r="C366" s="184"/>
      <c r="D366" s="201"/>
      <c r="E366" s="206"/>
      <c r="F366" s="203"/>
      <c r="G366" s="204" t="s">
        <v>136</v>
      </c>
      <c r="H366" s="188"/>
      <c r="I366" s="168"/>
      <c r="J366" s="195">
        <f ca="1">IFERROR(__xludf.DUMMYFUNCTION("IMPORTRANGE(""https://docs.google.com/spreadsheets/d/1IYY_tgx_IHuhSq3AJ5eI5OnqOPBNLWSHKh2a30DoXe8/edit?usp=sharing"",""ยะลา!J166"")"),0)</f>
        <v>0</v>
      </c>
      <c r="K366" s="169"/>
      <c r="L366" s="189"/>
      <c r="M366" s="189"/>
      <c r="N366" s="189"/>
      <c r="O366" s="189"/>
      <c r="P366" s="189"/>
    </row>
    <row r="367" spans="1:16" ht="21.75" hidden="1" customHeight="1" x14ac:dyDescent="0.35">
      <c r="A367" s="183"/>
      <c r="B367" s="184"/>
      <c r="C367" s="184"/>
      <c r="D367" s="201"/>
      <c r="E367" s="206"/>
      <c r="F367" s="203"/>
      <c r="G367" s="233" t="s">
        <v>137</v>
      </c>
      <c r="H367" s="194" t="s">
        <v>122</v>
      </c>
      <c r="I367" s="195">
        <f ca="1">SUM(I369,I371)</f>
        <v>0</v>
      </c>
      <c r="J367" s="195">
        <f ca="1">IFERROR(__xludf.DUMMYFUNCTION("IMPORTRANGE(""https://docs.google.com/spreadsheets/d/1IYY_tgx_IHuhSq3AJ5eI5OnqOPBNLWSHKh2a30DoXe8/edit?usp=sharing"",""ยะลา!J166"")"),0)</f>
        <v>0</v>
      </c>
      <c r="K367" s="169">
        <f t="shared" ref="K367:K373" ca="1" si="106">IF(I367&gt;0,J367*100/I367,0)</f>
        <v>0</v>
      </c>
      <c r="L367" s="189"/>
      <c r="M367" s="189"/>
      <c r="N367" s="189"/>
      <c r="O367" s="189"/>
      <c r="P367" s="189"/>
    </row>
    <row r="368" spans="1:16" ht="21.75" customHeight="1" x14ac:dyDescent="0.35">
      <c r="A368" s="183"/>
      <c r="B368" s="184"/>
      <c r="C368" s="184"/>
      <c r="D368" s="201"/>
      <c r="E368" s="206"/>
      <c r="F368" s="386" t="s">
        <v>138</v>
      </c>
      <c r="G368" s="387"/>
      <c r="H368" s="194" t="s">
        <v>37</v>
      </c>
      <c r="I368" s="168">
        <f ca="1">IFERROR(__xludf.DUMMYFUNCTION("IMPORTRANGE(""https://docs.google.com/spreadsheets/d/1IYY_tgx_IHuhSq3AJ5eI5OnqOPBNLWSHKh2a30DoXe8/edit?usp=sharing"",""ยะลา!I263"")"),0)</f>
        <v>0</v>
      </c>
      <c r="J368" s="195">
        <f ca="1">IFERROR(__xludf.DUMMYFUNCTION("IMPORTRANGE(""https://docs.google.com/spreadsheets/d/1IYY_tgx_IHuhSq3AJ5eI5OnqOPBNLWSHKh2a30DoXe8/edit?usp=sharing"",""ยะลา!J263"")"),0)</f>
        <v>0</v>
      </c>
      <c r="K368" s="169">
        <f t="shared" ca="1" si="106"/>
        <v>0</v>
      </c>
      <c r="L368" s="189"/>
      <c r="M368" s="189"/>
      <c r="N368" s="189"/>
      <c r="O368" s="189"/>
      <c r="P368" s="189"/>
    </row>
    <row r="369" spans="1:16" ht="21.75" hidden="1" customHeight="1" x14ac:dyDescent="0.35">
      <c r="A369" s="183"/>
      <c r="B369" s="184"/>
      <c r="C369" s="184"/>
      <c r="D369" s="201"/>
      <c r="E369" s="206"/>
      <c r="F369" s="203"/>
      <c r="G369" s="387"/>
      <c r="H369" s="188" t="s">
        <v>122</v>
      </c>
      <c r="I369" s="168">
        <f ca="1">IFERROR(__xludf.DUMMYFUNCTION("IMPORTRANGE(""https://docs.google.com/spreadsheets/d/1IYY_tgx_IHuhSq3AJ5eI5OnqOPBNLWSHKh2a30DoXe8/edit?usp=sharing"",""ยะลา!I164"")"),0)</f>
        <v>0</v>
      </c>
      <c r="J369" s="211">
        <f ca="1">IFERROR(__xludf.DUMMYFUNCTION("IMPORTRANGE(""https://docs.google.com/spreadsheets/d/1IYY_tgx_IHuhSq3AJ5eI5OnqOPBNLWSHKh2a30DoXe8/edit?usp=sharing"",""ยะลา!J164"")"),0)</f>
        <v>0</v>
      </c>
      <c r="K369" s="169">
        <f t="shared" ca="1" si="106"/>
        <v>0</v>
      </c>
      <c r="L369" s="189"/>
      <c r="M369" s="189"/>
      <c r="N369" s="189"/>
      <c r="O369" s="189"/>
      <c r="P369" s="189"/>
    </row>
    <row r="370" spans="1:16" ht="21.75" customHeight="1" x14ac:dyDescent="0.35">
      <c r="A370" s="183"/>
      <c r="B370" s="184"/>
      <c r="C370" s="184"/>
      <c r="D370" s="201"/>
      <c r="E370" s="206"/>
      <c r="F370" s="203"/>
      <c r="G370" s="386" t="s">
        <v>139</v>
      </c>
      <c r="H370" s="188" t="s">
        <v>37</v>
      </c>
      <c r="I370" s="168">
        <f ca="1">IFERROR(__xludf.DUMMYFUNCTION("IMPORTRANGE(""https://docs.google.com/spreadsheets/d/1IYY_tgx_IHuhSq3AJ5eI5OnqOPBNLWSHKh2a30DoXe8/edit?usp=sharing"",""ยะลา!I265"")"),0)</f>
        <v>0</v>
      </c>
      <c r="J370" s="211">
        <f ca="1">IFERROR(__xludf.DUMMYFUNCTION("IMPORTRANGE(""https://docs.google.com/spreadsheets/d/1IYY_tgx_IHuhSq3AJ5eI5OnqOPBNLWSHKh2a30DoXe8/edit?usp=sharing"",""ยะลา!J265"")"),0)</f>
        <v>0</v>
      </c>
      <c r="K370" s="169">
        <f t="shared" ca="1" si="106"/>
        <v>0</v>
      </c>
      <c r="L370" s="189"/>
      <c r="M370" s="189"/>
      <c r="N370" s="189"/>
      <c r="O370" s="189"/>
      <c r="P370" s="189"/>
    </row>
    <row r="371" spans="1:16" ht="21.75" hidden="1" customHeight="1" x14ac:dyDescent="0.35">
      <c r="A371" s="183"/>
      <c r="B371" s="184"/>
      <c r="C371" s="184"/>
      <c r="D371" s="201"/>
      <c r="E371" s="206"/>
      <c r="F371" s="203"/>
      <c r="G371" s="387"/>
      <c r="H371" s="188" t="s">
        <v>122</v>
      </c>
      <c r="I371" s="168">
        <f ca="1">IFERROR(__xludf.DUMMYFUNCTION("IMPORTRANGE(""https://docs.google.com/spreadsheets/d/1IYY_tgx_IHuhSq3AJ5eI5OnqOPBNLWSHKh2a30DoXe8/edit?usp=sharing"",""ยะลา!I164"")"),0)</f>
        <v>0</v>
      </c>
      <c r="J371" s="196">
        <f ca="1">IFERROR(__xludf.DUMMYFUNCTION("IMPORTRANGE(""https://docs.google.com/spreadsheets/d/1IYY_tgx_IHuhSq3AJ5eI5OnqOPBNLWSHKh2a30DoXe8/edit?usp=sharing"",""ยะลา!J164"")"),0)</f>
        <v>0</v>
      </c>
      <c r="K371" s="169">
        <f t="shared" ca="1" si="106"/>
        <v>0</v>
      </c>
      <c r="L371" s="189"/>
      <c r="M371" s="189"/>
      <c r="N371" s="189"/>
      <c r="O371" s="189"/>
      <c r="P371" s="189"/>
    </row>
    <row r="372" spans="1:16" ht="21.75" customHeight="1" x14ac:dyDescent="0.35">
      <c r="A372" s="183"/>
      <c r="B372" s="184"/>
      <c r="C372" s="184"/>
      <c r="D372" s="201"/>
      <c r="E372" s="206"/>
      <c r="F372" s="203"/>
      <c r="G372" s="386" t="s">
        <v>140</v>
      </c>
      <c r="H372" s="188" t="s">
        <v>37</v>
      </c>
      <c r="I372" s="168">
        <f ca="1">IFERROR(__xludf.DUMMYFUNCTION("IMPORTRANGE(""https://docs.google.com/spreadsheets/d/1IYY_tgx_IHuhSq3AJ5eI5OnqOPBNLWSHKh2a30DoXe8/edit?usp=sharing"",""ยะลา!I267"")"),0)</f>
        <v>0</v>
      </c>
      <c r="J372" s="196">
        <f ca="1">IFERROR(__xludf.DUMMYFUNCTION("IMPORTRANGE(""https://docs.google.com/spreadsheets/d/1IYY_tgx_IHuhSq3AJ5eI5OnqOPBNLWSHKh2a30DoXe8/edit?usp=sharing"",""ยะลา!J267"")"),0)</f>
        <v>0</v>
      </c>
      <c r="K372" s="169">
        <f t="shared" ca="1" si="106"/>
        <v>0</v>
      </c>
      <c r="L372" s="189"/>
      <c r="M372" s="189"/>
      <c r="N372" s="189"/>
      <c r="O372" s="189"/>
      <c r="P372" s="189"/>
    </row>
    <row r="373" spans="1:16" ht="21.75" hidden="1" customHeight="1" x14ac:dyDescent="0.35">
      <c r="A373" s="183"/>
      <c r="B373" s="184"/>
      <c r="C373" s="184"/>
      <c r="D373" s="201"/>
      <c r="E373" s="206"/>
      <c r="F373" s="203"/>
      <c r="G373" s="233" t="s">
        <v>141</v>
      </c>
      <c r="H373" s="188" t="s">
        <v>37</v>
      </c>
      <c r="I373" s="195">
        <f ca="1">IFERROR(__xludf.DUMMYFUNCTION("IMPORTRANGE(""https://docs.google.com/spreadsheets/d/1IYY_tgx_IHuhSq3AJ5eI5OnqOPBNLWSHKh2a30DoXe8/edit?usp=sharing"",""ยะลา!I164"")"),0)</f>
        <v>0</v>
      </c>
      <c r="J373" s="211">
        <f ca="1">IFERROR(__xludf.DUMMYFUNCTION("IMPORTRANGE(""https://docs.google.com/spreadsheets/d/1IYY_tgx_IHuhSq3AJ5eI5OnqOPBNLWSHKh2a30DoXe8/edit?usp=sharing"",""ยะลา!J164"")"),0)</f>
        <v>0</v>
      </c>
      <c r="K373" s="169">
        <f t="shared" ca="1" si="106"/>
        <v>0</v>
      </c>
      <c r="L373" s="189"/>
      <c r="M373" s="189"/>
      <c r="N373" s="189"/>
      <c r="O373" s="189"/>
      <c r="P373" s="189"/>
    </row>
    <row r="374" spans="1:16" ht="21.75" hidden="1" customHeight="1" x14ac:dyDescent="0.35">
      <c r="A374" s="183"/>
      <c r="B374" s="184"/>
      <c r="C374" s="184"/>
      <c r="D374" s="201"/>
      <c r="E374" s="206"/>
      <c r="F374" s="203"/>
      <c r="G374" s="204" t="s">
        <v>142</v>
      </c>
      <c r="H374" s="188"/>
      <c r="I374" s="195">
        <f ca="1">IFERROR(__xludf.DUMMYFUNCTION("IMPORTRANGE(""https://docs.google.com/spreadsheets/d/1IYY_tgx_IHuhSq3AJ5eI5OnqOPBNLWSHKh2a30DoXe8/edit?usp=sharing"",""ยะลา!I164"")"),0)</f>
        <v>0</v>
      </c>
      <c r="J374" s="195">
        <f ca="1">IFERROR(__xludf.DUMMYFUNCTION("IMPORTRANGE(""https://docs.google.com/spreadsheets/d/1IYY_tgx_IHuhSq3AJ5eI5OnqOPBNLWSHKh2a30DoXe8/edit?usp=sharing"",""ยะลา!J164"")"),0)</f>
        <v>0</v>
      </c>
      <c r="K374" s="169"/>
      <c r="L374" s="189"/>
      <c r="M374" s="189"/>
      <c r="N374" s="189"/>
      <c r="O374" s="189"/>
      <c r="P374" s="189"/>
    </row>
    <row r="375" spans="1:16" ht="21.75" customHeight="1" x14ac:dyDescent="0.35">
      <c r="A375" s="183"/>
      <c r="B375" s="184"/>
      <c r="C375" s="184"/>
      <c r="D375" s="201"/>
      <c r="E375" s="203"/>
      <c r="F375" s="212" t="s">
        <v>53</v>
      </c>
      <c r="G375" s="204"/>
      <c r="H375" s="286" t="s">
        <v>122</v>
      </c>
      <c r="I375" s="195">
        <f ca="1">IFERROR(__xludf.DUMMYFUNCTION("IMPORTRANGE(""https://docs.google.com/spreadsheets/d/1IYY_tgx_IHuhSq3AJ5eI5OnqOPBNLWSHKh2a30DoXe8/edit?usp=sharing"",""ยะลา!I270"")"),0)</f>
        <v>0</v>
      </c>
      <c r="J375" s="195">
        <f ca="1">IFERROR(__xludf.DUMMYFUNCTION("IMPORTRANGE(""https://docs.google.com/spreadsheets/d/1IYY_tgx_IHuhSq3AJ5eI5OnqOPBNLWSHKh2a30DoXe8/edit?usp=sharing"",""ยะลา!J270"")"),0)</f>
        <v>0</v>
      </c>
      <c r="K375" s="169">
        <f t="shared" ref="K375:K377" ca="1" si="107">IF(I375&gt;0,J375*100/I375,0)</f>
        <v>0</v>
      </c>
      <c r="L375" s="189"/>
      <c r="M375" s="189"/>
      <c r="N375" s="189"/>
      <c r="O375" s="189"/>
      <c r="P375" s="189"/>
    </row>
    <row r="376" spans="1:16" ht="21.75" customHeight="1" x14ac:dyDescent="0.35">
      <c r="A376" s="183"/>
      <c r="B376" s="184"/>
      <c r="C376" s="184"/>
      <c r="D376" s="201"/>
      <c r="E376" s="203"/>
      <c r="F376" s="203"/>
      <c r="G376" s="287" t="s">
        <v>143</v>
      </c>
      <c r="H376" s="286" t="s">
        <v>122</v>
      </c>
      <c r="I376" s="195">
        <f ca="1">IFERROR(__xludf.DUMMYFUNCTION("IMPORTRANGE(""https://docs.google.com/spreadsheets/d/1IYY_tgx_IHuhSq3AJ5eI5OnqOPBNLWSHKh2a30DoXe8/edit?usp=sharing"",""ยะลา!I271"")"),0)</f>
        <v>0</v>
      </c>
      <c r="J376" s="196">
        <f ca="1">IFERROR(__xludf.DUMMYFUNCTION("IMPORTRANGE(""https://docs.google.com/spreadsheets/d/1IYY_tgx_IHuhSq3AJ5eI5OnqOPBNLWSHKh2a30DoXe8/edit?usp=sharing"",""ยะลา!J271"")"),0)</f>
        <v>0</v>
      </c>
      <c r="K376" s="169">
        <f t="shared" ca="1" si="107"/>
        <v>0</v>
      </c>
      <c r="L376" s="189"/>
      <c r="M376" s="189"/>
      <c r="N376" s="189"/>
      <c r="O376" s="189"/>
      <c r="P376" s="189"/>
    </row>
    <row r="377" spans="1:16" ht="21.75" customHeight="1" x14ac:dyDescent="0.35">
      <c r="A377" s="183"/>
      <c r="B377" s="184"/>
      <c r="C377" s="184"/>
      <c r="D377" s="201"/>
      <c r="E377" s="203"/>
      <c r="F377" s="203"/>
      <c r="G377" s="287" t="s">
        <v>144</v>
      </c>
      <c r="H377" s="286" t="s">
        <v>122</v>
      </c>
      <c r="I377" s="195">
        <f ca="1">IFERROR(__xludf.DUMMYFUNCTION("IMPORTRANGE(""https://docs.google.com/spreadsheets/d/1IYY_tgx_IHuhSq3AJ5eI5OnqOPBNLWSHKh2a30DoXe8/edit?usp=sharing"",""ยะลา!I272"")"),0)</f>
        <v>0</v>
      </c>
      <c r="J377" s="211">
        <f ca="1">IFERROR(__xludf.DUMMYFUNCTION("IMPORTRANGE(""https://docs.google.com/spreadsheets/d/1IYY_tgx_IHuhSq3AJ5eI5OnqOPBNLWSHKh2a30DoXe8/edit?usp=sharing"",""ยะลา!J272"")"),0)</f>
        <v>0</v>
      </c>
      <c r="K377" s="169">
        <f t="shared" ca="1" si="107"/>
        <v>0</v>
      </c>
      <c r="L377" s="189"/>
      <c r="M377" s="189"/>
      <c r="N377" s="189"/>
      <c r="O377" s="189"/>
      <c r="P377" s="189"/>
    </row>
    <row r="378" spans="1:16" ht="21.75" customHeight="1" x14ac:dyDescent="0.35">
      <c r="A378" s="183"/>
      <c r="B378" s="184"/>
      <c r="C378" s="184"/>
      <c r="D378" s="201"/>
      <c r="E378" s="202" t="s">
        <v>54</v>
      </c>
      <c r="F378" s="203"/>
      <c r="G378" s="204"/>
      <c r="H378" s="194"/>
      <c r="I378" s="195"/>
      <c r="J378" s="205">
        <f ca="1">IFERROR(__xludf.DUMMYFUNCTION("IMPORTRANGE(""https://docs.google.com/spreadsheets/d/1IYY_tgx_IHuhSq3AJ5eI5OnqOPBNLWSHKh2a30DoXe8/edit?usp=sharing"",""ยะลา!J273"")"),0)</f>
        <v>0</v>
      </c>
      <c r="K378" s="169"/>
      <c r="L378" s="189"/>
      <c r="M378" s="189"/>
      <c r="N378" s="189"/>
      <c r="O378" s="189"/>
      <c r="P378" s="189"/>
    </row>
    <row r="379" spans="1:16" ht="21.75" customHeight="1" x14ac:dyDescent="0.35">
      <c r="A379" s="183"/>
      <c r="B379" s="184"/>
      <c r="C379" s="184"/>
      <c r="D379" s="213">
        <v>3</v>
      </c>
      <c r="E379" s="214" t="s">
        <v>55</v>
      </c>
      <c r="F379" s="215"/>
      <c r="G379" s="216"/>
      <c r="H379" s="194"/>
      <c r="I379" s="195"/>
      <c r="J379" s="217">
        <f ca="1">IFERROR(__xludf.DUMMYFUNCTION("IMPORTRANGE(""https://docs.google.com/spreadsheets/d/1IYY_tgx_IHuhSq3AJ5eI5OnqOPBNLWSHKh2a30DoXe8/edit?usp=sharing"",""ยะลา!J274"")"),0)</f>
        <v>0</v>
      </c>
      <c r="K379" s="169"/>
      <c r="L379" s="189"/>
      <c r="M379" s="189"/>
      <c r="N379" s="189"/>
      <c r="O379" s="189"/>
      <c r="P379" s="189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IFERROR(__xludf.DUMMYFUNCTION("IMPORTRANGE(""https://docs.google.com/spreadsheets/d/1IYY_tgx_IHuhSq3AJ5eI5OnqOPBNLWSHKh2a30DoXe8/edit?usp=sharing"",""ยะลา!I275"")"),150)</f>
        <v>150</v>
      </c>
      <c r="J380" s="377">
        <f ca="1">IFERROR(__xludf.DUMMYFUNCTION("IMPORTRANGE(""https://docs.google.com/spreadsheets/d/1IYY_tgx_IHuhSq3AJ5eI5OnqOPBNLWSHKh2a30DoXe8/edit?usp=sharing"",""ยะลา!J275"")"),150)</f>
        <v>150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IFERROR(__xludf.DUMMYFUNCTION("IMPORTRANGE(""https://docs.google.com/spreadsheets/d/1IYY_tgx_IHuhSq3AJ5eI5OnqOPBNLWSHKh2a30DoXe8/edit?usp=sharing"",""ยะลา!L275"")"),167610)</f>
        <v>167610</v>
      </c>
      <c r="M380" s="379"/>
      <c r="N380" s="379">
        <f ca="1">IFERROR(__xludf.DUMMYFUNCTION("IMPORTRANGE(""https://docs.google.com/spreadsheets/d/1IYY_tgx_IHuhSq3AJ5eI5OnqOPBNLWSHKh2a30DoXe8/edit?usp=sharing"",""ยะลา!M275"")"),146920)</f>
        <v>146920</v>
      </c>
      <c r="O380" s="379">
        <f ca="1">+IF(L380&gt;0,N380*100/L380,0)</f>
        <v>87.655867788318119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IFERROR(__xludf.DUMMYFUNCTION("IMPORTRANGE(""https://docs.google.com/spreadsheets/d/1IYY_tgx_IHuhSq3AJ5eI5OnqOPBNLWSHKh2a30DoXe8/edit?usp=sharing"",""ยะลา!I276"")"),15)</f>
        <v>15</v>
      </c>
      <c r="J381" s="377">
        <f ca="1">IFERROR(__xludf.DUMMYFUNCTION("IMPORTRANGE(""https://docs.google.com/spreadsheets/d/1IYY_tgx_IHuhSq3AJ5eI5OnqOPBNLWSHKh2a30DoXe8/edit?usp=sharing"",""ยะลา!J276"")"),15)</f>
        <v>15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164" t="s">
        <v>38</v>
      </c>
      <c r="E382" s="165"/>
      <c r="F382" s="165"/>
      <c r="G382" s="166" t="s">
        <v>39</v>
      </c>
      <c r="H382" s="167" t="s">
        <v>12</v>
      </c>
      <c r="I382" s="168" t="s">
        <v>40</v>
      </c>
      <c r="J382" s="168"/>
      <c r="K382" s="169"/>
      <c r="L382" s="170">
        <f ca="1">IFERROR(__xludf.DUMMYFUNCTION("IMPORTRANGE(""https://docs.google.com/spreadsheets/d/1IYY_tgx_IHuhSq3AJ5eI5OnqOPBNLWSHKh2a30DoXe8/edit?usp=sharing"",""ยะลา!L277"")"),0)</f>
        <v>0</v>
      </c>
      <c r="M382" s="170"/>
      <c r="N382" s="170">
        <f ca="1">IFERROR(__xludf.DUMMYFUNCTION("IMPORTRANGE(""https://docs.google.com/spreadsheets/d/1IYY_tgx_IHuhSq3AJ5eI5OnqOPBNLWSHKh2a30DoXe8/edit?usp=sharing"",""ยะลา!M277"")"),0)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 x14ac:dyDescent="0.35">
      <c r="A383" s="162"/>
      <c r="B383" s="163"/>
      <c r="C383" s="163"/>
      <c r="D383" s="172"/>
      <c r="E383" s="165"/>
      <c r="F383" s="165" t="s">
        <v>40</v>
      </c>
      <c r="G383" s="166" t="s">
        <v>41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IFERROR(__xludf.DUMMYFUNCTION("IMPORTRANGE(""https://docs.google.com/spreadsheets/d/1IYY_tgx_IHuhSq3AJ5eI5OnqOPBNLWSHKh2a30DoXe8/edit?usp=sharing"",""ยะลา!L278"")"),167610)</f>
        <v>167610</v>
      </c>
      <c r="M383" s="171"/>
      <c r="N383" s="171">
        <f ca="1">IFERROR(__xludf.DUMMYFUNCTION("IMPORTRANGE(""https://docs.google.com/spreadsheets/d/1IYY_tgx_IHuhSq3AJ5eI5OnqOPBNLWSHKh2a30DoXe8/edit?usp=sharing"",""ยะลา!M278"")"),146920)</f>
        <v>146920</v>
      </c>
      <c r="O383" s="171">
        <f t="shared" ca="1" si="109"/>
        <v>87.655867788318119</v>
      </c>
      <c r="P383" s="171"/>
    </row>
    <row r="384" spans="1:16" ht="21.75" customHeight="1" x14ac:dyDescent="0.35">
      <c r="A384" s="162"/>
      <c r="B384" s="163"/>
      <c r="C384" s="163"/>
      <c r="D384" s="172"/>
      <c r="E384" s="165"/>
      <c r="F384" s="165"/>
      <c r="G384" s="380" t="s">
        <v>129</v>
      </c>
      <c r="H384" s="167" t="s">
        <v>12</v>
      </c>
      <c r="I384" s="168"/>
      <c r="J384" s="168"/>
      <c r="K384" s="169"/>
      <c r="L384" s="176">
        <f ca="1">IFERROR(__xludf.DUMMYFUNCTION("IMPORTRANGE(""https://docs.google.com/spreadsheets/d/1IYY_tgx_IHuhSq3AJ5eI5OnqOPBNLWSHKh2a30DoXe8/edit?usp=sharing"",""ยะลา!L279"")"),0)</f>
        <v>0</v>
      </c>
      <c r="M384" s="176"/>
      <c r="N384" s="176">
        <f ca="1">IFERROR(__xludf.DUMMYFUNCTION("IMPORTRANGE(""https://docs.google.com/spreadsheets/d/1IYY_tgx_IHuhSq3AJ5eI5OnqOPBNLWSHKh2a30DoXe8/edit?usp=sharing"",""ยะลา!M279"")"),0)</f>
        <v>0</v>
      </c>
      <c r="O384" s="176">
        <f t="shared" ca="1" si="109"/>
        <v>0</v>
      </c>
      <c r="P384" s="176"/>
    </row>
    <row r="385" spans="1:16" ht="21.75" customHeight="1" x14ac:dyDescent="0.35">
      <c r="A385" s="162"/>
      <c r="B385" s="163"/>
      <c r="C385" s="163"/>
      <c r="D385" s="172"/>
      <c r="E385" s="165"/>
      <c r="F385" s="165"/>
      <c r="G385" s="380" t="s">
        <v>130</v>
      </c>
      <c r="H385" s="167" t="s">
        <v>12</v>
      </c>
      <c r="I385" s="168"/>
      <c r="J385" s="168"/>
      <c r="K385" s="169"/>
      <c r="L385" s="176">
        <f ca="1">IFERROR(__xludf.DUMMYFUNCTION("IMPORTRANGE(""https://docs.google.com/spreadsheets/d/1IYY_tgx_IHuhSq3AJ5eI5OnqOPBNLWSHKh2a30DoXe8/edit?usp=sharing"",""ยะลา!L280"")"),167610)</f>
        <v>167610</v>
      </c>
      <c r="M385" s="176"/>
      <c r="N385" s="173">
        <f ca="1">IFERROR(__xludf.DUMMYFUNCTION("IMPORTRANGE(""https://docs.google.com/spreadsheets/d/1IYY_tgx_IHuhSq3AJ5eI5OnqOPBNLWSHKh2a30DoXe8/edit?usp=sharing"",""ยะลา!M280"")"),146920)</f>
        <v>146920</v>
      </c>
      <c r="O385" s="176">
        <f t="shared" ca="1" si="109"/>
        <v>87.655867788318119</v>
      </c>
      <c r="P385" s="176"/>
    </row>
    <row r="386" spans="1:16" ht="21.75" customHeight="1" x14ac:dyDescent="0.35">
      <c r="A386" s="381"/>
      <c r="B386" s="382"/>
      <c r="C386" s="163"/>
      <c r="D386" s="383"/>
      <c r="E386" s="165"/>
      <c r="F386" s="165"/>
      <c r="G386" s="384" t="s">
        <v>131</v>
      </c>
      <c r="H386" s="167" t="s">
        <v>12</v>
      </c>
      <c r="I386" s="195"/>
      <c r="J386" s="195"/>
      <c r="K386" s="231"/>
      <c r="L386" s="176"/>
      <c r="M386" s="176"/>
      <c r="N386" s="385">
        <f ca="1">IFERROR(__xludf.DUMMYFUNCTION("IMPORTRANGE(""https://docs.google.com/spreadsheets/d/1IYY_tgx_IHuhSq3AJ5eI5OnqOPBNLWSHKh2a30DoXe8/edit?usp=sharing"",""ยะลา!M281"")"),45080)</f>
        <v>45080</v>
      </c>
      <c r="O386" s="176"/>
      <c r="P386" s="176"/>
    </row>
    <row r="387" spans="1:16" ht="21.75" customHeight="1" x14ac:dyDescent="0.35">
      <c r="A387" s="381"/>
      <c r="B387" s="382"/>
      <c r="C387" s="163"/>
      <c r="D387" s="383"/>
      <c r="E387" s="165"/>
      <c r="F387" s="165"/>
      <c r="G387" s="384" t="s">
        <v>132</v>
      </c>
      <c r="H387" s="167" t="s">
        <v>12</v>
      </c>
      <c r="I387" s="195"/>
      <c r="J387" s="195"/>
      <c r="K387" s="231"/>
      <c r="L387" s="176"/>
      <c r="M387" s="176"/>
      <c r="N387" s="385">
        <f ca="1">IFERROR(__xludf.DUMMYFUNCTION("IMPORTRANGE(""https://docs.google.com/spreadsheets/d/1IYY_tgx_IHuhSq3AJ5eI5OnqOPBNLWSHKh2a30DoXe8/edit?usp=sharing"",""ยะลา!M282"")"),88600)</f>
        <v>88600</v>
      </c>
      <c r="O387" s="176"/>
      <c r="P387" s="176"/>
    </row>
    <row r="388" spans="1:16" ht="21.75" customHeight="1" x14ac:dyDescent="0.35">
      <c r="A388" s="381"/>
      <c r="B388" s="382"/>
      <c r="C388" s="163"/>
      <c r="D388" s="383"/>
      <c r="E388" s="165"/>
      <c r="F388" s="165"/>
      <c r="G388" s="384" t="s">
        <v>133</v>
      </c>
      <c r="H388" s="167" t="s">
        <v>12</v>
      </c>
      <c r="I388" s="195"/>
      <c r="J388" s="195"/>
      <c r="K388" s="231"/>
      <c r="L388" s="176"/>
      <c r="M388" s="176"/>
      <c r="N388" s="385">
        <f ca="1">IFERROR(__xludf.DUMMYFUNCTION("IMPORTRANGE(""https://docs.google.com/spreadsheets/d/1IYY_tgx_IHuhSq3AJ5eI5OnqOPBNLWSHKh2a30DoXe8/edit?usp=sharing"",""ยะลา!M283"")"),0)</f>
        <v>0</v>
      </c>
      <c r="O388" s="176"/>
      <c r="P388" s="176"/>
    </row>
    <row r="389" spans="1:16" ht="21.75" customHeight="1" x14ac:dyDescent="0.35">
      <c r="A389" s="381"/>
      <c r="B389" s="382"/>
      <c r="C389" s="163"/>
      <c r="D389" s="383"/>
      <c r="E389" s="165"/>
      <c r="F389" s="165"/>
      <c r="G389" s="384" t="s">
        <v>134</v>
      </c>
      <c r="H389" s="167" t="s">
        <v>12</v>
      </c>
      <c r="I389" s="195"/>
      <c r="J389" s="195"/>
      <c r="K389" s="231"/>
      <c r="L389" s="176"/>
      <c r="M389" s="176"/>
      <c r="N389" s="385">
        <f ca="1">IFERROR(__xludf.DUMMYFUNCTION("IMPORTRANGE(""https://docs.google.com/spreadsheets/d/1IYY_tgx_IHuhSq3AJ5eI5OnqOPBNLWSHKh2a30DoXe8/edit?usp=sharing"",""ยะลา!M284"")"),13240)</f>
        <v>13240</v>
      </c>
      <c r="O389" s="176"/>
      <c r="P389" s="176"/>
    </row>
    <row r="390" spans="1:16" ht="21.75" customHeight="1" x14ac:dyDescent="0.35">
      <c r="A390" s="183"/>
      <c r="B390" s="184"/>
      <c r="C390" s="163" t="s">
        <v>16</v>
      </c>
      <c r="D390" s="185" t="s">
        <v>44</v>
      </c>
      <c r="E390" s="186"/>
      <c r="F390" s="186"/>
      <c r="G390" s="187"/>
      <c r="H390" s="188"/>
      <c r="I390" s="168"/>
      <c r="J390" s="168"/>
      <c r="K390" s="169"/>
      <c r="L390" s="189"/>
      <c r="M390" s="189"/>
      <c r="N390" s="189"/>
      <c r="O390" s="189"/>
      <c r="P390" s="189"/>
    </row>
    <row r="391" spans="1:16" ht="21.75" customHeight="1" x14ac:dyDescent="0.35">
      <c r="A391" s="183"/>
      <c r="B391" s="184"/>
      <c r="C391" s="184"/>
      <c r="D391" s="190">
        <v>1</v>
      </c>
      <c r="E391" s="191" t="s">
        <v>45</v>
      </c>
      <c r="F391" s="192"/>
      <c r="G391" s="193"/>
      <c r="H391" s="194"/>
      <c r="I391" s="195"/>
      <c r="J391" s="205">
        <f ca="1">IFERROR(__xludf.DUMMYFUNCTION("IMPORTRANGE(""https://docs.google.com/spreadsheets/d/1IYY_tgx_IHuhSq3AJ5eI5OnqOPBNLWSHKh2a30DoXe8/edit?usp=sharing"",""ยะลา!J286"")"),0)</f>
        <v>0</v>
      </c>
      <c r="K391" s="169"/>
      <c r="L391" s="189"/>
      <c r="M391" s="189"/>
      <c r="N391" s="189"/>
      <c r="O391" s="189"/>
      <c r="P391" s="189"/>
    </row>
    <row r="392" spans="1:16" ht="21.75" customHeight="1" x14ac:dyDescent="0.35">
      <c r="A392" s="183"/>
      <c r="B392" s="184"/>
      <c r="C392" s="184"/>
      <c r="D392" s="197">
        <v>2</v>
      </c>
      <c r="E392" s="198" t="s">
        <v>46</v>
      </c>
      <c r="F392" s="199"/>
      <c r="G392" s="200"/>
      <c r="H392" s="194"/>
      <c r="I392" s="195"/>
      <c r="J392" s="196">
        <f ca="1">IFERROR(__xludf.DUMMYFUNCTION("IMPORTRANGE(""https://docs.google.com/spreadsheets/d/1IYY_tgx_IHuhSq3AJ5eI5OnqOPBNLWSHKh2a30DoXe8/edit?usp=sharing"",""ยะลา!J287"")"),1)</f>
        <v>1</v>
      </c>
      <c r="K392" s="169"/>
      <c r="L392" s="189" t="s">
        <v>40</v>
      </c>
      <c r="M392" s="189"/>
      <c r="N392" s="189" t="s">
        <v>40</v>
      </c>
      <c r="O392" s="189"/>
      <c r="P392" s="189"/>
    </row>
    <row r="393" spans="1:16" ht="21.75" customHeight="1" x14ac:dyDescent="0.35">
      <c r="A393" s="183"/>
      <c r="B393" s="184"/>
      <c r="C393" s="184"/>
      <c r="D393" s="201"/>
      <c r="E393" s="202" t="s">
        <v>47</v>
      </c>
      <c r="F393" s="203"/>
      <c r="G393" s="204"/>
      <c r="H393" s="194"/>
      <c r="I393" s="195"/>
      <c r="J393" s="196">
        <f ca="1">IFERROR(__xludf.DUMMYFUNCTION("IMPORTRANGE(""https://docs.google.com/spreadsheets/d/1IYY_tgx_IHuhSq3AJ5eI5OnqOPBNLWSHKh2a30DoXe8/edit?usp=sharing"",""ยะลา!J288"")"),1)</f>
        <v>1</v>
      </c>
      <c r="K393" s="169"/>
      <c r="L393" s="189"/>
      <c r="M393" s="189"/>
      <c r="N393" s="189"/>
      <c r="O393" s="189"/>
      <c r="P393" s="189"/>
    </row>
    <row r="394" spans="1:16" ht="21.75" customHeight="1" x14ac:dyDescent="0.35">
      <c r="A394" s="183"/>
      <c r="B394" s="184"/>
      <c r="C394" s="184"/>
      <c r="D394" s="201"/>
      <c r="E394" s="202" t="s">
        <v>48</v>
      </c>
      <c r="F394" s="203"/>
      <c r="G394" s="204"/>
      <c r="H394" s="194"/>
      <c r="I394" s="195"/>
      <c r="J394" s="205">
        <f ca="1">IFERROR(__xludf.DUMMYFUNCTION("IMPORTRANGE(""https://docs.google.com/spreadsheets/d/1IYY_tgx_IHuhSq3AJ5eI5OnqOPBNLWSHKh2a30DoXe8/edit?usp=sharing"",""ยะลา!J289"")"),1)</f>
        <v>1</v>
      </c>
      <c r="K394" s="169"/>
      <c r="L394" s="189"/>
      <c r="M394" s="189"/>
      <c r="N394" s="189"/>
      <c r="O394" s="189"/>
      <c r="P394" s="189"/>
    </row>
    <row r="395" spans="1:16" ht="21.75" customHeight="1" x14ac:dyDescent="0.35">
      <c r="A395" s="183"/>
      <c r="B395" s="184"/>
      <c r="C395" s="184"/>
      <c r="D395" s="201"/>
      <c r="E395" s="206"/>
      <c r="F395" s="202" t="s">
        <v>146</v>
      </c>
      <c r="G395" s="203"/>
      <c r="H395" s="194"/>
      <c r="I395" s="195"/>
      <c r="J395" s="195"/>
      <c r="K395" s="169"/>
      <c r="L395" s="189"/>
      <c r="M395" s="189"/>
      <c r="N395" s="189"/>
      <c r="O395" s="189"/>
      <c r="P395" s="189"/>
    </row>
    <row r="396" spans="1:16" ht="21.75" customHeight="1" x14ac:dyDescent="0.35">
      <c r="A396" s="183"/>
      <c r="B396" s="184"/>
      <c r="C396" s="184"/>
      <c r="D396" s="201"/>
      <c r="E396" s="206"/>
      <c r="F396" s="203"/>
      <c r="G396" s="299" t="s">
        <v>70</v>
      </c>
      <c r="H396" s="194" t="s">
        <v>37</v>
      </c>
      <c r="I396" s="195">
        <f ca="1">IFERROR(__xludf.DUMMYFUNCTION("IMPORTRANGE(""https://docs.google.com/spreadsheets/d/1IYY_tgx_IHuhSq3AJ5eI5OnqOPBNLWSHKh2a30DoXe8/edit?usp=sharing"",""ยะลา!I291"")"),15)</f>
        <v>15</v>
      </c>
      <c r="J396" s="205">
        <f ca="1">IFERROR(__xludf.DUMMYFUNCTION("IMPORTRANGE(""https://docs.google.com/spreadsheets/d/1IYY_tgx_IHuhSq3AJ5eI5OnqOPBNLWSHKh2a30DoXe8/edit?usp=sharing"",""ยะลา!J291"")"),15)</f>
        <v>15</v>
      </c>
      <c r="K396" s="169">
        <f t="shared" ref="K396:K398" ca="1" si="110">IF(I396&gt;0,J396*100/I396,0)</f>
        <v>100</v>
      </c>
      <c r="L396" s="189"/>
      <c r="M396" s="189"/>
      <c r="N396" s="189"/>
      <c r="O396" s="189"/>
      <c r="P396" s="189"/>
    </row>
    <row r="397" spans="1:16" ht="21.75" customHeight="1" x14ac:dyDescent="0.35">
      <c r="A397" s="183"/>
      <c r="B397" s="184"/>
      <c r="C397" s="184"/>
      <c r="D397" s="201"/>
      <c r="E397" s="206"/>
      <c r="F397" s="203"/>
      <c r="G397" s="204" t="s">
        <v>53</v>
      </c>
      <c r="H397" s="194" t="s">
        <v>122</v>
      </c>
      <c r="I397" s="195">
        <f ca="1">IFERROR(__xludf.DUMMYFUNCTION("IMPORTRANGE(""https://docs.google.com/spreadsheets/d/1IYY_tgx_IHuhSq3AJ5eI5OnqOPBNLWSHKh2a30DoXe8/edit?usp=sharing"",""ยะลา!I292"")"),150)</f>
        <v>150</v>
      </c>
      <c r="J397" s="205">
        <f ca="1">IFERROR(__xludf.DUMMYFUNCTION("IMPORTRANGE(""https://docs.google.com/spreadsheets/d/1IYY_tgx_IHuhSq3AJ5eI5OnqOPBNLWSHKh2a30DoXe8/edit?usp=sharing"",""ยะลา!J292"")"),150)</f>
        <v>150</v>
      </c>
      <c r="K397" s="169">
        <f t="shared" ca="1" si="110"/>
        <v>100</v>
      </c>
      <c r="L397" s="189"/>
      <c r="M397" s="189"/>
      <c r="N397" s="189"/>
      <c r="O397" s="189"/>
      <c r="P397" s="189"/>
    </row>
    <row r="398" spans="1:16" ht="21.75" customHeight="1" x14ac:dyDescent="0.35">
      <c r="A398" s="183"/>
      <c r="B398" s="184"/>
      <c r="C398" s="184"/>
      <c r="D398" s="201"/>
      <c r="E398" s="206"/>
      <c r="F398" s="203"/>
      <c r="G398" s="204"/>
      <c r="H398" s="194" t="s">
        <v>37</v>
      </c>
      <c r="I398" s="195">
        <f ca="1">IFERROR(__xludf.DUMMYFUNCTION("IMPORTRANGE(""https://docs.google.com/spreadsheets/d/1IYY_tgx_IHuhSq3AJ5eI5OnqOPBNLWSHKh2a30DoXe8/edit?usp=sharing"",""ยะลา!I293"")"),15)</f>
        <v>15</v>
      </c>
      <c r="J398" s="205">
        <f ca="1">IFERROR(__xludf.DUMMYFUNCTION("IMPORTRANGE(""https://docs.google.com/spreadsheets/d/1IYY_tgx_IHuhSq3AJ5eI5OnqOPBNLWSHKh2a30DoXe8/edit?usp=sharing"",""ยะลา!J293"")"),15)</f>
        <v>15</v>
      </c>
      <c r="K398" s="169">
        <f t="shared" ca="1" si="110"/>
        <v>100</v>
      </c>
      <c r="L398" s="189"/>
      <c r="M398" s="189"/>
      <c r="N398" s="189"/>
      <c r="O398" s="189"/>
      <c r="P398" s="189"/>
    </row>
    <row r="399" spans="1:16" ht="21.75" customHeight="1" x14ac:dyDescent="0.35">
      <c r="A399" s="183"/>
      <c r="B399" s="184"/>
      <c r="C399" s="184"/>
      <c r="D399" s="201"/>
      <c r="E399" s="202" t="s">
        <v>54</v>
      </c>
      <c r="F399" s="203"/>
      <c r="G399" s="204"/>
      <c r="H399" s="194"/>
      <c r="I399" s="195"/>
      <c r="J399" s="205">
        <f ca="1">IFERROR(__xludf.DUMMYFUNCTION("IMPORTRANGE(""https://docs.google.com/spreadsheets/d/1IYY_tgx_IHuhSq3AJ5eI5OnqOPBNLWSHKh2a30DoXe8/edit?usp=sharing"",""ยะลา!J294"")"),0)</f>
        <v>0</v>
      </c>
      <c r="K399" s="169"/>
      <c r="L399" s="189"/>
      <c r="M399" s="189"/>
      <c r="N399" s="189"/>
      <c r="O399" s="189"/>
      <c r="P399" s="189"/>
    </row>
    <row r="400" spans="1:16" ht="21.75" customHeight="1" x14ac:dyDescent="0.35">
      <c r="A400" s="183"/>
      <c r="B400" s="184"/>
      <c r="C400" s="184"/>
      <c r="D400" s="213">
        <v>3</v>
      </c>
      <c r="E400" s="214" t="s">
        <v>55</v>
      </c>
      <c r="F400" s="215"/>
      <c r="G400" s="216"/>
      <c r="H400" s="194"/>
      <c r="I400" s="195"/>
      <c r="J400" s="217">
        <f ca="1">IFERROR(__xludf.DUMMYFUNCTION("IMPORTRANGE(""https://docs.google.com/spreadsheets/d/1IYY_tgx_IHuhSq3AJ5eI5OnqOPBNLWSHKh2a30DoXe8/edit?usp=sharing"",""ยะลา!J295"")"),0)</f>
        <v>0</v>
      </c>
      <c r="K400" s="169"/>
      <c r="L400" s="189"/>
      <c r="M400" s="189"/>
      <c r="N400" s="189"/>
      <c r="O400" s="189"/>
      <c r="P400" s="189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IFERROR(__xludf.DUMMYFUNCTION("IMPORTRANGE(""https://docs.google.com/spreadsheets/d/1IYY_tgx_IHuhSq3AJ5eI5OnqOPBNLWSHKh2a30DoXe8/edit?usp=sharing"",""ยะลา!I296"")"),105)</f>
        <v>105</v>
      </c>
      <c r="J401" s="377">
        <f ca="1">IFERROR(__xludf.DUMMYFUNCTION("IMPORTRANGE(""https://docs.google.com/spreadsheets/d/1IYY_tgx_IHuhSq3AJ5eI5OnqOPBNLWSHKh2a30DoXe8/edit?usp=sharing"",""ยะลา!J296"")"),75)</f>
        <v>75</v>
      </c>
      <c r="K401" s="378">
        <f t="shared" ref="K401:K402" ca="1" si="111">IF(I401&gt;0,J401*100/I401,0)</f>
        <v>71.428571428571431</v>
      </c>
      <c r="L401" s="379">
        <f ca="1">IFERROR(__xludf.DUMMYFUNCTION("IMPORTRANGE(""https://docs.google.com/spreadsheets/d/1IYY_tgx_IHuhSq3AJ5eI5OnqOPBNLWSHKh2a30DoXe8/edit?usp=sharing"",""ยะลา!L296"")"),131710)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IFERROR(__xludf.DUMMYFUNCTION("IMPORTRANGE(""https://docs.google.com/spreadsheets/d/1IYY_tgx_IHuhSq3AJ5eI5OnqOPBNLWSHKh2a30DoXe8/edit?usp=sharing"",""ยะลา!M296"")"),41490)</f>
        <v>41490</v>
      </c>
      <c r="O401" s="379">
        <f ca="1">+IF(L401&gt;0,N401*100/L401,0)</f>
        <v>31.501024979120796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IFERROR(__xludf.DUMMYFUNCTION("IMPORTRANGE(""https://docs.google.com/spreadsheets/d/1IYY_tgx_IHuhSq3AJ5eI5OnqOPBNLWSHKh2a30DoXe8/edit?usp=sharing"",""ยะลา!I297"")"),35)</f>
        <v>35</v>
      </c>
      <c r="J402" s="377">
        <f ca="1">IFERROR(__xludf.DUMMYFUNCTION("IMPORTRANGE(""https://docs.google.com/spreadsheets/d/1IYY_tgx_IHuhSq3AJ5eI5OnqOPBNLWSHKh2a30DoXe8/edit?usp=sharing"",""ยะลา!J297"")"),25)</f>
        <v>25</v>
      </c>
      <c r="K402" s="378">
        <f t="shared" ca="1" si="111"/>
        <v>71.428571428571431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164" t="s">
        <v>38</v>
      </c>
      <c r="E403" s="165"/>
      <c r="F403" s="165"/>
      <c r="G403" s="166" t="s">
        <v>39</v>
      </c>
      <c r="H403" s="167" t="s">
        <v>12</v>
      </c>
      <c r="I403" s="168" t="s">
        <v>40</v>
      </c>
      <c r="J403" s="168"/>
      <c r="K403" s="169"/>
      <c r="L403" s="170">
        <f ca="1">IFERROR(__xludf.DUMMYFUNCTION("IMPORTRANGE(""https://docs.google.com/spreadsheets/d/1IYY_tgx_IHuhSq3AJ5eI5OnqOPBNLWSHKh2a30DoXe8/edit?usp=sharing"",""ยะลา!L298"")"),0)</f>
        <v>0</v>
      </c>
      <c r="M403" s="170"/>
      <c r="N403" s="176">
        <f ca="1">IFERROR(__xludf.DUMMYFUNCTION("IMPORTRANGE(""https://docs.google.com/spreadsheets/d/1IYY_tgx_IHuhSq3AJ5eI5OnqOPBNLWSHKh2a30DoXe8/edit?usp=sharing"",""ยะลา!M298"")"),0)</f>
        <v>0</v>
      </c>
      <c r="O403" s="176">
        <f t="shared" ref="O403:O406" ca="1" si="112">+IF(L403&gt;0,N403*100/L403,0)</f>
        <v>0</v>
      </c>
      <c r="P403" s="176"/>
    </row>
    <row r="404" spans="1:16" ht="21.75" customHeight="1" x14ac:dyDescent="0.35">
      <c r="A404" s="162"/>
      <c r="B404" s="163"/>
      <c r="C404" s="163"/>
      <c r="D404" s="172"/>
      <c r="E404" s="165"/>
      <c r="F404" s="165" t="s">
        <v>40</v>
      </c>
      <c r="G404" s="166" t="s">
        <v>41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IFERROR(__xludf.DUMMYFUNCTION("IMPORTRANGE(""https://docs.google.com/spreadsheets/d/1IYY_tgx_IHuhSq3AJ5eI5OnqOPBNLWSHKh2a30DoXe8/edit?usp=sharing"",""ยะลา!L299"")"),131710)</f>
        <v>131710</v>
      </c>
      <c r="M404" s="171"/>
      <c r="N404" s="176">
        <f ca="1">IFERROR(__xludf.DUMMYFUNCTION("IMPORTRANGE(""https://docs.google.com/spreadsheets/d/1IYY_tgx_IHuhSq3AJ5eI5OnqOPBNLWSHKh2a30DoXe8/edit?usp=sharing"",""ยะลา!M299"")"),41490)</f>
        <v>41490</v>
      </c>
      <c r="O404" s="176">
        <f t="shared" ca="1" si="112"/>
        <v>31.501024979120796</v>
      </c>
      <c r="P404" s="176"/>
    </row>
    <row r="405" spans="1:16" ht="21.75" customHeight="1" x14ac:dyDescent="0.35">
      <c r="A405" s="162"/>
      <c r="B405" s="163"/>
      <c r="C405" s="163"/>
      <c r="D405" s="172"/>
      <c r="E405" s="165"/>
      <c r="F405" s="165"/>
      <c r="G405" s="380" t="s">
        <v>129</v>
      </c>
      <c r="H405" s="167" t="s">
        <v>12</v>
      </c>
      <c r="I405" s="168"/>
      <c r="J405" s="168"/>
      <c r="K405" s="169"/>
      <c r="L405" s="176">
        <f ca="1">IFERROR(__xludf.DUMMYFUNCTION("IMPORTRANGE(""https://docs.google.com/spreadsheets/d/1IYY_tgx_IHuhSq3AJ5eI5OnqOPBNLWSHKh2a30DoXe8/edit?usp=sharing"",""ยะลา!L300"")"),0)</f>
        <v>0</v>
      </c>
      <c r="M405" s="176"/>
      <c r="N405" s="176">
        <f ca="1">IFERROR(__xludf.DUMMYFUNCTION("IMPORTRANGE(""https://docs.google.com/spreadsheets/d/1IYY_tgx_IHuhSq3AJ5eI5OnqOPBNLWSHKh2a30DoXe8/edit?usp=sharing"",""ยะลา!M300"")"),0)</f>
        <v>0</v>
      </c>
      <c r="O405" s="176">
        <f t="shared" ca="1" si="112"/>
        <v>0</v>
      </c>
      <c r="P405" s="176"/>
    </row>
    <row r="406" spans="1:16" ht="21.75" customHeight="1" x14ac:dyDescent="0.35">
      <c r="A406" s="162"/>
      <c r="B406" s="163"/>
      <c r="C406" s="163"/>
      <c r="D406" s="172"/>
      <c r="E406" s="165"/>
      <c r="F406" s="165"/>
      <c r="G406" s="380" t="s">
        <v>130</v>
      </c>
      <c r="H406" s="167" t="s">
        <v>12</v>
      </c>
      <c r="I406" s="168"/>
      <c r="J406" s="168"/>
      <c r="K406" s="169"/>
      <c r="L406" s="176">
        <f ca="1">IFERROR(__xludf.DUMMYFUNCTION("IMPORTRANGE(""https://docs.google.com/spreadsheets/d/1IYY_tgx_IHuhSq3AJ5eI5OnqOPBNLWSHKh2a30DoXe8/edit?usp=sharing"",""ยะลา!L301"")"),131710)</f>
        <v>131710</v>
      </c>
      <c r="M406" s="176"/>
      <c r="N406" s="176">
        <f ca="1">IFERROR(__xludf.DUMMYFUNCTION("IMPORTRANGE(""https://docs.google.com/spreadsheets/d/1IYY_tgx_IHuhSq3AJ5eI5OnqOPBNLWSHKh2a30DoXe8/edit?usp=sharing"",""ยะลา!M301"")"),41490)</f>
        <v>41490</v>
      </c>
      <c r="O406" s="176">
        <f t="shared" ca="1" si="112"/>
        <v>31.501024979120796</v>
      </c>
      <c r="P406" s="176"/>
    </row>
    <row r="407" spans="1:16" ht="21.75" customHeight="1" x14ac:dyDescent="0.35">
      <c r="A407" s="381"/>
      <c r="B407" s="382"/>
      <c r="C407" s="163"/>
      <c r="D407" s="383"/>
      <c r="E407" s="165"/>
      <c r="F407" s="165"/>
      <c r="G407" s="384" t="s">
        <v>131</v>
      </c>
      <c r="H407" s="167" t="s">
        <v>12</v>
      </c>
      <c r="I407" s="195"/>
      <c r="J407" s="195"/>
      <c r="K407" s="231"/>
      <c r="L407" s="176"/>
      <c r="M407" s="176"/>
      <c r="N407" s="385">
        <f ca="1">IFERROR(__xludf.DUMMYFUNCTION("IMPORTRANGE(""https://docs.google.com/spreadsheets/d/1IYY_tgx_IHuhSq3AJ5eI5OnqOPBNLWSHKh2a30DoXe8/edit?usp=sharing"",""ยะลา!M302"")"),26310)</f>
        <v>26310</v>
      </c>
      <c r="O407" s="176"/>
      <c r="P407" s="176"/>
    </row>
    <row r="408" spans="1:16" ht="21.75" customHeight="1" x14ac:dyDescent="0.35">
      <c r="A408" s="381"/>
      <c r="B408" s="382"/>
      <c r="C408" s="163"/>
      <c r="D408" s="383"/>
      <c r="E408" s="165"/>
      <c r="F408" s="165"/>
      <c r="G408" s="384" t="s">
        <v>132</v>
      </c>
      <c r="H408" s="167" t="s">
        <v>12</v>
      </c>
      <c r="I408" s="195"/>
      <c r="J408" s="195"/>
      <c r="K408" s="231"/>
      <c r="L408" s="176"/>
      <c r="M408" s="176"/>
      <c r="N408" s="385">
        <f ca="1">IFERROR(__xludf.DUMMYFUNCTION("IMPORTRANGE(""https://docs.google.com/spreadsheets/d/1IYY_tgx_IHuhSq3AJ5eI5OnqOPBNLWSHKh2a30DoXe8/edit?usp=sharing"",""ยะลา!M303"")"),0)</f>
        <v>0</v>
      </c>
      <c r="O408" s="176"/>
      <c r="P408" s="176"/>
    </row>
    <row r="409" spans="1:16" ht="21.75" customHeight="1" x14ac:dyDescent="0.35">
      <c r="A409" s="381"/>
      <c r="B409" s="382"/>
      <c r="C409" s="163"/>
      <c r="D409" s="383"/>
      <c r="E409" s="165"/>
      <c r="F409" s="165"/>
      <c r="G409" s="384" t="s">
        <v>133</v>
      </c>
      <c r="H409" s="167" t="s">
        <v>12</v>
      </c>
      <c r="I409" s="195"/>
      <c r="J409" s="195"/>
      <c r="K409" s="231"/>
      <c r="L409" s="176"/>
      <c r="M409" s="176"/>
      <c r="N409" s="385">
        <f ca="1">IFERROR(__xludf.DUMMYFUNCTION("IMPORTRANGE(""https://docs.google.com/spreadsheets/d/1IYY_tgx_IHuhSq3AJ5eI5OnqOPBNLWSHKh2a30DoXe8/edit?usp=sharing"",""ยะลา!M304"")"),0)</f>
        <v>0</v>
      </c>
      <c r="O409" s="176"/>
      <c r="P409" s="176"/>
    </row>
    <row r="410" spans="1:16" ht="21.75" customHeight="1" x14ac:dyDescent="0.35">
      <c r="A410" s="381"/>
      <c r="B410" s="382"/>
      <c r="C410" s="163"/>
      <c r="D410" s="383"/>
      <c r="E410" s="165"/>
      <c r="F410" s="165"/>
      <c r="G410" s="384" t="s">
        <v>134</v>
      </c>
      <c r="H410" s="167" t="s">
        <v>12</v>
      </c>
      <c r="I410" s="195"/>
      <c r="J410" s="195"/>
      <c r="K410" s="231"/>
      <c r="L410" s="176"/>
      <c r="M410" s="176"/>
      <c r="N410" s="385">
        <f ca="1">IFERROR(__xludf.DUMMYFUNCTION("IMPORTRANGE(""https://docs.google.com/spreadsheets/d/1IYY_tgx_IHuhSq3AJ5eI5OnqOPBNLWSHKh2a30DoXe8/edit?usp=sharing"",""ยะลา!M305"")"),15180)</f>
        <v>15180</v>
      </c>
      <c r="O410" s="176"/>
      <c r="P410" s="176"/>
    </row>
    <row r="411" spans="1:16" ht="21.75" customHeight="1" x14ac:dyDescent="0.35">
      <c r="A411" s="183"/>
      <c r="B411" s="184"/>
      <c r="C411" s="163" t="s">
        <v>16</v>
      </c>
      <c r="D411" s="185" t="s">
        <v>44</v>
      </c>
      <c r="E411" s="186"/>
      <c r="F411" s="186"/>
      <c r="G411" s="187"/>
      <c r="H411" s="188"/>
      <c r="I411" s="168"/>
      <c r="J411" s="168"/>
      <c r="K411" s="169"/>
      <c r="L411" s="189"/>
      <c r="M411" s="189"/>
      <c r="N411" s="189"/>
      <c r="O411" s="189"/>
      <c r="P411" s="189"/>
    </row>
    <row r="412" spans="1:16" ht="21.75" customHeight="1" x14ac:dyDescent="0.35">
      <c r="A412" s="183"/>
      <c r="B412" s="184"/>
      <c r="C412" s="184"/>
      <c r="D412" s="190">
        <v>1</v>
      </c>
      <c r="E412" s="191" t="s">
        <v>45</v>
      </c>
      <c r="F412" s="192"/>
      <c r="G412" s="193"/>
      <c r="H412" s="194"/>
      <c r="I412" s="195"/>
      <c r="J412" s="205">
        <f ca="1">IFERROR(__xludf.DUMMYFUNCTION("IMPORTRANGE(""https://docs.google.com/spreadsheets/d/1IYY_tgx_IHuhSq3AJ5eI5OnqOPBNLWSHKh2a30DoXe8/edit?usp=sharing"",""ยะลา!J307"")"),0)</f>
        <v>0</v>
      </c>
      <c r="K412" s="169"/>
      <c r="L412" s="189"/>
      <c r="M412" s="189"/>
      <c r="N412" s="189"/>
      <c r="O412" s="189"/>
      <c r="P412" s="189"/>
    </row>
    <row r="413" spans="1:16" ht="21.75" customHeight="1" x14ac:dyDescent="0.35">
      <c r="A413" s="183"/>
      <c r="B413" s="184"/>
      <c r="C413" s="184"/>
      <c r="D413" s="197">
        <v>2</v>
      </c>
      <c r="E413" s="198" t="s">
        <v>46</v>
      </c>
      <c r="F413" s="199"/>
      <c r="G413" s="200"/>
      <c r="H413" s="194"/>
      <c r="I413" s="195"/>
      <c r="J413" s="196">
        <f ca="1">IFERROR(__xludf.DUMMYFUNCTION("IMPORTRANGE(""https://docs.google.com/spreadsheets/d/1IYY_tgx_IHuhSq3AJ5eI5OnqOPBNLWSHKh2a30DoXe8/edit?usp=sharing"",""ยะลา!J308"")"),1)</f>
        <v>1</v>
      </c>
      <c r="K413" s="169"/>
      <c r="L413" s="189" t="s">
        <v>40</v>
      </c>
      <c r="M413" s="189"/>
      <c r="N413" s="189" t="s">
        <v>40</v>
      </c>
      <c r="O413" s="189"/>
      <c r="P413" s="189"/>
    </row>
    <row r="414" spans="1:16" ht="21.75" customHeight="1" x14ac:dyDescent="0.35">
      <c r="A414" s="183"/>
      <c r="B414" s="184"/>
      <c r="C414" s="184"/>
      <c r="D414" s="201"/>
      <c r="E414" s="202" t="s">
        <v>47</v>
      </c>
      <c r="F414" s="203"/>
      <c r="G414" s="204"/>
      <c r="H414" s="194"/>
      <c r="I414" s="195"/>
      <c r="J414" s="196">
        <f ca="1">IFERROR(__xludf.DUMMYFUNCTION("IMPORTRANGE(""https://docs.google.com/spreadsheets/d/1IYY_tgx_IHuhSq3AJ5eI5OnqOPBNLWSHKh2a30DoXe8/edit?usp=sharing"",""ยะลา!J309"")"),1)</f>
        <v>1</v>
      </c>
      <c r="K414" s="169"/>
      <c r="L414" s="189"/>
      <c r="M414" s="189"/>
      <c r="N414" s="189"/>
      <c r="O414" s="189"/>
      <c r="P414" s="189"/>
    </row>
    <row r="415" spans="1:16" ht="21.75" customHeight="1" x14ac:dyDescent="0.35">
      <c r="A415" s="183"/>
      <c r="B415" s="184"/>
      <c r="C415" s="184"/>
      <c r="D415" s="201"/>
      <c r="E415" s="202" t="s">
        <v>48</v>
      </c>
      <c r="F415" s="203"/>
      <c r="G415" s="204"/>
      <c r="H415" s="194"/>
      <c r="I415" s="195"/>
      <c r="J415" s="205">
        <f ca="1">IFERROR(__xludf.DUMMYFUNCTION("IMPORTRANGE(""https://docs.google.com/spreadsheets/d/1IYY_tgx_IHuhSq3AJ5eI5OnqOPBNLWSHKh2a30DoXe8/edit?usp=sharing"",""ยะลา!J310"")"),1)</f>
        <v>1</v>
      </c>
      <c r="K415" s="169"/>
      <c r="L415" s="189"/>
      <c r="M415" s="189"/>
      <c r="N415" s="189"/>
      <c r="O415" s="189"/>
      <c r="P415" s="189"/>
    </row>
    <row r="416" spans="1:16" ht="21.75" customHeight="1" x14ac:dyDescent="0.35">
      <c r="A416" s="183"/>
      <c r="B416" s="184"/>
      <c r="C416" s="184"/>
      <c r="D416" s="201"/>
      <c r="E416" s="206"/>
      <c r="F416" s="202" t="s">
        <v>70</v>
      </c>
      <c r="G416" s="394"/>
      <c r="H416" s="395" t="s">
        <v>37</v>
      </c>
      <c r="I416" s="208">
        <f ca="1">IFERROR(__xludf.DUMMYFUNCTION("IMPORTRANGE(""https://docs.google.com/spreadsheets/d/1IYY_tgx_IHuhSq3AJ5eI5OnqOPBNLWSHKh2a30DoXe8/edit?usp=sharing"",""ยะลา!I311"")"),35)</f>
        <v>35</v>
      </c>
      <c r="J416" s="208">
        <f ca="1">IFERROR(__xludf.DUMMYFUNCTION("IMPORTRANGE(""https://docs.google.com/spreadsheets/d/1IYY_tgx_IHuhSq3AJ5eI5OnqOPBNLWSHKh2a30DoXe8/edit?usp=sharing"",""ยะลา!J311"")"),25)</f>
        <v>25</v>
      </c>
      <c r="K416" s="209">
        <f t="shared" ref="K416:K432" ca="1" si="113">IF(I416&gt;0,J416*100/I416,0)</f>
        <v>71.428571428571431</v>
      </c>
      <c r="L416" s="189"/>
      <c r="M416" s="189"/>
      <c r="N416" s="189"/>
      <c r="O416" s="189"/>
      <c r="P416" s="189"/>
    </row>
    <row r="417" spans="1:16" ht="21.75" customHeight="1" x14ac:dyDescent="0.45">
      <c r="A417" s="183"/>
      <c r="B417" s="184"/>
      <c r="C417" s="184"/>
      <c r="D417" s="201"/>
      <c r="E417" s="206"/>
      <c r="F417" s="396" t="s">
        <v>148</v>
      </c>
      <c r="G417" s="204"/>
      <c r="H417" s="207" t="s">
        <v>37</v>
      </c>
      <c r="I417" s="397">
        <f ca="1">IFERROR(__xludf.DUMMYFUNCTION("IMPORTRANGE(""https://docs.google.com/spreadsheets/d/1IYY_tgx_IHuhSq3AJ5eI5OnqOPBNLWSHKh2a30DoXe8/edit?usp=sharing"",""ยะลา!I312"")"),10)</f>
        <v>10</v>
      </c>
      <c r="J417" s="398">
        <f ca="1">IFERROR(__xludf.DUMMYFUNCTION("IMPORTRANGE(""https://docs.google.com/spreadsheets/d/1IYY_tgx_IHuhSq3AJ5eI5OnqOPBNLWSHKh2a30DoXe8/edit?usp=sharing"",""ยะลา!J312"")"),0)</f>
        <v>0</v>
      </c>
      <c r="K417" s="209">
        <f t="shared" ca="1" si="113"/>
        <v>0</v>
      </c>
      <c r="L417" s="189"/>
      <c r="M417" s="189"/>
      <c r="N417" s="189"/>
      <c r="O417" s="189"/>
      <c r="P417" s="189"/>
    </row>
    <row r="418" spans="1:16" ht="21.75" customHeight="1" x14ac:dyDescent="0.45">
      <c r="A418" s="183"/>
      <c r="B418" s="184"/>
      <c r="C418" s="184"/>
      <c r="D418" s="201"/>
      <c r="E418" s="206"/>
      <c r="F418" s="203"/>
      <c r="G418" s="204"/>
      <c r="H418" s="207" t="s">
        <v>122</v>
      </c>
      <c r="I418" s="397">
        <f ca="1">IFERROR(__xludf.DUMMYFUNCTION("IMPORTRANGE(""https://docs.google.com/spreadsheets/d/1IYY_tgx_IHuhSq3AJ5eI5OnqOPBNLWSHKh2a30DoXe8/edit?usp=sharing"",""ยะลา!I313"")"),30)</f>
        <v>30</v>
      </c>
      <c r="J418" s="399">
        <f ca="1">IFERROR(__xludf.DUMMYFUNCTION("IMPORTRANGE(""https://docs.google.com/spreadsheets/d/1IYY_tgx_IHuhSq3AJ5eI5OnqOPBNLWSHKh2a30DoXe8/edit?usp=sharing"",""ยะลา!J313"")"),0)</f>
        <v>0</v>
      </c>
      <c r="K418" s="209">
        <f t="shared" ca="1" si="113"/>
        <v>0</v>
      </c>
      <c r="L418" s="189"/>
      <c r="M418" s="189"/>
      <c r="N418" s="189"/>
      <c r="O418" s="189"/>
      <c r="P418" s="189"/>
    </row>
    <row r="419" spans="1:16" ht="21.75" customHeight="1" x14ac:dyDescent="0.45">
      <c r="A419" s="183"/>
      <c r="B419" s="184"/>
      <c r="C419" s="184"/>
      <c r="D419" s="201"/>
      <c r="E419" s="206"/>
      <c r="F419" s="203"/>
      <c r="G419" s="233" t="s">
        <v>149</v>
      </c>
      <c r="H419" s="188" t="s">
        <v>37</v>
      </c>
      <c r="I419" s="347">
        <f ca="1">IFERROR(__xludf.DUMMYFUNCTION("IMPORTRANGE(""https://docs.google.com/spreadsheets/d/1IYY_tgx_IHuhSq3AJ5eI5OnqOPBNLWSHKh2a30DoXe8/edit?usp=sharing"",""ยะลา!I314"")"),10)</f>
        <v>10</v>
      </c>
      <c r="J419" s="400">
        <f ca="1">IFERROR(__xludf.DUMMYFUNCTION("IMPORTRANGE(""https://docs.google.com/spreadsheets/d/1IYY_tgx_IHuhSq3AJ5eI5OnqOPBNLWSHKh2a30DoXe8/edit?usp=sharing"",""ยะลา!J314"")"),0)</f>
        <v>0</v>
      </c>
      <c r="K419" s="169">
        <f t="shared" ca="1" si="113"/>
        <v>0</v>
      </c>
      <c r="L419" s="189"/>
      <c r="M419" s="189"/>
      <c r="N419" s="189"/>
      <c r="O419" s="189"/>
      <c r="P419" s="189"/>
    </row>
    <row r="420" spans="1:16" ht="21.75" customHeight="1" x14ac:dyDescent="0.45">
      <c r="A420" s="241"/>
      <c r="B420" s="242"/>
      <c r="C420" s="242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IFERROR(__xludf.DUMMYFUNCTION("IMPORTRANGE(""https://docs.google.com/spreadsheets/d/1IYY_tgx_IHuhSq3AJ5eI5OnqOPBNLWSHKh2a30DoXe8/edit?usp=sharing"",""ยะลา!I315"")"),10)</f>
        <v>10</v>
      </c>
      <c r="J420" s="400">
        <f ca="1">IFERROR(__xludf.DUMMYFUNCTION("IMPORTRANGE(""https://docs.google.com/spreadsheets/d/1IYY_tgx_IHuhSq3AJ5eI5OnqOPBNLWSHKh2a30DoXe8/edit?usp=sharing"",""ยะลา!J315"")"),0)</f>
        <v>0</v>
      </c>
      <c r="K420" s="294">
        <f t="shared" ca="1" si="113"/>
        <v>0</v>
      </c>
      <c r="L420" s="252"/>
      <c r="M420" s="252"/>
      <c r="N420" s="252"/>
      <c r="O420" s="252"/>
      <c r="P420" s="252"/>
    </row>
    <row r="421" spans="1:16" ht="21.75" customHeight="1" x14ac:dyDescent="0.45">
      <c r="A421" s="183"/>
      <c r="B421" s="184"/>
      <c r="C421" s="184"/>
      <c r="D421" s="201"/>
      <c r="E421" s="206"/>
      <c r="F421" s="396" t="s">
        <v>151</v>
      </c>
      <c r="G421" s="204"/>
      <c r="H421" s="207" t="s">
        <v>37</v>
      </c>
      <c r="I421" s="397">
        <f ca="1">IFERROR(__xludf.DUMMYFUNCTION("IMPORTRANGE(""https://docs.google.com/spreadsheets/d/1IYY_tgx_IHuhSq3AJ5eI5OnqOPBNLWSHKh2a30DoXe8/edit?usp=sharing"",""ยะลา!I316"")"),15)</f>
        <v>15</v>
      </c>
      <c r="J421" s="398">
        <f ca="1">IFERROR(__xludf.DUMMYFUNCTION("IMPORTRANGE(""https://docs.google.com/spreadsheets/d/1IYY_tgx_IHuhSq3AJ5eI5OnqOPBNLWSHKh2a30DoXe8/edit?usp=sharing"",""ยะลา!J316"")"),15)</f>
        <v>15</v>
      </c>
      <c r="K421" s="209">
        <f t="shared" ca="1" si="113"/>
        <v>100</v>
      </c>
      <c r="L421" s="189"/>
      <c r="M421" s="189"/>
      <c r="N421" s="189"/>
      <c r="O421" s="189"/>
      <c r="P421" s="189"/>
    </row>
    <row r="422" spans="1:16" ht="21.75" customHeight="1" x14ac:dyDescent="0.45">
      <c r="A422" s="183"/>
      <c r="B422" s="184"/>
      <c r="C422" s="184"/>
      <c r="D422" s="201"/>
      <c r="E422" s="206"/>
      <c r="F422" s="203"/>
      <c r="G422" s="204"/>
      <c r="H422" s="207" t="s">
        <v>122</v>
      </c>
      <c r="I422" s="397">
        <f ca="1">IFERROR(__xludf.DUMMYFUNCTION("IMPORTRANGE(""https://docs.google.com/spreadsheets/d/1IYY_tgx_IHuhSq3AJ5eI5OnqOPBNLWSHKh2a30DoXe8/edit?usp=sharing"",""ยะลา!I317"")"),45)</f>
        <v>45</v>
      </c>
      <c r="J422" s="399">
        <f ca="1">IFERROR(__xludf.DUMMYFUNCTION("IMPORTRANGE(""https://docs.google.com/spreadsheets/d/1IYY_tgx_IHuhSq3AJ5eI5OnqOPBNLWSHKh2a30DoXe8/edit?usp=sharing"",""ยะลา!J317"")"),45)</f>
        <v>45</v>
      </c>
      <c r="K422" s="209">
        <f t="shared" ca="1" si="113"/>
        <v>100</v>
      </c>
      <c r="L422" s="189"/>
      <c r="M422" s="189"/>
      <c r="N422" s="189"/>
      <c r="O422" s="189"/>
      <c r="P422" s="189"/>
    </row>
    <row r="423" spans="1:16" ht="21.75" customHeight="1" x14ac:dyDescent="0.45">
      <c r="A423" s="183"/>
      <c r="B423" s="184"/>
      <c r="C423" s="184"/>
      <c r="D423" s="201"/>
      <c r="E423" s="206"/>
      <c r="F423" s="203"/>
      <c r="G423" s="233" t="s">
        <v>152</v>
      </c>
      <c r="H423" s="188" t="s">
        <v>37</v>
      </c>
      <c r="I423" s="347">
        <f ca="1">IFERROR(__xludf.DUMMYFUNCTION("IMPORTRANGE(""https://docs.google.com/spreadsheets/d/1IYY_tgx_IHuhSq3AJ5eI5OnqOPBNLWSHKh2a30DoXe8/edit?usp=sharing"",""ยะลา!I318"")"),15)</f>
        <v>15</v>
      </c>
      <c r="J423" s="400">
        <f ca="1">IFERROR(__xludf.DUMMYFUNCTION("IMPORTRANGE(""https://docs.google.com/spreadsheets/d/1IYY_tgx_IHuhSq3AJ5eI5OnqOPBNLWSHKh2a30DoXe8/edit?usp=sharing"",""ยะลา!J318"")"),15)</f>
        <v>15</v>
      </c>
      <c r="K423" s="169">
        <f t="shared" ca="1" si="113"/>
        <v>100</v>
      </c>
      <c r="L423" s="189"/>
      <c r="M423" s="189"/>
      <c r="N423" s="189"/>
      <c r="O423" s="189"/>
      <c r="P423" s="189"/>
    </row>
    <row r="424" spans="1:16" ht="21.75" customHeight="1" x14ac:dyDescent="0.45">
      <c r="A424" s="183"/>
      <c r="B424" s="184"/>
      <c r="C424" s="184"/>
      <c r="D424" s="201"/>
      <c r="E424" s="206"/>
      <c r="F424" s="203"/>
      <c r="G424" s="233" t="s">
        <v>153</v>
      </c>
      <c r="H424" s="188" t="s">
        <v>37</v>
      </c>
      <c r="I424" s="347">
        <f ca="1">IFERROR(__xludf.DUMMYFUNCTION("IMPORTRANGE(""https://docs.google.com/spreadsheets/d/1IYY_tgx_IHuhSq3AJ5eI5OnqOPBNLWSHKh2a30DoXe8/edit?usp=sharing"",""ยะลา!I319"")"),15)</f>
        <v>15</v>
      </c>
      <c r="J424" s="400">
        <f ca="1">IFERROR(__xludf.DUMMYFUNCTION("IMPORTRANGE(""https://docs.google.com/spreadsheets/d/1IYY_tgx_IHuhSq3AJ5eI5OnqOPBNLWSHKh2a30DoXe8/edit?usp=sharing"",""ยะลา!J319"")"),15)</f>
        <v>15</v>
      </c>
      <c r="K424" s="169">
        <f t="shared" ca="1" si="113"/>
        <v>100</v>
      </c>
      <c r="L424" s="189"/>
      <c r="M424" s="189"/>
      <c r="N424" s="189"/>
      <c r="O424" s="189"/>
      <c r="P424" s="189"/>
    </row>
    <row r="425" spans="1:16" ht="21.75" customHeight="1" x14ac:dyDescent="0.45">
      <c r="A425" s="183"/>
      <c r="B425" s="184"/>
      <c r="C425" s="184"/>
      <c r="D425" s="201"/>
      <c r="E425" s="206"/>
      <c r="F425" s="203"/>
      <c r="G425" s="233" t="s">
        <v>154</v>
      </c>
      <c r="H425" s="188" t="s">
        <v>37</v>
      </c>
      <c r="I425" s="347">
        <f ca="1">IFERROR(__xludf.DUMMYFUNCTION("IMPORTRANGE(""https://docs.google.com/spreadsheets/d/1IYY_tgx_IHuhSq3AJ5eI5OnqOPBNLWSHKh2a30DoXe8/edit?usp=sharing"",""ยะลา!I320"")"),15)</f>
        <v>15</v>
      </c>
      <c r="J425" s="400">
        <f ca="1">IFERROR(__xludf.DUMMYFUNCTION("IMPORTRANGE(""https://docs.google.com/spreadsheets/d/1IYY_tgx_IHuhSq3AJ5eI5OnqOPBNLWSHKh2a30DoXe8/edit?usp=sharing"",""ยะลา!J320"")"),15)</f>
        <v>15</v>
      </c>
      <c r="K425" s="169">
        <f t="shared" ca="1" si="113"/>
        <v>100</v>
      </c>
      <c r="L425" s="189"/>
      <c r="M425" s="189"/>
      <c r="N425" s="189"/>
      <c r="O425" s="189"/>
      <c r="P425" s="189"/>
    </row>
    <row r="426" spans="1:16" ht="21.75" customHeight="1" x14ac:dyDescent="0.45">
      <c r="A426" s="183"/>
      <c r="B426" s="184"/>
      <c r="C426" s="184"/>
      <c r="D426" s="201"/>
      <c r="E426" s="206"/>
      <c r="F426" s="405" t="s">
        <v>155</v>
      </c>
      <c r="G426" s="204"/>
      <c r="H426" s="207" t="s">
        <v>37</v>
      </c>
      <c r="I426" s="397">
        <f ca="1">IFERROR(__xludf.DUMMYFUNCTION("IMPORTRANGE(""https://docs.google.com/spreadsheets/d/1IYY_tgx_IHuhSq3AJ5eI5OnqOPBNLWSHKh2a30DoXe8/edit?usp=sharing"",""ยะลา!I321"")"),10)</f>
        <v>10</v>
      </c>
      <c r="J426" s="398">
        <f ca="1">IFERROR(__xludf.DUMMYFUNCTION("IMPORTRANGE(""https://docs.google.com/spreadsheets/d/1IYY_tgx_IHuhSq3AJ5eI5OnqOPBNLWSHKh2a30DoXe8/edit?usp=sharing"",""ยะลา!J321"")"),10)</f>
        <v>10</v>
      </c>
      <c r="K426" s="209">
        <f t="shared" ca="1" si="113"/>
        <v>100</v>
      </c>
      <c r="L426" s="189"/>
      <c r="M426" s="189"/>
      <c r="N426" s="189"/>
      <c r="O426" s="189"/>
      <c r="P426" s="189"/>
    </row>
    <row r="427" spans="1:16" ht="21.75" customHeight="1" x14ac:dyDescent="0.45">
      <c r="A427" s="183"/>
      <c r="B427" s="184"/>
      <c r="C427" s="184"/>
      <c r="D427" s="201"/>
      <c r="E427" s="206"/>
      <c r="F427" s="203"/>
      <c r="G427" s="204"/>
      <c r="H427" s="207" t="s">
        <v>122</v>
      </c>
      <c r="I427" s="397">
        <f ca="1">IFERROR(__xludf.DUMMYFUNCTION("IMPORTRANGE(""https://docs.google.com/spreadsheets/d/1IYY_tgx_IHuhSq3AJ5eI5OnqOPBNLWSHKh2a30DoXe8/edit?usp=sharing"",""ยะลา!I322"")"),30)</f>
        <v>30</v>
      </c>
      <c r="J427" s="399">
        <f ca="1">IFERROR(__xludf.DUMMYFUNCTION("IMPORTRANGE(""https://docs.google.com/spreadsheets/d/1IYY_tgx_IHuhSq3AJ5eI5OnqOPBNLWSHKh2a30DoXe8/edit?usp=sharing"",""ยะลา!J322"")"),30)</f>
        <v>30</v>
      </c>
      <c r="K427" s="209">
        <f t="shared" ca="1" si="113"/>
        <v>100</v>
      </c>
      <c r="L427" s="189"/>
      <c r="M427" s="189"/>
      <c r="N427" s="189"/>
      <c r="O427" s="189"/>
      <c r="P427" s="189"/>
    </row>
    <row r="428" spans="1:16" ht="21.75" customHeight="1" x14ac:dyDescent="0.45">
      <c r="A428" s="183"/>
      <c r="B428" s="184"/>
      <c r="C428" s="184"/>
      <c r="D428" s="201"/>
      <c r="E428" s="206"/>
      <c r="F428" s="203"/>
      <c r="G428" s="233" t="s">
        <v>156</v>
      </c>
      <c r="H428" s="188" t="s">
        <v>37</v>
      </c>
      <c r="I428" s="406">
        <f ca="1">IFERROR(__xludf.DUMMYFUNCTION("IMPORTRANGE(""https://docs.google.com/spreadsheets/d/1IYY_tgx_IHuhSq3AJ5eI5OnqOPBNLWSHKh2a30DoXe8/edit?usp=sharing"",""ยะลา!I323"")"),10)</f>
        <v>10</v>
      </c>
      <c r="J428" s="400">
        <f ca="1">IFERROR(__xludf.DUMMYFUNCTION("IMPORTRANGE(""https://docs.google.com/spreadsheets/d/1IYY_tgx_IHuhSq3AJ5eI5OnqOPBNLWSHKh2a30DoXe8/edit?usp=sharing"",""ยะลา!J323"")"),10)</f>
        <v>10</v>
      </c>
      <c r="K428" s="169">
        <f t="shared" ca="1" si="113"/>
        <v>100</v>
      </c>
      <c r="L428" s="189"/>
      <c r="M428" s="189"/>
      <c r="N428" s="189"/>
      <c r="O428" s="189"/>
      <c r="P428" s="189"/>
    </row>
    <row r="429" spans="1:16" ht="21.75" customHeight="1" x14ac:dyDescent="0.45">
      <c r="A429" s="183"/>
      <c r="B429" s="184"/>
      <c r="C429" s="184"/>
      <c r="D429" s="201"/>
      <c r="E429" s="206"/>
      <c r="F429" s="203"/>
      <c r="G429" s="233" t="s">
        <v>157</v>
      </c>
      <c r="H429" s="188" t="s">
        <v>37</v>
      </c>
      <c r="I429" s="406">
        <f ca="1">IFERROR(__xludf.DUMMYFUNCTION("IMPORTRANGE(""https://docs.google.com/spreadsheets/d/1IYY_tgx_IHuhSq3AJ5eI5OnqOPBNLWSHKh2a30DoXe8/edit?usp=sharing"",""ยะลา!I324"")"),10)</f>
        <v>10</v>
      </c>
      <c r="J429" s="400">
        <f ca="1">IFERROR(__xludf.DUMMYFUNCTION("IMPORTRANGE(""https://docs.google.com/spreadsheets/d/1IYY_tgx_IHuhSq3AJ5eI5OnqOPBNLWSHKh2a30DoXe8/edit?usp=sharing"",""ยะลา!J324"")"),10)</f>
        <v>10</v>
      </c>
      <c r="K429" s="169">
        <f t="shared" ca="1" si="113"/>
        <v>100</v>
      </c>
      <c r="L429" s="189"/>
      <c r="M429" s="189"/>
      <c r="N429" s="189"/>
      <c r="O429" s="189"/>
      <c r="P429" s="189"/>
    </row>
    <row r="430" spans="1:16" ht="21.75" customHeight="1" x14ac:dyDescent="0.45">
      <c r="A430" s="183"/>
      <c r="B430" s="184"/>
      <c r="C430" s="184"/>
      <c r="D430" s="201"/>
      <c r="E430" s="206"/>
      <c r="F430" s="202" t="s">
        <v>53</v>
      </c>
      <c r="G430" s="394"/>
      <c r="H430" s="407" t="s">
        <v>37</v>
      </c>
      <c r="I430" s="208">
        <f ca="1">IFERROR(__xludf.DUMMYFUNCTION("IMPORTRANGE(""https://docs.google.com/spreadsheets/d/1IYY_tgx_IHuhSq3AJ5eI5OnqOPBNLWSHKh2a30DoXe8/edit?usp=sharing"",""ยะลา!I325"")"),25)</f>
        <v>25</v>
      </c>
      <c r="J430" s="398">
        <f ca="1">IFERROR(__xludf.DUMMYFUNCTION("IMPORTRANGE(""https://docs.google.com/spreadsheets/d/1IYY_tgx_IHuhSq3AJ5eI5OnqOPBNLWSHKh2a30DoXe8/edit?usp=sharing"",""ยะลา!J325"")"),0)</f>
        <v>0</v>
      </c>
      <c r="K430" s="209">
        <f t="shared" ca="1" si="113"/>
        <v>0</v>
      </c>
      <c r="L430" s="189"/>
      <c r="M430" s="189"/>
      <c r="N430" s="189"/>
      <c r="O430" s="189"/>
      <c r="P430" s="189"/>
    </row>
    <row r="431" spans="1:16" ht="21.75" customHeight="1" x14ac:dyDescent="0.45">
      <c r="A431" s="408"/>
      <c r="B431" s="409"/>
      <c r="C431" s="409"/>
      <c r="D431" s="410"/>
      <c r="E431" s="206"/>
      <c r="F431" s="203"/>
      <c r="G431" s="233" t="s">
        <v>158</v>
      </c>
      <c r="H431" s="188" t="s">
        <v>37</v>
      </c>
      <c r="I431" s="406">
        <f ca="1">IFERROR(__xludf.DUMMYFUNCTION("IMPORTRANGE(""https://docs.google.com/spreadsheets/d/1IYY_tgx_IHuhSq3AJ5eI5OnqOPBNLWSHKh2a30DoXe8/edit?usp=sharing"",""ยะลา!I326"")"),10)</f>
        <v>10</v>
      </c>
      <c r="J431" s="400">
        <f ca="1">IFERROR(__xludf.DUMMYFUNCTION("IMPORTRANGE(""https://docs.google.com/spreadsheets/d/1IYY_tgx_IHuhSq3AJ5eI5OnqOPBNLWSHKh2a30DoXe8/edit?usp=sharing"",""ยะลา!J326"")"),0)</f>
        <v>0</v>
      </c>
      <c r="K431" s="169">
        <f t="shared" ca="1" si="113"/>
        <v>0</v>
      </c>
      <c r="L431" s="189"/>
      <c r="M431" s="189"/>
      <c r="N431" s="189"/>
      <c r="O431" s="189"/>
      <c r="P431" s="189"/>
    </row>
    <row r="432" spans="1:16" ht="21.75" customHeight="1" x14ac:dyDescent="0.45">
      <c r="A432" s="408"/>
      <c r="B432" s="409"/>
      <c r="C432" s="409"/>
      <c r="D432" s="410"/>
      <c r="E432" s="206"/>
      <c r="F432" s="203"/>
      <c r="G432" s="233" t="s">
        <v>159</v>
      </c>
      <c r="H432" s="188" t="s">
        <v>37</v>
      </c>
      <c r="I432" s="406">
        <f ca="1">IFERROR(__xludf.DUMMYFUNCTION("IMPORTRANGE(""https://docs.google.com/spreadsheets/d/1IYY_tgx_IHuhSq3AJ5eI5OnqOPBNLWSHKh2a30DoXe8/edit?usp=sharing"",""ยะลา!I327"")"),15)</f>
        <v>15</v>
      </c>
      <c r="J432" s="400">
        <f ca="1">IFERROR(__xludf.DUMMYFUNCTION("IMPORTRANGE(""https://docs.google.com/spreadsheets/d/1IYY_tgx_IHuhSq3AJ5eI5OnqOPBNLWSHKh2a30DoXe8/edit?usp=sharing"",""ยะลา!J327"")"),0)</f>
        <v>0</v>
      </c>
      <c r="K432" s="169">
        <f t="shared" ca="1" si="113"/>
        <v>0</v>
      </c>
      <c r="L432" s="189"/>
      <c r="M432" s="189"/>
      <c r="N432" s="189"/>
      <c r="O432" s="189"/>
      <c r="P432" s="189"/>
    </row>
    <row r="433" spans="1:16" ht="21.75" customHeight="1" x14ac:dyDescent="0.35">
      <c r="A433" s="183"/>
      <c r="B433" s="184"/>
      <c r="C433" s="184"/>
      <c r="D433" s="201"/>
      <c r="E433" s="202" t="s">
        <v>54</v>
      </c>
      <c r="F433" s="203"/>
      <c r="G433" s="204"/>
      <c r="H433" s="194"/>
      <c r="I433" s="195"/>
      <c r="J433" s="205">
        <f ca="1">IFERROR(__xludf.DUMMYFUNCTION("IMPORTRANGE(""https://docs.google.com/spreadsheets/d/1IYY_tgx_IHuhSq3AJ5eI5OnqOPBNLWSHKh2a30DoXe8/edit?usp=sharing"",""ยะลา!J328"")"),0)</f>
        <v>0</v>
      </c>
      <c r="K433" s="169"/>
      <c r="L433" s="189"/>
      <c r="M433" s="189"/>
      <c r="N433" s="189"/>
      <c r="O433" s="189"/>
      <c r="P433" s="189"/>
    </row>
    <row r="434" spans="1:16" ht="21.75" customHeight="1" x14ac:dyDescent="0.35">
      <c r="A434" s="183"/>
      <c r="B434" s="184"/>
      <c r="C434" s="184"/>
      <c r="D434" s="213">
        <v>3</v>
      </c>
      <c r="E434" s="214" t="s">
        <v>55</v>
      </c>
      <c r="F434" s="215"/>
      <c r="G434" s="216"/>
      <c r="H434" s="194"/>
      <c r="I434" s="195"/>
      <c r="J434" s="217">
        <f ca="1">IFERROR(__xludf.DUMMYFUNCTION("IMPORTRANGE(""https://docs.google.com/spreadsheets/d/1IYY_tgx_IHuhSq3AJ5eI5OnqOPBNLWSHKh2a30DoXe8/edit?usp=sharing"",""ยะลา!J329"")"),0)</f>
        <v>0</v>
      </c>
      <c r="K434" s="169"/>
      <c r="L434" s="189"/>
      <c r="M434" s="189"/>
      <c r="N434" s="189"/>
      <c r="O434" s="189"/>
      <c r="P434" s="189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IFERROR(__xludf.DUMMYFUNCTION("IMPORTRANGE(""https://docs.google.com/spreadsheets/d/1IYY_tgx_IHuhSq3AJ5eI5OnqOPBNLWSHKh2a30DoXe8/edit?usp=sharing"",""ยะลา!I330"")"),10)</f>
        <v>10</v>
      </c>
      <c r="J435" s="416">
        <f ca="1">IFERROR(__xludf.DUMMYFUNCTION("IMPORTRANGE(""https://docs.google.com/spreadsheets/d/1IYY_tgx_IHuhSq3AJ5eI5OnqOPBNLWSHKh2a30DoXe8/edit?usp=sharing"",""ยะลา!J330"")"),10)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IFERROR(__xludf.DUMMYFUNCTION("IMPORTRANGE(""https://docs.google.com/spreadsheets/d/1IYY_tgx_IHuhSq3AJ5eI5OnqOPBNLWSHKh2a30DoXe8/edit?usp=sharing"",""ยะลา!L330"")"),76000)</f>
        <v>76000</v>
      </c>
      <c r="M435" s="418"/>
      <c r="N435" s="418">
        <f ca="1">IFERROR(__xludf.DUMMYFUNCTION("IMPORTRANGE(""https://docs.google.com/spreadsheets/d/1IYY_tgx_IHuhSq3AJ5eI5OnqOPBNLWSHKh2a30DoXe8/edit?usp=sharing"",""ยะลา!M330"")"),48365)</f>
        <v>48365</v>
      </c>
      <c r="O435" s="418">
        <f t="shared" ref="O435:O439" ca="1" si="114">+IF(L435&gt;0,N435*100/L435,0)</f>
        <v>63.638157894736842</v>
      </c>
      <c r="P435" s="418"/>
    </row>
    <row r="436" spans="1:16" ht="21.75" customHeight="1" x14ac:dyDescent="0.35">
      <c r="A436" s="162"/>
      <c r="B436" s="163"/>
      <c r="C436" s="163" t="s">
        <v>16</v>
      </c>
      <c r="D436" s="164" t="s">
        <v>38</v>
      </c>
      <c r="E436" s="165"/>
      <c r="F436" s="165"/>
      <c r="G436" s="166" t="s">
        <v>39</v>
      </c>
      <c r="H436" s="167" t="s">
        <v>12</v>
      </c>
      <c r="I436" s="168" t="s">
        <v>40</v>
      </c>
      <c r="J436" s="168"/>
      <c r="K436" s="169"/>
      <c r="L436" s="170">
        <f ca="1">IFERROR(__xludf.DUMMYFUNCTION("IMPORTRANGE(""https://docs.google.com/spreadsheets/d/1IYY_tgx_IHuhSq3AJ5eI5OnqOPBNLWSHKh2a30DoXe8/edit?usp=sharing"",""ยะลา!L331"")"),0)</f>
        <v>0</v>
      </c>
      <c r="M436" s="170"/>
      <c r="N436" s="176">
        <f ca="1">IFERROR(__xludf.DUMMYFUNCTION("IMPORTRANGE(""https://docs.google.com/spreadsheets/d/1IYY_tgx_IHuhSq3AJ5eI5OnqOPBNLWSHKh2a30DoXe8/edit?usp=sharing"",""ยะลา!M331"")"),0)</f>
        <v>0</v>
      </c>
      <c r="O436" s="176">
        <f t="shared" ca="1" si="114"/>
        <v>0</v>
      </c>
      <c r="P436" s="176"/>
    </row>
    <row r="437" spans="1:16" ht="21.75" customHeight="1" x14ac:dyDescent="0.35">
      <c r="A437" s="162"/>
      <c r="B437" s="163"/>
      <c r="C437" s="163"/>
      <c r="D437" s="172"/>
      <c r="E437" s="165"/>
      <c r="F437" s="165" t="s">
        <v>40</v>
      </c>
      <c r="G437" s="166" t="s">
        <v>41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IFERROR(__xludf.DUMMYFUNCTION("IMPORTRANGE(""https://docs.google.com/spreadsheets/d/1IYY_tgx_IHuhSq3AJ5eI5OnqOPBNLWSHKh2a30DoXe8/edit?usp=sharing"",""ยะลา!L332"")"),76000)</f>
        <v>76000</v>
      </c>
      <c r="M437" s="171"/>
      <c r="N437" s="176">
        <f ca="1">IFERROR(__xludf.DUMMYFUNCTION("IMPORTRANGE(""https://docs.google.com/spreadsheets/d/1IYY_tgx_IHuhSq3AJ5eI5OnqOPBNLWSHKh2a30DoXe8/edit?usp=sharing"",""ยะลา!M332"")"),48365)</f>
        <v>48365</v>
      </c>
      <c r="O437" s="176">
        <f t="shared" ca="1" si="114"/>
        <v>63.638157894736842</v>
      </c>
      <c r="P437" s="176"/>
    </row>
    <row r="438" spans="1:16" ht="21.75" customHeight="1" x14ac:dyDescent="0.35">
      <c r="A438" s="162"/>
      <c r="B438" s="163"/>
      <c r="C438" s="163"/>
      <c r="D438" s="172"/>
      <c r="E438" s="165"/>
      <c r="F438" s="165"/>
      <c r="G438" s="380" t="s">
        <v>129</v>
      </c>
      <c r="H438" s="167" t="s">
        <v>12</v>
      </c>
      <c r="I438" s="168"/>
      <c r="J438" s="168"/>
      <c r="K438" s="169"/>
      <c r="L438" s="176">
        <f ca="1">IFERROR(__xludf.DUMMYFUNCTION("IMPORTRANGE(""https://docs.google.com/spreadsheets/d/1IYY_tgx_IHuhSq3AJ5eI5OnqOPBNLWSHKh2a30DoXe8/edit?usp=sharing"",""ยะลา!L333"")"),0)</f>
        <v>0</v>
      </c>
      <c r="M438" s="176"/>
      <c r="N438" s="176">
        <f ca="1">IFERROR(__xludf.DUMMYFUNCTION("IMPORTRANGE(""https://docs.google.com/spreadsheets/d/1IYY_tgx_IHuhSq3AJ5eI5OnqOPBNLWSHKh2a30DoXe8/edit?usp=sharing"",""ยะลา!M333"")"),0)</f>
        <v>0</v>
      </c>
      <c r="O438" s="176">
        <f t="shared" ca="1" si="114"/>
        <v>0</v>
      </c>
      <c r="P438" s="176"/>
    </row>
    <row r="439" spans="1:16" ht="21.75" customHeight="1" x14ac:dyDescent="0.35">
      <c r="A439" s="162"/>
      <c r="B439" s="163"/>
      <c r="C439" s="163"/>
      <c r="D439" s="172"/>
      <c r="E439" s="165"/>
      <c r="F439" s="165"/>
      <c r="G439" s="380" t="s">
        <v>130</v>
      </c>
      <c r="H439" s="167" t="s">
        <v>12</v>
      </c>
      <c r="I439" s="168"/>
      <c r="J439" s="168"/>
      <c r="K439" s="169"/>
      <c r="L439" s="176">
        <f ca="1">IFERROR(__xludf.DUMMYFUNCTION("IMPORTRANGE(""https://docs.google.com/spreadsheets/d/1IYY_tgx_IHuhSq3AJ5eI5OnqOPBNLWSHKh2a30DoXe8/edit?usp=sharing"",""ยะลา!L334"")"),76000)</f>
        <v>76000</v>
      </c>
      <c r="M439" s="176"/>
      <c r="N439" s="176">
        <f ca="1">IFERROR(__xludf.DUMMYFUNCTION("IMPORTRANGE(""https://docs.google.com/spreadsheets/d/1IYY_tgx_IHuhSq3AJ5eI5OnqOPBNLWSHKh2a30DoXe8/edit?usp=sharing"",""ยะลา!M334"")"),48365)</f>
        <v>48365</v>
      </c>
      <c r="O439" s="176">
        <f t="shared" ca="1" si="114"/>
        <v>63.638157894736842</v>
      </c>
      <c r="P439" s="176"/>
    </row>
    <row r="440" spans="1:16" ht="21.75" customHeight="1" x14ac:dyDescent="0.35">
      <c r="A440" s="381"/>
      <c r="B440" s="382"/>
      <c r="C440" s="163"/>
      <c r="D440" s="383"/>
      <c r="E440" s="165"/>
      <c r="F440" s="165"/>
      <c r="G440" s="384" t="s">
        <v>131</v>
      </c>
      <c r="H440" s="167" t="s">
        <v>12</v>
      </c>
      <c r="I440" s="195"/>
      <c r="J440" s="195"/>
      <c r="K440" s="231"/>
      <c r="L440" s="176"/>
      <c r="M440" s="176"/>
      <c r="N440" s="385">
        <f ca="1">IFERROR(__xludf.DUMMYFUNCTION("IMPORTRANGE(""https://docs.google.com/spreadsheets/d/1IYY_tgx_IHuhSq3AJ5eI5OnqOPBNLWSHKh2a30DoXe8/edit?usp=sharing"",""ยะลา!M335"")"),22545)</f>
        <v>22545</v>
      </c>
      <c r="O440" s="176"/>
      <c r="P440" s="176"/>
    </row>
    <row r="441" spans="1:16" ht="21.75" customHeight="1" x14ac:dyDescent="0.35">
      <c r="A441" s="381"/>
      <c r="B441" s="382"/>
      <c r="C441" s="163"/>
      <c r="D441" s="383"/>
      <c r="E441" s="165"/>
      <c r="F441" s="165"/>
      <c r="G441" s="384" t="s">
        <v>132</v>
      </c>
      <c r="H441" s="167" t="s">
        <v>12</v>
      </c>
      <c r="I441" s="195"/>
      <c r="J441" s="195"/>
      <c r="K441" s="231"/>
      <c r="L441" s="176"/>
      <c r="M441" s="176"/>
      <c r="N441" s="385">
        <f ca="1">IFERROR(__xludf.DUMMYFUNCTION("IMPORTRANGE(""https://docs.google.com/spreadsheets/d/1IYY_tgx_IHuhSq3AJ5eI5OnqOPBNLWSHKh2a30DoXe8/edit?usp=sharing"",""ยะลา!M336"")"),0)</f>
        <v>0</v>
      </c>
      <c r="O441" s="176"/>
      <c r="P441" s="176"/>
    </row>
    <row r="442" spans="1:16" ht="21.75" customHeight="1" x14ac:dyDescent="0.35">
      <c r="A442" s="381"/>
      <c r="B442" s="382"/>
      <c r="C442" s="163"/>
      <c r="D442" s="383"/>
      <c r="E442" s="165"/>
      <c r="F442" s="165"/>
      <c r="G442" s="384" t="s">
        <v>133</v>
      </c>
      <c r="H442" s="167" t="s">
        <v>12</v>
      </c>
      <c r="I442" s="195"/>
      <c r="J442" s="195"/>
      <c r="K442" s="231"/>
      <c r="L442" s="176"/>
      <c r="M442" s="176"/>
      <c r="N442" s="385">
        <f ca="1">IFERROR(__xludf.DUMMYFUNCTION("IMPORTRANGE(""https://docs.google.com/spreadsheets/d/1IYY_tgx_IHuhSq3AJ5eI5OnqOPBNLWSHKh2a30DoXe8/edit?usp=sharing"",""ยะลา!M337"")"),0)</f>
        <v>0</v>
      </c>
      <c r="O442" s="176"/>
      <c r="P442" s="176"/>
    </row>
    <row r="443" spans="1:16" ht="21.75" customHeight="1" x14ac:dyDescent="0.35">
      <c r="A443" s="381"/>
      <c r="B443" s="382"/>
      <c r="C443" s="163"/>
      <c r="D443" s="383"/>
      <c r="E443" s="165"/>
      <c r="F443" s="165"/>
      <c r="G443" s="384" t="s">
        <v>134</v>
      </c>
      <c r="H443" s="167" t="s">
        <v>12</v>
      </c>
      <c r="I443" s="195"/>
      <c r="J443" s="195"/>
      <c r="K443" s="231"/>
      <c r="L443" s="176"/>
      <c r="M443" s="176"/>
      <c r="N443" s="385">
        <f ca="1">IFERROR(__xludf.DUMMYFUNCTION("IMPORTRANGE(""https://docs.google.com/spreadsheets/d/1IYY_tgx_IHuhSq3AJ5eI5OnqOPBNLWSHKh2a30DoXe8/edit?usp=sharing"",""ยะลา!M338"")"),25820)</f>
        <v>25820</v>
      </c>
      <c r="O443" s="176"/>
      <c r="P443" s="176"/>
    </row>
    <row r="444" spans="1:16" ht="21.75" customHeight="1" x14ac:dyDescent="0.35">
      <c r="A444" s="183"/>
      <c r="B444" s="184"/>
      <c r="C444" s="163" t="s">
        <v>16</v>
      </c>
      <c r="D444" s="185" t="s">
        <v>44</v>
      </c>
      <c r="E444" s="186"/>
      <c r="F444" s="186"/>
      <c r="G444" s="187"/>
      <c r="H444" s="188"/>
      <c r="I444" s="168"/>
      <c r="J444" s="168"/>
      <c r="K444" s="169"/>
      <c r="L444" s="189"/>
      <c r="M444" s="189"/>
      <c r="N444" s="189"/>
      <c r="O444" s="189"/>
      <c r="P444" s="189"/>
    </row>
    <row r="445" spans="1:16" ht="21.75" customHeight="1" x14ac:dyDescent="0.35">
      <c r="A445" s="183"/>
      <c r="B445" s="184"/>
      <c r="C445" s="184"/>
      <c r="D445" s="190">
        <v>1</v>
      </c>
      <c r="E445" s="191" t="s">
        <v>45</v>
      </c>
      <c r="F445" s="192"/>
      <c r="G445" s="193"/>
      <c r="H445" s="194"/>
      <c r="I445" s="195"/>
      <c r="J445" s="217">
        <f ca="1">IFERROR(__xludf.DUMMYFUNCTION("IMPORTRANGE(""https://docs.google.com/spreadsheets/d/1IYY_tgx_IHuhSq3AJ5eI5OnqOPBNLWSHKh2a30DoXe8/edit?usp=sharing"",""ยะลา!J340"")"),0)</f>
        <v>0</v>
      </c>
      <c r="K445" s="169"/>
      <c r="L445" s="189"/>
      <c r="M445" s="189"/>
      <c r="N445" s="189"/>
      <c r="O445" s="189"/>
      <c r="P445" s="189"/>
    </row>
    <row r="446" spans="1:16" ht="21.75" customHeight="1" x14ac:dyDescent="0.35">
      <c r="A446" s="183"/>
      <c r="B446" s="184"/>
      <c r="C446" s="184"/>
      <c r="D446" s="197">
        <v>2</v>
      </c>
      <c r="E446" s="198" t="s">
        <v>46</v>
      </c>
      <c r="F446" s="199"/>
      <c r="G446" s="200"/>
      <c r="H446" s="194"/>
      <c r="I446" s="195"/>
      <c r="J446" s="419">
        <f ca="1">IFERROR(__xludf.DUMMYFUNCTION("IMPORTRANGE(""https://docs.google.com/spreadsheets/d/1IYY_tgx_IHuhSq3AJ5eI5OnqOPBNLWSHKh2a30DoXe8/edit?usp=sharing"",""ยะลา!J341"")"),1)</f>
        <v>1</v>
      </c>
      <c r="K446" s="169"/>
      <c r="L446" s="189" t="s">
        <v>40</v>
      </c>
      <c r="M446" s="189"/>
      <c r="N446" s="189" t="s">
        <v>40</v>
      </c>
      <c r="O446" s="189"/>
      <c r="P446" s="189"/>
    </row>
    <row r="447" spans="1:16" ht="21.75" customHeight="1" x14ac:dyDescent="0.35">
      <c r="A447" s="183"/>
      <c r="B447" s="184"/>
      <c r="C447" s="184"/>
      <c r="D447" s="201"/>
      <c r="E447" s="202" t="s">
        <v>161</v>
      </c>
      <c r="F447" s="203"/>
      <c r="G447" s="204"/>
      <c r="H447" s="194"/>
      <c r="I447" s="195"/>
      <c r="J447" s="196">
        <f ca="1">IFERROR(__xludf.DUMMYFUNCTION("IMPORTRANGE(""https://docs.google.com/spreadsheets/d/1IYY_tgx_IHuhSq3AJ5eI5OnqOPBNLWSHKh2a30DoXe8/edit?usp=sharing"",""ยะลา!J342"")"),1)</f>
        <v>1</v>
      </c>
      <c r="K447" s="169"/>
      <c r="L447" s="189"/>
      <c r="M447" s="189"/>
      <c r="N447" s="189"/>
      <c r="O447" s="189"/>
      <c r="P447" s="189"/>
    </row>
    <row r="448" spans="1:16" ht="21.75" customHeight="1" x14ac:dyDescent="0.35">
      <c r="A448" s="183"/>
      <c r="B448" s="184"/>
      <c r="C448" s="184"/>
      <c r="D448" s="201"/>
      <c r="E448" s="202" t="s">
        <v>48</v>
      </c>
      <c r="F448" s="203"/>
      <c r="G448" s="204"/>
      <c r="H448" s="194"/>
      <c r="I448" s="195"/>
      <c r="J448" s="196">
        <f ca="1">IFERROR(__xludf.DUMMYFUNCTION("IMPORTRANGE(""https://docs.google.com/spreadsheets/d/1IYY_tgx_IHuhSq3AJ5eI5OnqOPBNLWSHKh2a30DoXe8/edit?usp=sharing"",""ยะลา!J343"")"),1)</f>
        <v>1</v>
      </c>
      <c r="K448" s="169"/>
      <c r="L448" s="189"/>
      <c r="M448" s="189"/>
      <c r="N448" s="189"/>
      <c r="O448" s="189"/>
      <c r="P448" s="189"/>
    </row>
    <row r="449" spans="1:16" ht="21.75" customHeight="1" x14ac:dyDescent="0.35">
      <c r="A449" s="183"/>
      <c r="B449" s="184"/>
      <c r="C449" s="184"/>
      <c r="D449" s="201"/>
      <c r="E449" s="206"/>
      <c r="F449" s="420" t="s">
        <v>101</v>
      </c>
      <c r="G449" s="204"/>
      <c r="H449" s="194" t="s">
        <v>37</v>
      </c>
      <c r="I449" s="397">
        <f ca="1">IFERROR(__xludf.DUMMYFUNCTION("IMPORTRANGE(""https://docs.google.com/spreadsheets/d/1IYY_tgx_IHuhSq3AJ5eI5OnqOPBNLWSHKh2a30DoXe8/edit?usp=sharing"",""ยะลา!I344"")"),10)</f>
        <v>10</v>
      </c>
      <c r="J449" s="208">
        <f ca="1">IFERROR(__xludf.DUMMYFUNCTION("IMPORTRANGE(""https://docs.google.com/spreadsheets/d/1IYY_tgx_IHuhSq3AJ5eI5OnqOPBNLWSHKh2a30DoXe8/edit?usp=sharing"",""ยะลา!J344"")"),10)</f>
        <v>10</v>
      </c>
      <c r="K449" s="169">
        <f t="shared" ref="K449:K452" ca="1" si="115">IF(I449&gt;0,J449*100/I449,0)</f>
        <v>100</v>
      </c>
      <c r="L449" s="189"/>
      <c r="M449" s="189"/>
      <c r="N449" s="189"/>
      <c r="O449" s="189"/>
      <c r="P449" s="189"/>
    </row>
    <row r="450" spans="1:16" ht="21.75" customHeight="1" x14ac:dyDescent="0.35">
      <c r="A450" s="183"/>
      <c r="B450" s="184"/>
      <c r="C450" s="184"/>
      <c r="D450" s="201"/>
      <c r="E450" s="206"/>
      <c r="F450" s="203"/>
      <c r="G450" s="233" t="s">
        <v>162</v>
      </c>
      <c r="H450" s="194" t="s">
        <v>37</v>
      </c>
      <c r="I450" s="347">
        <f ca="1">IFERROR(__xludf.DUMMYFUNCTION("IMPORTRANGE(""https://docs.google.com/spreadsheets/d/1IYY_tgx_IHuhSq3AJ5eI5OnqOPBNLWSHKh2a30DoXe8/edit?usp=sharing"",""ยะลา!I345"")"),10)</f>
        <v>10</v>
      </c>
      <c r="J450" s="196">
        <f ca="1">IFERROR(__xludf.DUMMYFUNCTION("IMPORTRANGE(""https://docs.google.com/spreadsheets/d/1IYY_tgx_IHuhSq3AJ5eI5OnqOPBNLWSHKh2a30DoXe8/edit?usp=sharing"",""ยะลา!J345"")"),10)</f>
        <v>10</v>
      </c>
      <c r="K450" s="169">
        <f t="shared" ca="1" si="115"/>
        <v>100</v>
      </c>
      <c r="L450" s="189"/>
      <c r="M450" s="189"/>
      <c r="N450" s="189"/>
      <c r="O450" s="189"/>
      <c r="P450" s="189"/>
    </row>
    <row r="451" spans="1:16" ht="21.75" customHeight="1" x14ac:dyDescent="0.35">
      <c r="A451" s="183"/>
      <c r="B451" s="184"/>
      <c r="C451" s="184"/>
      <c r="D451" s="201"/>
      <c r="E451" s="206"/>
      <c r="F451" s="203"/>
      <c r="G451" s="287" t="s">
        <v>163</v>
      </c>
      <c r="H451" s="194" t="s">
        <v>37</v>
      </c>
      <c r="I451" s="347">
        <f ca="1">IFERROR(__xludf.DUMMYFUNCTION("IMPORTRANGE(""https://docs.google.com/spreadsheets/d/1IYY_tgx_IHuhSq3AJ5eI5OnqOPBNLWSHKh2a30DoXe8/edit?usp=sharing"",""ยะลา!I346"")"),0)</f>
        <v>0</v>
      </c>
      <c r="J451" s="195">
        <f ca="1">IFERROR(__xludf.DUMMYFUNCTION("IMPORTRANGE(""https://docs.google.com/spreadsheets/d/1IYY_tgx_IHuhSq3AJ5eI5OnqOPBNLWSHKh2a30DoXe8/edit?usp=sharing"",""ยะลา!J346"")"),0)</f>
        <v>0</v>
      </c>
      <c r="K451" s="169">
        <f t="shared" ca="1" si="115"/>
        <v>0</v>
      </c>
      <c r="L451" s="189"/>
      <c r="M451" s="189"/>
      <c r="N451" s="189"/>
      <c r="O451" s="189"/>
      <c r="P451" s="189"/>
    </row>
    <row r="452" spans="1:16" ht="21.75" customHeight="1" x14ac:dyDescent="0.35">
      <c r="A452" s="183"/>
      <c r="B452" s="184"/>
      <c r="C452" s="184"/>
      <c r="D452" s="201"/>
      <c r="E452" s="206"/>
      <c r="F452" s="203"/>
      <c r="G452" s="204" t="s">
        <v>164</v>
      </c>
      <c r="H452" s="194" t="s">
        <v>37</v>
      </c>
      <c r="I452" s="195">
        <f ca="1">IFERROR(__xludf.DUMMYFUNCTION("IMPORTRANGE(""https://docs.google.com/spreadsheets/d/1IYY_tgx_IHuhSq3AJ5eI5OnqOPBNLWSHKh2a30DoXe8/edit?usp=sharing"",""ยะลา!I347"")"),0)</f>
        <v>0</v>
      </c>
      <c r="J452" s="195">
        <f ca="1">IFERROR(__xludf.DUMMYFUNCTION("IMPORTRANGE(""https://docs.google.com/spreadsheets/d/1IYY_tgx_IHuhSq3AJ5eI5OnqOPBNLWSHKh2a30DoXe8/edit?usp=sharing"",""ยะลา!J347"")"),0)</f>
        <v>0</v>
      </c>
      <c r="K452" s="169">
        <f t="shared" ca="1" si="115"/>
        <v>0</v>
      </c>
      <c r="L452" s="189"/>
      <c r="M452" s="189"/>
      <c r="N452" s="189"/>
      <c r="O452" s="189"/>
      <c r="P452" s="189"/>
    </row>
    <row r="453" spans="1:16" ht="21.75" customHeight="1" x14ac:dyDescent="0.35">
      <c r="A453" s="183"/>
      <c r="B453" s="184"/>
      <c r="C453" s="184"/>
      <c r="D453" s="201"/>
      <c r="E453" s="202" t="s">
        <v>54</v>
      </c>
      <c r="F453" s="203"/>
      <c r="G453" s="204"/>
      <c r="H453" s="194"/>
      <c r="I453" s="195"/>
      <c r="J453" s="205">
        <f ca="1">IFERROR(__xludf.DUMMYFUNCTION("IMPORTRANGE(""https://docs.google.com/spreadsheets/d/1IYY_tgx_IHuhSq3AJ5eI5OnqOPBNLWSHKh2a30DoXe8/edit?usp=sharing"",""ยะลา!J348"")"),0)</f>
        <v>0</v>
      </c>
      <c r="K453" s="169"/>
      <c r="L453" s="189"/>
      <c r="M453" s="189"/>
      <c r="N453" s="189"/>
      <c r="O453" s="189"/>
      <c r="P453" s="189"/>
    </row>
    <row r="454" spans="1:16" ht="21.75" customHeight="1" x14ac:dyDescent="0.35">
      <c r="A454" s="183"/>
      <c r="B454" s="184"/>
      <c r="C454" s="184"/>
      <c r="D454" s="213">
        <v>3</v>
      </c>
      <c r="E454" s="214" t="s">
        <v>55</v>
      </c>
      <c r="F454" s="215"/>
      <c r="G454" s="216"/>
      <c r="H454" s="194"/>
      <c r="I454" s="195"/>
      <c r="J454" s="217">
        <f ca="1">IFERROR(__xludf.DUMMYFUNCTION("IMPORTRANGE(""https://docs.google.com/spreadsheets/d/1IYY_tgx_IHuhSq3AJ5eI5OnqOPBNLWSHKh2a30DoXe8/edit?usp=sharing"",""ยะลา!J349"")"),0)</f>
        <v>0</v>
      </c>
      <c r="K454" s="169"/>
      <c r="L454" s="189"/>
      <c r="M454" s="189"/>
      <c r="N454" s="189"/>
      <c r="O454" s="189"/>
      <c r="P454" s="189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IFERROR(__xludf.DUMMYFUNCTION("IMPORTRANGE(""https://docs.google.com/spreadsheets/d/1IYY_tgx_IHuhSq3AJ5eI5OnqOPBNLWSHKh2a30DoXe8/edit?usp=sharing"",""ยะลา!I350"")"),5390)</f>
        <v>5390</v>
      </c>
      <c r="J455" s="377">
        <f ca="1">IFERROR(__xludf.DUMMYFUNCTION("IMPORTRANGE(""https://docs.google.com/spreadsheets/d/1IYY_tgx_IHuhSq3AJ5eI5OnqOPBNLWSHKh2a30DoXe8/edit?usp=sharing"",""ยะลา!J350"")"),0)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IFERROR(__xludf.DUMMYFUNCTION("IMPORTRANGE(""https://docs.google.com/spreadsheets/d/1IYY_tgx_IHuhSq3AJ5eI5OnqOPBNLWSHKh2a30DoXe8/edit?usp=sharing"",""ยะลา!L350"")"),77877)</f>
        <v>77877</v>
      </c>
      <c r="M455" s="379"/>
      <c r="N455" s="379">
        <f ca="1">IFERROR(__xludf.DUMMYFUNCTION("IMPORTRANGE(""https://docs.google.com/spreadsheets/d/1IYY_tgx_IHuhSq3AJ5eI5OnqOPBNLWSHKh2a30DoXe8/edit?usp=sharing"",""ยะลา!M350"")"),3440)</f>
        <v>3440</v>
      </c>
      <c r="O455" s="379">
        <f t="shared" ref="O455:O459" ca="1" si="116">+IF(L455&gt;0,N455*100/L455,0)</f>
        <v>4.4172220296107962</v>
      </c>
      <c r="P455" s="379"/>
    </row>
    <row r="456" spans="1:16" ht="21.75" customHeight="1" x14ac:dyDescent="0.35">
      <c r="A456" s="162"/>
      <c r="B456" s="163"/>
      <c r="C456" s="163" t="s">
        <v>16</v>
      </c>
      <c r="D456" s="164" t="s">
        <v>38</v>
      </c>
      <c r="E456" s="165"/>
      <c r="F456" s="165"/>
      <c r="G456" s="166" t="s">
        <v>39</v>
      </c>
      <c r="H456" s="167" t="s">
        <v>12</v>
      </c>
      <c r="I456" s="168" t="s">
        <v>40</v>
      </c>
      <c r="J456" s="168"/>
      <c r="K456" s="169"/>
      <c r="L456" s="170">
        <f ca="1">IFERROR(__xludf.DUMMYFUNCTION("IMPORTRANGE(""https://docs.google.com/spreadsheets/d/1IYY_tgx_IHuhSq3AJ5eI5OnqOPBNLWSHKh2a30DoXe8/edit?usp=sharing"",""ยะลา!L351"")"),0)</f>
        <v>0</v>
      </c>
      <c r="M456" s="170"/>
      <c r="N456" s="176">
        <f ca="1">IFERROR(__xludf.DUMMYFUNCTION("IMPORTRANGE(""https://docs.google.com/spreadsheets/d/1IYY_tgx_IHuhSq3AJ5eI5OnqOPBNLWSHKh2a30DoXe8/edit?usp=sharing"",""ยะลา!M351"")"),0)</f>
        <v>0</v>
      </c>
      <c r="O456" s="176">
        <f t="shared" ca="1" si="116"/>
        <v>0</v>
      </c>
      <c r="P456" s="176"/>
    </row>
    <row r="457" spans="1:16" ht="21.75" customHeight="1" x14ac:dyDescent="0.35">
      <c r="A457" s="162"/>
      <c r="B457" s="163"/>
      <c r="C457" s="163"/>
      <c r="D457" s="172"/>
      <c r="E457" s="165"/>
      <c r="F457" s="165" t="s">
        <v>40</v>
      </c>
      <c r="G457" s="166" t="s">
        <v>41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IFERROR(__xludf.DUMMYFUNCTION("IMPORTRANGE(""https://docs.google.com/spreadsheets/d/1IYY_tgx_IHuhSq3AJ5eI5OnqOPBNLWSHKh2a30DoXe8/edit?usp=sharing"",""ยะลา!L352"")"),77877)</f>
        <v>77877</v>
      </c>
      <c r="M457" s="171"/>
      <c r="N457" s="176">
        <f ca="1">IFERROR(__xludf.DUMMYFUNCTION("IMPORTRANGE(""https://docs.google.com/spreadsheets/d/1IYY_tgx_IHuhSq3AJ5eI5OnqOPBNLWSHKh2a30DoXe8/edit?usp=sharing"",""ยะลา!M352"")"),3440)</f>
        <v>3440</v>
      </c>
      <c r="O457" s="176">
        <f t="shared" ca="1" si="116"/>
        <v>4.4172220296107962</v>
      </c>
      <c r="P457" s="176"/>
    </row>
    <row r="458" spans="1:16" ht="21.75" customHeight="1" x14ac:dyDescent="0.35">
      <c r="A458" s="162"/>
      <c r="B458" s="163"/>
      <c r="C458" s="163"/>
      <c r="D458" s="172"/>
      <c r="E458" s="165"/>
      <c r="F458" s="165"/>
      <c r="G458" s="380" t="s">
        <v>129</v>
      </c>
      <c r="H458" s="167" t="s">
        <v>12</v>
      </c>
      <c r="I458" s="168"/>
      <c r="J458" s="168"/>
      <c r="K458" s="169"/>
      <c r="L458" s="176">
        <f ca="1">IFERROR(__xludf.DUMMYFUNCTION("IMPORTRANGE(""https://docs.google.com/spreadsheets/d/1IYY_tgx_IHuhSq3AJ5eI5OnqOPBNLWSHKh2a30DoXe8/edit?usp=sharing"",""ยะลา!L353"")"),0)</f>
        <v>0</v>
      </c>
      <c r="M458" s="176"/>
      <c r="N458" s="176">
        <f ca="1">IFERROR(__xludf.DUMMYFUNCTION("IMPORTRANGE(""https://docs.google.com/spreadsheets/d/1IYY_tgx_IHuhSq3AJ5eI5OnqOPBNLWSHKh2a30DoXe8/edit?usp=sharing"",""ยะลา!M353"")"),0)</f>
        <v>0</v>
      </c>
      <c r="O458" s="176">
        <f t="shared" ca="1" si="116"/>
        <v>0</v>
      </c>
      <c r="P458" s="176"/>
    </row>
    <row r="459" spans="1:16" ht="21.75" customHeight="1" x14ac:dyDescent="0.35">
      <c r="A459" s="162"/>
      <c r="B459" s="163"/>
      <c r="C459" s="163"/>
      <c r="D459" s="172"/>
      <c r="E459" s="165"/>
      <c r="F459" s="165"/>
      <c r="G459" s="380" t="s">
        <v>130</v>
      </c>
      <c r="H459" s="167" t="s">
        <v>12</v>
      </c>
      <c r="I459" s="168"/>
      <c r="J459" s="168"/>
      <c r="K459" s="169"/>
      <c r="L459" s="176">
        <f ca="1">IFERROR(__xludf.DUMMYFUNCTION("IMPORTRANGE(""https://docs.google.com/spreadsheets/d/1IYY_tgx_IHuhSq3AJ5eI5OnqOPBNLWSHKh2a30DoXe8/edit?usp=sharing"",""ยะลา!L354"")"),77877)</f>
        <v>77877</v>
      </c>
      <c r="M459" s="176"/>
      <c r="N459" s="176">
        <f ca="1">IFERROR(__xludf.DUMMYFUNCTION("IMPORTRANGE(""https://docs.google.com/spreadsheets/d/1IYY_tgx_IHuhSq3AJ5eI5OnqOPBNLWSHKh2a30DoXe8/edit?usp=sharing"",""ยะลา!M354"")"),3440)</f>
        <v>3440</v>
      </c>
      <c r="O459" s="176">
        <f t="shared" ca="1" si="116"/>
        <v>4.4172220296107962</v>
      </c>
      <c r="P459" s="176"/>
    </row>
    <row r="460" spans="1:16" ht="21.75" customHeight="1" x14ac:dyDescent="0.35">
      <c r="A460" s="381"/>
      <c r="B460" s="382"/>
      <c r="C460" s="163"/>
      <c r="D460" s="383"/>
      <c r="E460" s="165"/>
      <c r="F460" s="165"/>
      <c r="G460" s="384" t="s">
        <v>131</v>
      </c>
      <c r="H460" s="167" t="s">
        <v>12</v>
      </c>
      <c r="I460" s="195"/>
      <c r="J460" s="195"/>
      <c r="K460" s="231"/>
      <c r="L460" s="176"/>
      <c r="M460" s="176"/>
      <c r="N460" s="173">
        <f ca="1">IFERROR(__xludf.DUMMYFUNCTION("IMPORTRANGE(""https://docs.google.com/spreadsheets/d/1IYY_tgx_IHuhSq3AJ5eI5OnqOPBNLWSHKh2a30DoXe8/edit?usp=sharing"",""ยะลา!M355"")"),0)</f>
        <v>0</v>
      </c>
      <c r="O460" s="176"/>
      <c r="P460" s="176"/>
    </row>
    <row r="461" spans="1:16" ht="21.75" customHeight="1" x14ac:dyDescent="0.35">
      <c r="A461" s="381"/>
      <c r="B461" s="382"/>
      <c r="C461" s="163"/>
      <c r="D461" s="383"/>
      <c r="E461" s="165"/>
      <c r="F461" s="165"/>
      <c r="G461" s="384" t="s">
        <v>132</v>
      </c>
      <c r="H461" s="167" t="s">
        <v>12</v>
      </c>
      <c r="I461" s="195"/>
      <c r="J461" s="195"/>
      <c r="K461" s="231"/>
      <c r="L461" s="176"/>
      <c r="M461" s="176"/>
      <c r="N461" s="173">
        <f ca="1">IFERROR(__xludf.DUMMYFUNCTION("IMPORTRANGE(""https://docs.google.com/spreadsheets/d/1IYY_tgx_IHuhSq3AJ5eI5OnqOPBNLWSHKh2a30DoXe8/edit?usp=sharing"",""ยะลา!M356"")"),0)</f>
        <v>0</v>
      </c>
      <c r="O461" s="176"/>
      <c r="P461" s="176"/>
    </row>
    <row r="462" spans="1:16" ht="21.75" customHeight="1" x14ac:dyDescent="0.35">
      <c r="A462" s="381"/>
      <c r="B462" s="382"/>
      <c r="C462" s="163"/>
      <c r="D462" s="383"/>
      <c r="E462" s="165"/>
      <c r="F462" s="165"/>
      <c r="G462" s="384" t="s">
        <v>133</v>
      </c>
      <c r="H462" s="167" t="s">
        <v>12</v>
      </c>
      <c r="I462" s="195"/>
      <c r="J462" s="195"/>
      <c r="K462" s="231"/>
      <c r="L462" s="176"/>
      <c r="M462" s="176"/>
      <c r="N462" s="385">
        <f ca="1">IFERROR(__xludf.DUMMYFUNCTION("IMPORTRANGE(""https://docs.google.com/spreadsheets/d/1IYY_tgx_IHuhSq3AJ5eI5OnqOPBNLWSHKh2a30DoXe8/edit?usp=sharing"",""ยะลา!M357"")"),0)</f>
        <v>0</v>
      </c>
      <c r="O462" s="176"/>
      <c r="P462" s="176"/>
    </row>
    <row r="463" spans="1:16" ht="21.75" customHeight="1" x14ac:dyDescent="0.35">
      <c r="A463" s="381"/>
      <c r="B463" s="382"/>
      <c r="C463" s="163"/>
      <c r="D463" s="383"/>
      <c r="E463" s="165"/>
      <c r="F463" s="165"/>
      <c r="G463" s="384" t="s">
        <v>134</v>
      </c>
      <c r="H463" s="167" t="s">
        <v>12</v>
      </c>
      <c r="I463" s="195"/>
      <c r="J463" s="195"/>
      <c r="K463" s="231"/>
      <c r="L463" s="176"/>
      <c r="M463" s="176"/>
      <c r="N463" s="385">
        <f ca="1">IFERROR(__xludf.DUMMYFUNCTION("IMPORTRANGE(""https://docs.google.com/spreadsheets/d/1IYY_tgx_IHuhSq3AJ5eI5OnqOPBNLWSHKh2a30DoXe8/edit?usp=sharing"",""ยะลา!M358"")"),3440)</f>
        <v>3440</v>
      </c>
      <c r="O463" s="176"/>
      <c r="P463" s="176"/>
    </row>
    <row r="464" spans="1:16" ht="21.75" customHeight="1" x14ac:dyDescent="0.35">
      <c r="A464" s="183"/>
      <c r="B464" s="184"/>
      <c r="C464" s="421" t="s">
        <v>166</v>
      </c>
      <c r="D464" s="421"/>
      <c r="E464" s="422"/>
      <c r="F464" s="422"/>
      <c r="G464" s="423"/>
      <c r="H464" s="273" t="s">
        <v>122</v>
      </c>
      <c r="I464" s="274">
        <f ca="1">IFERROR(__xludf.DUMMYFUNCTION("IMPORTRANGE(""https://docs.google.com/spreadsheets/d/1IYY_tgx_IHuhSq3AJ5eI5OnqOPBNLWSHKh2a30DoXe8/edit?usp=sharing"",""ยะลา!I359"")"),5390)</f>
        <v>5390</v>
      </c>
      <c r="J464" s="274">
        <f ca="1">IFERROR(__xludf.DUMMYFUNCTION("IMPORTRANGE(""https://docs.google.com/spreadsheets/d/1IYY_tgx_IHuhSq3AJ5eI5OnqOPBNLWSHKh2a30DoXe8/edit?usp=sharing"",""ยะลา!J359"")"),0)</f>
        <v>0</v>
      </c>
      <c r="K464" s="275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1" t="s">
        <v>167</v>
      </c>
      <c r="F465" s="203"/>
      <c r="G465" s="204"/>
      <c r="H465" s="424" t="s">
        <v>122</v>
      </c>
      <c r="I465" s="425">
        <f ca="1">IFERROR(__xludf.DUMMYFUNCTION("IMPORTRANGE(""https://docs.google.com/spreadsheets/d/1IYY_tgx_IHuhSq3AJ5eI5OnqOPBNLWSHKh2a30DoXe8/edit?usp=sharing"",""ยะลา!I360"")"),5390)</f>
        <v>5390</v>
      </c>
      <c r="J465" s="426">
        <f ca="1">IFERROR(__xludf.DUMMYFUNCTION("IMPORTRANGE(""https://docs.google.com/spreadsheets/d/1IYY_tgx_IHuhSq3AJ5eI5OnqOPBNLWSHKh2a30DoXe8/edit?usp=sharing"",""ยะลา!J360"")"),5391)</f>
        <v>5391</v>
      </c>
      <c r="K465" s="209">
        <f t="shared" ca="1" si="117"/>
        <v>100.01855287569573</v>
      </c>
      <c r="L465" s="189"/>
      <c r="M465" s="189"/>
      <c r="N465" s="189"/>
      <c r="O465" s="189"/>
      <c r="P465" s="189"/>
    </row>
    <row r="466" spans="1:16" ht="21.75" customHeight="1" x14ac:dyDescent="0.35">
      <c r="A466" s="408"/>
      <c r="B466" s="409"/>
      <c r="C466" s="409"/>
      <c r="D466" s="410"/>
      <c r="E466" s="203"/>
      <c r="F466" s="203"/>
      <c r="G466" s="204"/>
      <c r="H466" s="424" t="s">
        <v>36</v>
      </c>
      <c r="I466" s="425">
        <f ca="1">IFERROR(__xludf.DUMMYFUNCTION("IMPORTRANGE(""https://docs.google.com/spreadsheets/d/1IYY_tgx_IHuhSq3AJ5eI5OnqOPBNLWSHKh2a30DoXe8/edit?usp=sharing"",""ยะลา!I361"")"),1357)</f>
        <v>1357</v>
      </c>
      <c r="J466" s="426">
        <f ca="1">IFERROR(__xludf.DUMMYFUNCTION("IMPORTRANGE(""https://docs.google.com/spreadsheets/d/1IYY_tgx_IHuhSq3AJ5eI5OnqOPBNLWSHKh2a30DoXe8/edit?usp=sharing"",""ยะลา!J361"")"),1357)</f>
        <v>1357</v>
      </c>
      <c r="K466" s="209">
        <f t="shared" ca="1" si="117"/>
        <v>100</v>
      </c>
      <c r="L466" s="189"/>
      <c r="M466" s="189"/>
      <c r="N466" s="189"/>
      <c r="O466" s="189"/>
      <c r="P466" s="189"/>
    </row>
    <row r="467" spans="1:16" ht="21.75" customHeight="1" x14ac:dyDescent="0.35">
      <c r="A467" s="408"/>
      <c r="B467" s="409"/>
      <c r="C467" s="409"/>
      <c r="D467" s="410"/>
      <c r="E467" s="203"/>
      <c r="F467" s="396" t="s">
        <v>168</v>
      </c>
      <c r="G467" s="427"/>
      <c r="H467" s="428" t="s">
        <v>122</v>
      </c>
      <c r="I467" s="210">
        <f ca="1">IFERROR(__xludf.DUMMYFUNCTION("IMPORTRANGE(""https://docs.google.com/spreadsheets/d/1IYY_tgx_IHuhSq3AJ5eI5OnqOPBNLWSHKh2a30DoXe8/edit?usp=sharing"",""ยะลา!I362"")"),0)</f>
        <v>0</v>
      </c>
      <c r="J467" s="196">
        <f ca="1">IFERROR(__xludf.DUMMYFUNCTION("IMPORTRANGE(""https://docs.google.com/spreadsheets/d/1IYY_tgx_IHuhSq3AJ5eI5OnqOPBNLWSHKh2a30DoXe8/edit?usp=sharing"",""ยะลา!J362"")"),4970)</f>
        <v>4970</v>
      </c>
      <c r="K467" s="169">
        <f t="shared" ca="1" si="117"/>
        <v>0</v>
      </c>
      <c r="L467" s="189"/>
      <c r="M467" s="189"/>
      <c r="N467" s="189"/>
      <c r="O467" s="189"/>
      <c r="P467" s="189"/>
    </row>
    <row r="468" spans="1:16" ht="21.75" customHeight="1" x14ac:dyDescent="0.35">
      <c r="A468" s="408"/>
      <c r="B468" s="409"/>
      <c r="C468" s="409"/>
      <c r="D468" s="410"/>
      <c r="E468" s="203"/>
      <c r="F468" s="203"/>
      <c r="G468" s="427"/>
      <c r="H468" s="428" t="s">
        <v>36</v>
      </c>
      <c r="I468" s="210">
        <f ca="1">IFERROR(__xludf.DUMMYFUNCTION("IMPORTRANGE(""https://docs.google.com/spreadsheets/d/1IYY_tgx_IHuhSq3AJ5eI5OnqOPBNLWSHKh2a30DoXe8/edit?usp=sharing"",""ยะลา!I363"")"),0)</f>
        <v>0</v>
      </c>
      <c r="J468" s="196">
        <f ca="1">IFERROR(__xludf.DUMMYFUNCTION("IMPORTRANGE(""https://docs.google.com/spreadsheets/d/1IYY_tgx_IHuhSq3AJ5eI5OnqOPBNLWSHKh2a30DoXe8/edit?usp=sharing"",""ยะลา!J363"")"),1290)</f>
        <v>1290</v>
      </c>
      <c r="K468" s="169">
        <f t="shared" ca="1" si="117"/>
        <v>0</v>
      </c>
      <c r="L468" s="189"/>
      <c r="M468" s="189"/>
      <c r="N468" s="189"/>
      <c r="O468" s="189"/>
      <c r="P468" s="189"/>
    </row>
    <row r="469" spans="1:16" ht="21.75" customHeight="1" x14ac:dyDescent="0.35">
      <c r="A469" s="408"/>
      <c r="B469" s="409"/>
      <c r="C469" s="409"/>
      <c r="D469" s="410"/>
      <c r="E469" s="203"/>
      <c r="F469" s="396" t="s">
        <v>169</v>
      </c>
      <c r="G469" s="427"/>
      <c r="H469" s="428" t="s">
        <v>122</v>
      </c>
      <c r="I469" s="210">
        <f ca="1">IFERROR(__xludf.DUMMYFUNCTION("IMPORTRANGE(""https://docs.google.com/spreadsheets/d/1IYY_tgx_IHuhSq3AJ5eI5OnqOPBNLWSHKh2a30DoXe8/edit?usp=sharing"",""ยะลา!I364"")"),0)</f>
        <v>0</v>
      </c>
      <c r="J469" s="196">
        <f ca="1">IFERROR(__xludf.DUMMYFUNCTION("IMPORTRANGE(""https://docs.google.com/spreadsheets/d/1IYY_tgx_IHuhSq3AJ5eI5OnqOPBNLWSHKh2a30DoXe8/edit?usp=sharing"",""ยะลา!J364"")"),237)</f>
        <v>237</v>
      </c>
      <c r="K469" s="169">
        <f t="shared" ca="1" si="117"/>
        <v>0</v>
      </c>
      <c r="L469" s="189"/>
      <c r="M469" s="189"/>
      <c r="N469" s="189"/>
      <c r="O469" s="189"/>
      <c r="P469" s="189"/>
    </row>
    <row r="470" spans="1:16" ht="21.75" customHeight="1" x14ac:dyDescent="0.35">
      <c r="A470" s="408"/>
      <c r="B470" s="409"/>
      <c r="C470" s="409"/>
      <c r="D470" s="410"/>
      <c r="E470" s="203"/>
      <c r="F470" s="203"/>
      <c r="G470" s="427"/>
      <c r="H470" s="428" t="s">
        <v>36</v>
      </c>
      <c r="I470" s="210">
        <f ca="1">IFERROR(__xludf.DUMMYFUNCTION("IMPORTRANGE(""https://docs.google.com/spreadsheets/d/1IYY_tgx_IHuhSq3AJ5eI5OnqOPBNLWSHKh2a30DoXe8/edit?usp=sharing"",""ยะลา!I365"")"),0)</f>
        <v>0</v>
      </c>
      <c r="J470" s="196">
        <f ca="1">IFERROR(__xludf.DUMMYFUNCTION("IMPORTRANGE(""https://docs.google.com/spreadsheets/d/1IYY_tgx_IHuhSq3AJ5eI5OnqOPBNLWSHKh2a30DoXe8/edit?usp=sharing"",""ยะลา!J365"")"),32)</f>
        <v>32</v>
      </c>
      <c r="K470" s="169">
        <f t="shared" ca="1" si="117"/>
        <v>0</v>
      </c>
      <c r="L470" s="189"/>
      <c r="M470" s="189"/>
      <c r="N470" s="189"/>
      <c r="O470" s="189"/>
      <c r="P470" s="189"/>
    </row>
    <row r="471" spans="1:16" ht="21.75" customHeight="1" x14ac:dyDescent="0.35">
      <c r="A471" s="408"/>
      <c r="B471" s="409"/>
      <c r="C471" s="409"/>
      <c r="D471" s="410"/>
      <c r="E471" s="203"/>
      <c r="F471" s="396" t="s">
        <v>170</v>
      </c>
      <c r="G471" s="427"/>
      <c r="H471" s="428" t="s">
        <v>122</v>
      </c>
      <c r="I471" s="210">
        <f ca="1">IFERROR(__xludf.DUMMYFUNCTION("IMPORTRANGE(""https://docs.google.com/spreadsheets/d/1IYY_tgx_IHuhSq3AJ5eI5OnqOPBNLWSHKh2a30DoXe8/edit?usp=sharing"",""ยะลา!I366"")"),0)</f>
        <v>0</v>
      </c>
      <c r="J471" s="196">
        <f ca="1">IFERROR(__xludf.DUMMYFUNCTION("IMPORTRANGE(""https://docs.google.com/spreadsheets/d/1IYY_tgx_IHuhSq3AJ5eI5OnqOPBNLWSHKh2a30DoXe8/edit?usp=sharing"",""ยะลา!J366"")"),184)</f>
        <v>184</v>
      </c>
      <c r="K471" s="169">
        <f t="shared" ca="1" si="117"/>
        <v>0</v>
      </c>
      <c r="L471" s="189"/>
      <c r="M471" s="189"/>
      <c r="N471" s="189"/>
      <c r="O471" s="189"/>
      <c r="P471" s="189"/>
    </row>
    <row r="472" spans="1:16" ht="21.75" customHeight="1" x14ac:dyDescent="0.35">
      <c r="A472" s="408"/>
      <c r="B472" s="409"/>
      <c r="C472" s="409"/>
      <c r="D472" s="410"/>
      <c r="E472" s="203"/>
      <c r="F472" s="203"/>
      <c r="G472" s="203"/>
      <c r="H472" s="428" t="s">
        <v>36</v>
      </c>
      <c r="I472" s="210">
        <f ca="1">IFERROR(__xludf.DUMMYFUNCTION("IMPORTRANGE(""https://docs.google.com/spreadsheets/d/1IYY_tgx_IHuhSq3AJ5eI5OnqOPBNLWSHKh2a30DoXe8/edit?usp=sharing"",""ยะลา!I367"")"),0)</f>
        <v>0</v>
      </c>
      <c r="J472" s="196">
        <f ca="1">IFERROR(__xludf.DUMMYFUNCTION("IMPORTRANGE(""https://docs.google.com/spreadsheets/d/1IYY_tgx_IHuhSq3AJ5eI5OnqOPBNLWSHKh2a30DoXe8/edit?usp=sharing"",""ยะลา!J367"")"),35)</f>
        <v>35</v>
      </c>
      <c r="K472" s="169">
        <f t="shared" ca="1" si="117"/>
        <v>0</v>
      </c>
      <c r="L472" s="189"/>
      <c r="M472" s="189"/>
      <c r="N472" s="189"/>
      <c r="O472" s="189"/>
      <c r="P472" s="189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3"/>
      <c r="G473" s="204"/>
      <c r="H473" s="424" t="s">
        <v>122</v>
      </c>
      <c r="I473" s="426">
        <f ca="1">IFERROR(__xludf.DUMMYFUNCTION("IMPORTRANGE(""https://docs.google.com/spreadsheets/d/1IYY_tgx_IHuhSq3AJ5eI5OnqOPBNLWSHKh2a30DoXe8/edit?usp=sharing"",""ยะลา!I368"")"),5390)</f>
        <v>5390</v>
      </c>
      <c r="J473" s="426">
        <f ca="1">IFERROR(__xludf.DUMMYFUNCTION("IMPORTRANGE(""https://docs.google.com/spreadsheets/d/1IYY_tgx_IHuhSq3AJ5eI5OnqOPBNLWSHKh2a30DoXe8/edit?usp=sharing"",""ยะลา!J368"")"),0)</f>
        <v>0</v>
      </c>
      <c r="K473" s="209">
        <f t="shared" ca="1" si="117"/>
        <v>0</v>
      </c>
      <c r="L473" s="189"/>
      <c r="M473" s="189"/>
      <c r="N473" s="189"/>
      <c r="O473" s="189"/>
      <c r="P473" s="189"/>
    </row>
    <row r="474" spans="1:16" ht="21.75" customHeight="1" x14ac:dyDescent="0.35">
      <c r="A474" s="408"/>
      <c r="B474" s="409"/>
      <c r="C474" s="409"/>
      <c r="D474" s="410"/>
      <c r="E474" s="203"/>
      <c r="F474" s="203"/>
      <c r="G474" s="204"/>
      <c r="H474" s="424" t="s">
        <v>36</v>
      </c>
      <c r="I474" s="425">
        <f ca="1">IFERROR(__xludf.DUMMYFUNCTION("IMPORTRANGE(""https://docs.google.com/spreadsheets/d/1IYY_tgx_IHuhSq3AJ5eI5OnqOPBNLWSHKh2a30DoXe8/edit?usp=sharing"",""ยะลา!I369"")"),1357)</f>
        <v>1357</v>
      </c>
      <c r="J474" s="426">
        <f ca="1">IFERROR(__xludf.DUMMYFUNCTION("IMPORTRANGE(""https://docs.google.com/spreadsheets/d/1IYY_tgx_IHuhSq3AJ5eI5OnqOPBNLWSHKh2a30DoXe8/edit?usp=sharing"",""ยะลา!J369"")"),0)</f>
        <v>0</v>
      </c>
      <c r="K474" s="169">
        <f t="shared" ca="1" si="117"/>
        <v>0</v>
      </c>
      <c r="L474" s="189"/>
      <c r="M474" s="189"/>
      <c r="N474" s="189"/>
      <c r="O474" s="189"/>
      <c r="P474" s="189"/>
    </row>
    <row r="475" spans="1:16" ht="21.75" customHeight="1" x14ac:dyDescent="0.35">
      <c r="A475" s="408"/>
      <c r="B475" s="409"/>
      <c r="C475" s="409"/>
      <c r="D475" s="410"/>
      <c r="E475" s="203"/>
      <c r="F475" s="202" t="s">
        <v>172</v>
      </c>
      <c r="G475" s="427"/>
      <c r="H475" s="428" t="s">
        <v>122</v>
      </c>
      <c r="I475" s="210">
        <f ca="1">IFERROR(__xludf.DUMMYFUNCTION("IMPORTRANGE(""https://docs.google.com/spreadsheets/d/1IYY_tgx_IHuhSq3AJ5eI5OnqOPBNLWSHKh2a30DoXe8/edit?usp=sharing"",""ยะลา!I370"")"),0)</f>
        <v>0</v>
      </c>
      <c r="J475" s="196">
        <f ca="1">IFERROR(__xludf.DUMMYFUNCTION("IMPORTRANGE(""https://docs.google.com/spreadsheets/d/1IYY_tgx_IHuhSq3AJ5eI5OnqOPBNLWSHKh2a30DoXe8/edit?usp=sharing"",""ยะลา!J370"")"),0)</f>
        <v>0</v>
      </c>
      <c r="K475" s="169">
        <f t="shared" ca="1" si="117"/>
        <v>0</v>
      </c>
      <c r="L475" s="189"/>
      <c r="M475" s="189"/>
      <c r="N475" s="189"/>
      <c r="O475" s="189"/>
      <c r="P475" s="189"/>
    </row>
    <row r="476" spans="1:16" ht="21.75" customHeight="1" x14ac:dyDescent="0.35">
      <c r="A476" s="408"/>
      <c r="B476" s="409"/>
      <c r="C476" s="409"/>
      <c r="D476" s="410"/>
      <c r="E476" s="203"/>
      <c r="F476" s="203"/>
      <c r="G476" s="427"/>
      <c r="H476" s="428" t="s">
        <v>36</v>
      </c>
      <c r="I476" s="210">
        <f ca="1">IFERROR(__xludf.DUMMYFUNCTION("IMPORTRANGE(""https://docs.google.com/spreadsheets/d/1IYY_tgx_IHuhSq3AJ5eI5OnqOPBNLWSHKh2a30DoXe8/edit?usp=sharing"",""ยะลา!I371"")"),0)</f>
        <v>0</v>
      </c>
      <c r="J476" s="196">
        <f ca="1">IFERROR(__xludf.DUMMYFUNCTION("IMPORTRANGE(""https://docs.google.com/spreadsheets/d/1IYY_tgx_IHuhSq3AJ5eI5OnqOPBNLWSHKh2a30DoXe8/edit?usp=sharing"",""ยะลา!J371"")"),0)</f>
        <v>0</v>
      </c>
      <c r="K476" s="169">
        <f t="shared" ca="1" si="117"/>
        <v>0</v>
      </c>
      <c r="L476" s="189"/>
      <c r="M476" s="189"/>
      <c r="N476" s="189"/>
      <c r="O476" s="189"/>
      <c r="P476" s="189"/>
    </row>
    <row r="477" spans="1:16" ht="21.75" customHeight="1" x14ac:dyDescent="0.35">
      <c r="A477" s="408"/>
      <c r="B477" s="409"/>
      <c r="C477" s="409"/>
      <c r="D477" s="410"/>
      <c r="E477" s="203"/>
      <c r="F477" s="202" t="s">
        <v>173</v>
      </c>
      <c r="G477" s="427"/>
      <c r="H477" s="428" t="s">
        <v>122</v>
      </c>
      <c r="I477" s="210">
        <f ca="1">IFERROR(__xludf.DUMMYFUNCTION("IMPORTRANGE(""https://docs.google.com/spreadsheets/d/1IYY_tgx_IHuhSq3AJ5eI5OnqOPBNLWSHKh2a30DoXe8/edit?usp=sharing"",""ยะลา!I372"")"),0)</f>
        <v>0</v>
      </c>
      <c r="J477" s="196">
        <f ca="1">IFERROR(__xludf.DUMMYFUNCTION("IMPORTRANGE(""https://docs.google.com/spreadsheets/d/1IYY_tgx_IHuhSq3AJ5eI5OnqOPBNLWSHKh2a30DoXe8/edit?usp=sharing"",""ยะลา!J372"")"),0)</f>
        <v>0</v>
      </c>
      <c r="K477" s="169">
        <f t="shared" ca="1" si="117"/>
        <v>0</v>
      </c>
      <c r="L477" s="189"/>
      <c r="M477" s="189"/>
      <c r="N477" s="189"/>
      <c r="O477" s="189"/>
      <c r="P477" s="189"/>
    </row>
    <row r="478" spans="1:16" ht="21.75" customHeight="1" x14ac:dyDescent="0.35">
      <c r="A478" s="408"/>
      <c r="B478" s="409"/>
      <c r="C478" s="409"/>
      <c r="D478" s="410"/>
      <c r="E478" s="203"/>
      <c r="F478" s="203"/>
      <c r="G478" s="427"/>
      <c r="H478" s="428" t="s">
        <v>36</v>
      </c>
      <c r="I478" s="210">
        <f ca="1">IFERROR(__xludf.DUMMYFUNCTION("IMPORTRANGE(""https://docs.google.com/spreadsheets/d/1IYY_tgx_IHuhSq3AJ5eI5OnqOPBNLWSHKh2a30DoXe8/edit?usp=sharing"",""ยะลา!I373"")"),0)</f>
        <v>0</v>
      </c>
      <c r="J478" s="196">
        <f ca="1">IFERROR(__xludf.DUMMYFUNCTION("IMPORTRANGE(""https://docs.google.com/spreadsheets/d/1IYY_tgx_IHuhSq3AJ5eI5OnqOPBNLWSHKh2a30DoXe8/edit?usp=sharing"",""ยะลา!J373"")"),0)</f>
        <v>0</v>
      </c>
      <c r="K478" s="169">
        <f t="shared" ca="1" si="117"/>
        <v>0</v>
      </c>
      <c r="L478" s="189"/>
      <c r="M478" s="189"/>
      <c r="N478" s="189"/>
      <c r="O478" s="189"/>
      <c r="P478" s="189"/>
    </row>
    <row r="479" spans="1:16" ht="21.75" customHeight="1" x14ac:dyDescent="0.35">
      <c r="A479" s="408"/>
      <c r="B479" s="409"/>
      <c r="C479" s="409"/>
      <c r="D479" s="410"/>
      <c r="E479" s="203"/>
      <c r="F479" s="202" t="s">
        <v>174</v>
      </c>
      <c r="G479" s="427"/>
      <c r="H479" s="428" t="s">
        <v>122</v>
      </c>
      <c r="I479" s="210">
        <f ca="1">IFERROR(__xludf.DUMMYFUNCTION("IMPORTRANGE(""https://docs.google.com/spreadsheets/d/1IYY_tgx_IHuhSq3AJ5eI5OnqOPBNLWSHKh2a30DoXe8/edit?usp=sharing"",""ยะลา!I374"")"),0)</f>
        <v>0</v>
      </c>
      <c r="J479" s="196">
        <f ca="1">IFERROR(__xludf.DUMMYFUNCTION("IMPORTRANGE(""https://docs.google.com/spreadsheets/d/1IYY_tgx_IHuhSq3AJ5eI5OnqOPBNLWSHKh2a30DoXe8/edit?usp=sharing"",""ยะลา!J374"")"),0)</f>
        <v>0</v>
      </c>
      <c r="K479" s="169">
        <f t="shared" ca="1" si="117"/>
        <v>0</v>
      </c>
      <c r="L479" s="189"/>
      <c r="M479" s="189"/>
      <c r="N479" s="189"/>
      <c r="O479" s="189"/>
      <c r="P479" s="189"/>
    </row>
    <row r="480" spans="1:16" ht="21.75" customHeight="1" x14ac:dyDescent="0.35">
      <c r="A480" s="408"/>
      <c r="B480" s="409"/>
      <c r="C480" s="409"/>
      <c r="D480" s="410"/>
      <c r="E480" s="203"/>
      <c r="F480" s="203"/>
      <c r="G480" s="204"/>
      <c r="H480" s="428" t="s">
        <v>36</v>
      </c>
      <c r="I480" s="210">
        <f ca="1">IFERROR(__xludf.DUMMYFUNCTION("IMPORTRANGE(""https://docs.google.com/spreadsheets/d/1IYY_tgx_IHuhSq3AJ5eI5OnqOPBNLWSHKh2a30DoXe8/edit?usp=sharing"",""ยะลา!I375"")"),0)</f>
        <v>0</v>
      </c>
      <c r="J480" s="196">
        <f ca="1">IFERROR(__xludf.DUMMYFUNCTION("IMPORTRANGE(""https://docs.google.com/spreadsheets/d/1IYY_tgx_IHuhSq3AJ5eI5OnqOPBNLWSHKh2a30DoXe8/edit?usp=sharing"",""ยะลา!J375"")"),0)</f>
        <v>0</v>
      </c>
      <c r="K480" s="169">
        <f t="shared" ca="1" si="117"/>
        <v>0</v>
      </c>
      <c r="L480" s="189"/>
      <c r="M480" s="189"/>
      <c r="N480" s="189"/>
      <c r="O480" s="189"/>
      <c r="P480" s="189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IFERROR(__xludf.DUMMYFUNCTION("IMPORTRANGE(""https://docs.google.com/spreadsheets/d/1IYY_tgx_IHuhSq3AJ5eI5OnqOPBNLWSHKh2a30DoXe8/edit?usp=sharing"",""ยะลา!I376"")"),5390)</f>
        <v>5390</v>
      </c>
      <c r="J481" s="426">
        <f ca="1">IFERROR(__xludf.DUMMYFUNCTION("IMPORTRANGE(""https://docs.google.com/spreadsheets/d/1IYY_tgx_IHuhSq3AJ5eI5OnqOPBNLWSHKh2a30DoXe8/edit?usp=sharing"",""ยะลา!J376"")"),0)</f>
        <v>0</v>
      </c>
      <c r="K481" s="209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3"/>
      <c r="F482" s="203"/>
      <c r="G482" s="204"/>
      <c r="H482" s="424" t="s">
        <v>36</v>
      </c>
      <c r="I482" s="425">
        <f ca="1">IFERROR(__xludf.DUMMYFUNCTION("IMPORTRANGE(""https://docs.google.com/spreadsheets/d/1IYY_tgx_IHuhSq3AJ5eI5OnqOPBNLWSHKh2a30DoXe8/edit?usp=sharing"",""ยะลา!I377"")"),1357)</f>
        <v>1357</v>
      </c>
      <c r="J482" s="426">
        <f ca="1">IFERROR(__xludf.DUMMYFUNCTION("IMPORTRANGE(""https://docs.google.com/spreadsheets/d/1IYY_tgx_IHuhSq3AJ5eI5OnqOPBNLWSHKh2a30DoXe8/edit?usp=sharing"",""ยะลา!J377"")"),0)</f>
        <v>0</v>
      </c>
      <c r="K482" s="169">
        <f t="shared" ca="1" si="117"/>
        <v>0</v>
      </c>
      <c r="L482" s="189"/>
      <c r="M482" s="189"/>
      <c r="N482" s="189"/>
      <c r="O482" s="189"/>
      <c r="P482" s="189"/>
    </row>
    <row r="483" spans="1:16" ht="21.75" customHeight="1" x14ac:dyDescent="0.35">
      <c r="A483" s="408"/>
      <c r="B483" s="409"/>
      <c r="C483" s="409"/>
      <c r="D483" s="410"/>
      <c r="E483" s="203"/>
      <c r="F483" s="202" t="s">
        <v>176</v>
      </c>
      <c r="G483" s="427"/>
      <c r="H483" s="428" t="s">
        <v>122</v>
      </c>
      <c r="I483" s="210">
        <f ca="1">IFERROR(__xludf.DUMMYFUNCTION("IMPORTRANGE(""https://docs.google.com/spreadsheets/d/1IYY_tgx_IHuhSq3AJ5eI5OnqOPBNLWSHKh2a30DoXe8/edit?usp=sharing"",""ยะลา!I378"")"),0)</f>
        <v>0</v>
      </c>
      <c r="J483" s="196">
        <f ca="1">IFERROR(__xludf.DUMMYFUNCTION("IMPORTRANGE(""https://docs.google.com/spreadsheets/d/1IYY_tgx_IHuhSq3AJ5eI5OnqOPBNLWSHKh2a30DoXe8/edit?usp=sharing"",""ยะลา!J378"")"),0)</f>
        <v>0</v>
      </c>
      <c r="K483" s="169">
        <f t="shared" ca="1" si="117"/>
        <v>0</v>
      </c>
      <c r="L483" s="189"/>
      <c r="M483" s="189"/>
      <c r="N483" s="189"/>
      <c r="O483" s="189"/>
      <c r="P483" s="189"/>
    </row>
    <row r="484" spans="1:16" ht="21.75" customHeight="1" x14ac:dyDescent="0.35">
      <c r="A484" s="408"/>
      <c r="B484" s="409"/>
      <c r="C484" s="409"/>
      <c r="D484" s="410"/>
      <c r="E484" s="203"/>
      <c r="F484" s="203"/>
      <c r="G484" s="427"/>
      <c r="H484" s="428" t="s">
        <v>36</v>
      </c>
      <c r="I484" s="210">
        <f ca="1">IFERROR(__xludf.DUMMYFUNCTION("IMPORTRANGE(""https://docs.google.com/spreadsheets/d/1IYY_tgx_IHuhSq3AJ5eI5OnqOPBNLWSHKh2a30DoXe8/edit?usp=sharing"",""ยะลา!I379"")"),0)</f>
        <v>0</v>
      </c>
      <c r="J484" s="196">
        <f ca="1">IFERROR(__xludf.DUMMYFUNCTION("IMPORTRANGE(""https://docs.google.com/spreadsheets/d/1IYY_tgx_IHuhSq3AJ5eI5OnqOPBNLWSHKh2a30DoXe8/edit?usp=sharing"",""ยะลา!J379"")"),0)</f>
        <v>0</v>
      </c>
      <c r="K484" s="169">
        <f t="shared" ca="1" si="117"/>
        <v>0</v>
      </c>
      <c r="L484" s="189"/>
      <c r="M484" s="189"/>
      <c r="N484" s="189"/>
      <c r="O484" s="189"/>
      <c r="P484" s="189"/>
    </row>
    <row r="485" spans="1:16" ht="21.75" customHeight="1" x14ac:dyDescent="0.35">
      <c r="A485" s="408"/>
      <c r="B485" s="409"/>
      <c r="C485" s="409"/>
      <c r="D485" s="410"/>
      <c r="E485" s="203"/>
      <c r="F485" s="202" t="s">
        <v>177</v>
      </c>
      <c r="G485" s="427"/>
      <c r="H485" s="428" t="s">
        <v>122</v>
      </c>
      <c r="I485" s="210">
        <f ca="1">IFERROR(__xludf.DUMMYFUNCTION("IMPORTRANGE(""https://docs.google.com/spreadsheets/d/1IYY_tgx_IHuhSq3AJ5eI5OnqOPBNLWSHKh2a30DoXe8/edit?usp=sharing"",""ยะลา!I380"")"),0)</f>
        <v>0</v>
      </c>
      <c r="J485" s="196">
        <f ca="1">IFERROR(__xludf.DUMMYFUNCTION("IMPORTRANGE(""https://docs.google.com/spreadsheets/d/1IYY_tgx_IHuhSq3AJ5eI5OnqOPBNLWSHKh2a30DoXe8/edit?usp=sharing"",""ยะลา!J380"")"),0)</f>
        <v>0</v>
      </c>
      <c r="K485" s="169">
        <f t="shared" ca="1" si="117"/>
        <v>0</v>
      </c>
      <c r="L485" s="189"/>
      <c r="M485" s="189"/>
      <c r="N485" s="189"/>
      <c r="O485" s="189"/>
      <c r="P485" s="189"/>
    </row>
    <row r="486" spans="1:16" ht="21.75" customHeight="1" x14ac:dyDescent="0.35">
      <c r="A486" s="408"/>
      <c r="B486" s="409"/>
      <c r="C486" s="409"/>
      <c r="D486" s="410"/>
      <c r="E486" s="203"/>
      <c r="F486" s="203"/>
      <c r="G486" s="427"/>
      <c r="H486" s="428" t="s">
        <v>36</v>
      </c>
      <c r="I486" s="210">
        <f ca="1">IFERROR(__xludf.DUMMYFUNCTION("IMPORTRANGE(""https://docs.google.com/spreadsheets/d/1IYY_tgx_IHuhSq3AJ5eI5OnqOPBNLWSHKh2a30DoXe8/edit?usp=sharing"",""ยะลา!I381"")"),0)</f>
        <v>0</v>
      </c>
      <c r="J486" s="196">
        <f ca="1">IFERROR(__xludf.DUMMYFUNCTION("IMPORTRANGE(""https://docs.google.com/spreadsheets/d/1IYY_tgx_IHuhSq3AJ5eI5OnqOPBNLWSHKh2a30DoXe8/edit?usp=sharing"",""ยะลา!J381"")"),0)</f>
        <v>0</v>
      </c>
      <c r="K486" s="169">
        <f t="shared" ca="1" si="117"/>
        <v>0</v>
      </c>
      <c r="L486" s="189"/>
      <c r="M486" s="189"/>
      <c r="N486" s="189"/>
      <c r="O486" s="189"/>
      <c r="P486" s="189"/>
    </row>
    <row r="487" spans="1:16" ht="21.75" customHeight="1" x14ac:dyDescent="0.35">
      <c r="A487" s="408"/>
      <c r="B487" s="409"/>
      <c r="C487" s="409"/>
      <c r="D487" s="410"/>
      <c r="E487" s="203"/>
      <c r="F487" s="202" t="s">
        <v>178</v>
      </c>
      <c r="G487" s="427"/>
      <c r="H487" s="428" t="s">
        <v>122</v>
      </c>
      <c r="I487" s="210">
        <f ca="1">IFERROR(__xludf.DUMMYFUNCTION("IMPORTRANGE(""https://docs.google.com/spreadsheets/d/1IYY_tgx_IHuhSq3AJ5eI5OnqOPBNLWSHKh2a30DoXe8/edit?usp=sharing"",""ยะลา!I382"")"),0)</f>
        <v>0</v>
      </c>
      <c r="J487" s="426">
        <f ca="1">IFERROR(__xludf.DUMMYFUNCTION("IMPORTRANGE(""https://docs.google.com/spreadsheets/d/1IYY_tgx_IHuhSq3AJ5eI5OnqOPBNLWSHKh2a30DoXe8/edit?usp=sharing"",""ยะลา!J382"")"),0)</f>
        <v>0</v>
      </c>
      <c r="K487" s="169">
        <f t="shared" ca="1" si="117"/>
        <v>0</v>
      </c>
      <c r="L487" s="189"/>
      <c r="M487" s="189"/>
      <c r="N487" s="189"/>
      <c r="O487" s="189"/>
      <c r="P487" s="189"/>
    </row>
    <row r="488" spans="1:16" ht="21.75" customHeight="1" x14ac:dyDescent="0.35">
      <c r="A488" s="408"/>
      <c r="B488" s="409"/>
      <c r="C488" s="409"/>
      <c r="D488" s="410"/>
      <c r="E488" s="203"/>
      <c r="F488" s="203"/>
      <c r="G488" s="203"/>
      <c r="H488" s="428" t="s">
        <v>36</v>
      </c>
      <c r="I488" s="210">
        <f ca="1">IFERROR(__xludf.DUMMYFUNCTION("IMPORTRANGE(""https://docs.google.com/spreadsheets/d/1IYY_tgx_IHuhSq3AJ5eI5OnqOPBNLWSHKh2a30DoXe8/edit?usp=sharing"",""ยะลา!I383"")"),0)</f>
        <v>0</v>
      </c>
      <c r="J488" s="426">
        <f ca="1">IFERROR(__xludf.DUMMYFUNCTION("IMPORTRANGE(""https://docs.google.com/spreadsheets/d/1IYY_tgx_IHuhSq3AJ5eI5OnqOPBNLWSHKh2a30DoXe8/edit?usp=sharing"",""ยะลา!J383"")"),0)</f>
        <v>0</v>
      </c>
      <c r="K488" s="169">
        <f t="shared" ca="1" si="117"/>
        <v>0</v>
      </c>
      <c r="L488" s="189"/>
      <c r="M488" s="189"/>
      <c r="N488" s="189"/>
      <c r="O488" s="189"/>
      <c r="P488" s="189"/>
    </row>
    <row r="489" spans="1:16" ht="21.75" customHeight="1" x14ac:dyDescent="0.35">
      <c r="A489" s="408"/>
      <c r="B489" s="409"/>
      <c r="C489" s="409"/>
      <c r="D489" s="410"/>
      <c r="E489" s="203"/>
      <c r="F489" s="203"/>
      <c r="G489" s="202" t="s">
        <v>179</v>
      </c>
      <c r="H489" s="428" t="s">
        <v>122</v>
      </c>
      <c r="I489" s="210">
        <f ca="1">IFERROR(__xludf.DUMMYFUNCTION("IMPORTRANGE(""https://docs.google.com/spreadsheets/d/1IYY_tgx_IHuhSq3AJ5eI5OnqOPBNLWSHKh2a30DoXe8/edit?usp=sharing"",""ยะลา!I384"")"),0)</f>
        <v>0</v>
      </c>
      <c r="J489" s="196">
        <f ca="1">IFERROR(__xludf.DUMMYFUNCTION("IMPORTRANGE(""https://docs.google.com/spreadsheets/d/1IYY_tgx_IHuhSq3AJ5eI5OnqOPBNLWSHKh2a30DoXe8/edit?usp=sharing"",""ยะลา!J384"")"),0)</f>
        <v>0</v>
      </c>
      <c r="K489" s="169">
        <f t="shared" ca="1" si="117"/>
        <v>0</v>
      </c>
      <c r="L489" s="189"/>
      <c r="M489" s="189"/>
      <c r="N489" s="189"/>
      <c r="O489" s="189"/>
      <c r="P489" s="189"/>
    </row>
    <row r="490" spans="1:16" ht="21.75" customHeight="1" x14ac:dyDescent="0.35">
      <c r="A490" s="408"/>
      <c r="B490" s="409"/>
      <c r="C490" s="409"/>
      <c r="D490" s="410"/>
      <c r="E490" s="203"/>
      <c r="F490" s="203"/>
      <c r="G490" s="203"/>
      <c r="H490" s="428" t="s">
        <v>36</v>
      </c>
      <c r="I490" s="210">
        <f ca="1">IFERROR(__xludf.DUMMYFUNCTION("IMPORTRANGE(""https://docs.google.com/spreadsheets/d/1IYY_tgx_IHuhSq3AJ5eI5OnqOPBNLWSHKh2a30DoXe8/edit?usp=sharing"",""ยะลา!I385"")"),0)</f>
        <v>0</v>
      </c>
      <c r="J490" s="196">
        <f ca="1">IFERROR(__xludf.DUMMYFUNCTION("IMPORTRANGE(""https://docs.google.com/spreadsheets/d/1IYY_tgx_IHuhSq3AJ5eI5OnqOPBNLWSHKh2a30DoXe8/edit?usp=sharing"",""ยะลา!J385"")"),0)</f>
        <v>0</v>
      </c>
      <c r="K490" s="169">
        <f t="shared" ca="1" si="117"/>
        <v>0</v>
      </c>
      <c r="L490" s="189"/>
      <c r="M490" s="189"/>
      <c r="N490" s="189"/>
      <c r="O490" s="189"/>
      <c r="P490" s="189"/>
    </row>
    <row r="491" spans="1:16" ht="21.75" customHeight="1" x14ac:dyDescent="0.35">
      <c r="A491" s="408"/>
      <c r="B491" s="409"/>
      <c r="C491" s="409"/>
      <c r="D491" s="410"/>
      <c r="E491" s="203"/>
      <c r="F491" s="203"/>
      <c r="G491" s="202" t="s">
        <v>180</v>
      </c>
      <c r="H491" s="428" t="s">
        <v>122</v>
      </c>
      <c r="I491" s="210">
        <f ca="1">IFERROR(__xludf.DUMMYFUNCTION("IMPORTRANGE(""https://docs.google.com/spreadsheets/d/1IYY_tgx_IHuhSq3AJ5eI5OnqOPBNLWSHKh2a30DoXe8/edit?usp=sharing"",""ยะลา!I386"")"),0)</f>
        <v>0</v>
      </c>
      <c r="J491" s="196">
        <f ca="1">IFERROR(__xludf.DUMMYFUNCTION("IMPORTRANGE(""https://docs.google.com/spreadsheets/d/1IYY_tgx_IHuhSq3AJ5eI5OnqOPBNLWSHKh2a30DoXe8/edit?usp=sharing"",""ยะลา!J386"")"),0)</f>
        <v>0</v>
      </c>
      <c r="K491" s="169">
        <f t="shared" ca="1" si="117"/>
        <v>0</v>
      </c>
      <c r="L491" s="189"/>
      <c r="M491" s="189"/>
      <c r="N491" s="189"/>
      <c r="O491" s="189"/>
      <c r="P491" s="189"/>
    </row>
    <row r="492" spans="1:16" ht="21.75" customHeight="1" x14ac:dyDescent="0.35">
      <c r="A492" s="408"/>
      <c r="B492" s="409"/>
      <c r="C492" s="409"/>
      <c r="D492" s="410"/>
      <c r="E492" s="203"/>
      <c r="F492" s="203"/>
      <c r="G492" s="204"/>
      <c r="H492" s="428" t="s">
        <v>36</v>
      </c>
      <c r="I492" s="210">
        <f ca="1">IFERROR(__xludf.DUMMYFUNCTION("IMPORTRANGE(""https://docs.google.com/spreadsheets/d/1IYY_tgx_IHuhSq3AJ5eI5OnqOPBNLWSHKh2a30DoXe8/edit?usp=sharing"",""ยะลา!I387"")"),0)</f>
        <v>0</v>
      </c>
      <c r="J492" s="196">
        <f ca="1">IFERROR(__xludf.DUMMYFUNCTION("IMPORTRANGE(""https://docs.google.com/spreadsheets/d/1IYY_tgx_IHuhSq3AJ5eI5OnqOPBNLWSHKh2a30DoXe8/edit?usp=sharing"",""ยะลา!J387"")"),0)</f>
        <v>0</v>
      </c>
      <c r="K492" s="169">
        <f t="shared" ca="1" si="117"/>
        <v>0</v>
      </c>
      <c r="L492" s="189"/>
      <c r="M492" s="189"/>
      <c r="N492" s="189"/>
      <c r="O492" s="189"/>
      <c r="P492" s="189"/>
    </row>
    <row r="493" spans="1:16" ht="21.75" customHeight="1" x14ac:dyDescent="0.35">
      <c r="A493" s="408"/>
      <c r="B493" s="409"/>
      <c r="C493" s="409"/>
      <c r="D493" s="410"/>
      <c r="E493" s="203"/>
      <c r="F493" s="202" t="s">
        <v>181</v>
      </c>
      <c r="G493" s="427"/>
      <c r="H493" s="428" t="s">
        <v>122</v>
      </c>
      <c r="I493" s="210">
        <f ca="1">IFERROR(__xludf.DUMMYFUNCTION("IMPORTRANGE(""https://docs.google.com/spreadsheets/d/1IYY_tgx_IHuhSq3AJ5eI5OnqOPBNLWSHKh2a30DoXe8/edit?usp=sharing"",""ยะลา!I388"")"),0)</f>
        <v>0</v>
      </c>
      <c r="J493" s="196">
        <f ca="1">IFERROR(__xludf.DUMMYFUNCTION("IMPORTRANGE(""https://docs.google.com/spreadsheets/d/1IYY_tgx_IHuhSq3AJ5eI5OnqOPBNLWSHKh2a30DoXe8/edit?usp=sharing"",""ยะลา!J388"")"),0)</f>
        <v>0</v>
      </c>
      <c r="K493" s="169">
        <f t="shared" ca="1" si="117"/>
        <v>0</v>
      </c>
      <c r="L493" s="189"/>
      <c r="M493" s="189"/>
      <c r="N493" s="189"/>
      <c r="O493" s="189"/>
      <c r="P493" s="189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IFERROR(__xludf.DUMMYFUNCTION("IMPORTRANGE(""https://docs.google.com/spreadsheets/d/1IYY_tgx_IHuhSq3AJ5eI5OnqOPBNLWSHKh2a30DoXe8/edit?usp=sharing"",""ยะลา!I389"")"),0)</f>
        <v>0</v>
      </c>
      <c r="J494" s="442">
        <f ca="1">IFERROR(__xludf.DUMMYFUNCTION("IMPORTRANGE(""https://docs.google.com/spreadsheets/d/1IYY_tgx_IHuhSq3AJ5eI5OnqOPBNLWSHKh2a30DoXe8/edit?usp=sharing"",""ยะลา!J389"")"),0)</f>
        <v>0</v>
      </c>
      <c r="K494" s="294">
        <f t="shared" ca="1" si="117"/>
        <v>0</v>
      </c>
      <c r="L494" s="252"/>
      <c r="M494" s="252"/>
      <c r="N494" s="252"/>
      <c r="O494" s="252"/>
      <c r="P494" s="252"/>
    </row>
    <row r="495" spans="1:16" ht="21.75" customHeight="1" x14ac:dyDescent="0.35">
      <c r="A495" s="408"/>
      <c r="B495" s="409"/>
      <c r="C495" s="409"/>
      <c r="D495" s="410"/>
      <c r="E495" s="203"/>
      <c r="F495" s="203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IFERROR(__xludf.DUMMYFUNCTION("IMPORTRANGE(""https://docs.google.com/spreadsheets/d/1IYY_tgx_IHuhSq3AJ5eI5OnqOPBNLWSHKh2a30DoXe8/edit?usp=sharing"",""ยะลา!I390"")"),0)</f>
        <v>0</v>
      </c>
      <c r="J495" s="442">
        <f ca="1">IFERROR(__xludf.DUMMYFUNCTION("IMPORTRANGE(""https://docs.google.com/spreadsheets/d/1IYY_tgx_IHuhSq3AJ5eI5OnqOPBNLWSHKh2a30DoXe8/edit?usp=sharing"",""ยะลา!J390"")"),0)</f>
        <v>0</v>
      </c>
      <c r="K495" s="169">
        <f t="shared" ca="1" si="117"/>
        <v>0</v>
      </c>
      <c r="L495" s="189"/>
      <c r="M495" s="189"/>
      <c r="N495" s="189"/>
      <c r="O495" s="189"/>
      <c r="P495" s="189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IFERROR(__xludf.DUMMYFUNCTION("IMPORTRANGE(""https://docs.google.com/spreadsheets/d/1IYY_tgx_IHuhSq3AJ5eI5OnqOPBNLWSHKh2a30DoXe8/edit?usp=sharing"",""ยะลา!I391"")"),0)</f>
        <v>0</v>
      </c>
      <c r="J496" s="442">
        <f ca="1">IFERROR(__xludf.DUMMYFUNCTION("IMPORTRANGE(""https://docs.google.com/spreadsheets/d/1IYY_tgx_IHuhSq3AJ5eI5OnqOPBNLWSHKh2a30DoXe8/edit?usp=sharing"",""ยะลา!J391"")"),0)</f>
        <v>0</v>
      </c>
      <c r="K496" s="294">
        <f t="shared" ca="1" si="117"/>
        <v>0</v>
      </c>
      <c r="L496" s="252"/>
      <c r="M496" s="252"/>
      <c r="N496" s="252"/>
      <c r="O496" s="252"/>
      <c r="P496" s="252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IFERROR(__xludf.DUMMYFUNCTION("IMPORTRANGE(""https://docs.google.com/spreadsheets/d/1IYY_tgx_IHuhSq3AJ5eI5OnqOPBNLWSHKh2a30DoXe8/edit?usp=sharing"",""ยะลา!I392"")"),0)</f>
        <v>0</v>
      </c>
      <c r="J497" s="449">
        <f ca="1">IFERROR(__xludf.DUMMYFUNCTION("IMPORTRANGE(""https://docs.google.com/spreadsheets/d/1IYY_tgx_IHuhSq3AJ5eI5OnqOPBNLWSHKh2a30DoXe8/edit?usp=sharing"",""ยะลา!J392"")"),0)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3"/>
      <c r="B498" s="184"/>
      <c r="C498" s="184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IFERROR(__xludf.DUMMYFUNCTION("IMPORTRANGE(""https://docs.google.com/spreadsheets/d/1IYY_tgx_IHuhSq3AJ5eI5OnqOPBNLWSHKh2a30DoXe8/edit?usp=sharing"",""ยะลา!I393"")"),0)</f>
        <v>0</v>
      </c>
      <c r="J498" s="426">
        <f ca="1">IFERROR(__xludf.DUMMYFUNCTION("IMPORTRANGE(""https://docs.google.com/spreadsheets/d/1IYY_tgx_IHuhSq3AJ5eI5OnqOPBNLWSHKh2a30DoXe8/edit?usp=sharing"",""ยะลา!J393"")"),0)</f>
        <v>0</v>
      </c>
      <c r="K498" s="169">
        <f t="shared" ca="1" si="117"/>
        <v>0</v>
      </c>
      <c r="L498" s="189"/>
      <c r="M498" s="189"/>
      <c r="N498" s="189"/>
      <c r="O498" s="189"/>
      <c r="P498" s="189"/>
    </row>
    <row r="499" spans="1:16" ht="21.75" customHeight="1" x14ac:dyDescent="0.35">
      <c r="A499" s="183"/>
      <c r="B499" s="184"/>
      <c r="C499" s="184"/>
      <c r="D499" s="201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IFERROR(__xludf.DUMMYFUNCTION("IMPORTRANGE(""https://docs.google.com/spreadsheets/d/1IYY_tgx_IHuhSq3AJ5eI5OnqOPBNLWSHKh2a30DoXe8/edit?usp=sharing"",""ยะลา!I394"")"),0)</f>
        <v>0</v>
      </c>
      <c r="J499" s="426">
        <f ca="1">IFERROR(__xludf.DUMMYFUNCTION("IMPORTRANGE(""https://docs.google.com/spreadsheets/d/1IYY_tgx_IHuhSq3AJ5eI5OnqOPBNLWSHKh2a30DoXe8/edit?usp=sharing"",""ยะลา!J394"")"),0)</f>
        <v>0</v>
      </c>
      <c r="K499" s="209">
        <f t="shared" ca="1" si="117"/>
        <v>0</v>
      </c>
      <c r="L499" s="189"/>
      <c r="M499" s="189"/>
      <c r="N499" s="189"/>
      <c r="O499" s="189"/>
      <c r="P499" s="189"/>
    </row>
    <row r="500" spans="1:16" ht="21.75" customHeight="1" x14ac:dyDescent="0.35">
      <c r="A500" s="183"/>
      <c r="B500" s="184"/>
      <c r="C500" s="184"/>
      <c r="D500" s="410"/>
      <c r="E500" s="410" t="s">
        <v>185</v>
      </c>
      <c r="F500" s="203"/>
      <c r="G500" s="204"/>
      <c r="H500" s="428" t="s">
        <v>122</v>
      </c>
      <c r="I500" s="210">
        <f ca="1">IFERROR(__xludf.DUMMYFUNCTION("IMPORTRANGE(""https://docs.google.com/spreadsheets/d/1IYY_tgx_IHuhSq3AJ5eI5OnqOPBNLWSHKh2a30DoXe8/edit?usp=sharing"",""ยะลา!I395"")"),0)</f>
        <v>0</v>
      </c>
      <c r="J500" s="168">
        <f ca="1">IFERROR(__xludf.DUMMYFUNCTION("IMPORTRANGE(""https://docs.google.com/spreadsheets/d/1IYY_tgx_IHuhSq3AJ5eI5OnqOPBNLWSHKh2a30DoXe8/edit?usp=sharing"",""ยะลา!J395"")"),0)</f>
        <v>0</v>
      </c>
      <c r="K500" s="169">
        <f t="shared" ca="1" si="117"/>
        <v>0</v>
      </c>
      <c r="L500" s="189"/>
      <c r="M500" s="189"/>
      <c r="N500" s="189"/>
      <c r="O500" s="189"/>
      <c r="P500" s="189"/>
    </row>
    <row r="501" spans="1:16" ht="21.75" customHeight="1" x14ac:dyDescent="0.35">
      <c r="A501" s="183"/>
      <c r="B501" s="184"/>
      <c r="C501" s="184"/>
      <c r="D501" s="201"/>
      <c r="E501" s="203"/>
      <c r="F501" s="203"/>
      <c r="G501" s="204"/>
      <c r="H501" s="428" t="s">
        <v>36</v>
      </c>
      <c r="I501" s="210">
        <f ca="1">IFERROR(__xludf.DUMMYFUNCTION("IMPORTRANGE(""https://docs.google.com/spreadsheets/d/1IYY_tgx_IHuhSq3AJ5eI5OnqOPBNLWSHKh2a30DoXe8/edit?usp=sharing"",""ยะลา!I396"")"),0)</f>
        <v>0</v>
      </c>
      <c r="J501" s="168">
        <f ca="1">IFERROR(__xludf.DUMMYFUNCTION("IMPORTRANGE(""https://docs.google.com/spreadsheets/d/1IYY_tgx_IHuhSq3AJ5eI5OnqOPBNLWSHKh2a30DoXe8/edit?usp=sharing"",""ยะลา!J396"")"),0)</f>
        <v>0</v>
      </c>
      <c r="K501" s="169">
        <f t="shared" ca="1" si="117"/>
        <v>0</v>
      </c>
      <c r="L501" s="189"/>
      <c r="M501" s="189"/>
      <c r="N501" s="189"/>
      <c r="O501" s="189"/>
      <c r="P501" s="189"/>
    </row>
    <row r="502" spans="1:16" ht="21.75" customHeight="1" x14ac:dyDescent="0.35">
      <c r="A502" s="183"/>
      <c r="B502" s="184"/>
      <c r="C502" s="184"/>
      <c r="D502" s="201"/>
      <c r="E502" s="203"/>
      <c r="F502" s="405" t="s">
        <v>186</v>
      </c>
      <c r="G502" s="427"/>
      <c r="H502" s="428" t="s">
        <v>122</v>
      </c>
      <c r="I502" s="210">
        <f ca="1">IFERROR(__xludf.DUMMYFUNCTION("IMPORTRANGE(""https://docs.google.com/spreadsheets/d/1IYY_tgx_IHuhSq3AJ5eI5OnqOPBNLWSHKh2a30DoXe8/edit?usp=sharing"",""ยะลา!I397"")"),0)</f>
        <v>0</v>
      </c>
      <c r="J502" s="196">
        <f ca="1">IFERROR(__xludf.DUMMYFUNCTION("IMPORTRANGE(""https://docs.google.com/spreadsheets/d/1IYY_tgx_IHuhSq3AJ5eI5OnqOPBNLWSHKh2a30DoXe8/edit?usp=sharing"",""ยะลา!J397"")"),0)</f>
        <v>0</v>
      </c>
      <c r="K502" s="169">
        <f t="shared" ca="1" si="117"/>
        <v>0</v>
      </c>
      <c r="L502" s="189"/>
      <c r="M502" s="189"/>
      <c r="N502" s="189"/>
      <c r="O502" s="189"/>
      <c r="P502" s="189"/>
    </row>
    <row r="503" spans="1:16" ht="21.75" customHeight="1" x14ac:dyDescent="0.35">
      <c r="A503" s="183"/>
      <c r="B503" s="184"/>
      <c r="C503" s="184"/>
      <c r="D503" s="201"/>
      <c r="E503" s="203"/>
      <c r="F503" s="203"/>
      <c r="G503" s="427"/>
      <c r="H503" s="428" t="s">
        <v>36</v>
      </c>
      <c r="I503" s="195">
        <f ca="1">IFERROR(__xludf.DUMMYFUNCTION("IMPORTRANGE(""https://docs.google.com/spreadsheets/d/1IYY_tgx_IHuhSq3AJ5eI5OnqOPBNLWSHKh2a30DoXe8/edit?usp=sharing"",""ยะลา!I398"")"),0)</f>
        <v>0</v>
      </c>
      <c r="J503" s="205">
        <f ca="1">IFERROR(__xludf.DUMMYFUNCTION("IMPORTRANGE(""https://docs.google.com/spreadsheets/d/1IYY_tgx_IHuhSq3AJ5eI5OnqOPBNLWSHKh2a30DoXe8/edit?usp=sharing"",""ยะลา!J398"")"),0)</f>
        <v>0</v>
      </c>
      <c r="K503" s="169">
        <f t="shared" ca="1" si="117"/>
        <v>0</v>
      </c>
      <c r="L503" s="189"/>
      <c r="M503" s="189"/>
      <c r="N503" s="189"/>
      <c r="O503" s="189"/>
      <c r="P503" s="189"/>
    </row>
    <row r="504" spans="1:16" ht="21.75" customHeight="1" x14ac:dyDescent="0.35">
      <c r="A504" s="183"/>
      <c r="B504" s="184"/>
      <c r="C504" s="184"/>
      <c r="D504" s="201"/>
      <c r="E504" s="203"/>
      <c r="F504" s="396" t="s">
        <v>187</v>
      </c>
      <c r="G504" s="427"/>
      <c r="H504" s="428" t="s">
        <v>122</v>
      </c>
      <c r="I504" s="211">
        <f ca="1">IFERROR(__xludf.DUMMYFUNCTION("IMPORTRANGE(""https://docs.google.com/spreadsheets/d/1IYY_tgx_IHuhSq3AJ5eI5OnqOPBNLWSHKh2a30DoXe8/edit?usp=sharing"",""ยะลา!I399"")"),0)</f>
        <v>0</v>
      </c>
      <c r="J504" s="196">
        <f ca="1">IFERROR(__xludf.DUMMYFUNCTION("IMPORTRANGE(""https://docs.google.com/spreadsheets/d/1IYY_tgx_IHuhSq3AJ5eI5OnqOPBNLWSHKh2a30DoXe8/edit?usp=sharing"",""ยะลา!J399"")"),0)</f>
        <v>0</v>
      </c>
      <c r="K504" s="169">
        <f t="shared" ca="1" si="117"/>
        <v>0</v>
      </c>
      <c r="L504" s="189"/>
      <c r="M504" s="189"/>
      <c r="N504" s="189"/>
      <c r="O504" s="189"/>
      <c r="P504" s="189"/>
    </row>
    <row r="505" spans="1:16" ht="21.75" customHeight="1" x14ac:dyDescent="0.35">
      <c r="A505" s="183"/>
      <c r="B505" s="184"/>
      <c r="C505" s="184"/>
      <c r="D505" s="201"/>
      <c r="E505" s="203"/>
      <c r="F505" s="203"/>
      <c r="G505" s="427"/>
      <c r="H505" s="428" t="s">
        <v>36</v>
      </c>
      <c r="I505" s="195">
        <f ca="1">IFERROR(__xludf.DUMMYFUNCTION("IMPORTRANGE(""https://docs.google.com/spreadsheets/d/1IYY_tgx_IHuhSq3AJ5eI5OnqOPBNLWSHKh2a30DoXe8/edit?usp=sharing"",""ยะลา!I400"")"),0)</f>
        <v>0</v>
      </c>
      <c r="J505" s="205">
        <f ca="1">IFERROR(__xludf.DUMMYFUNCTION("IMPORTRANGE(""https://docs.google.com/spreadsheets/d/1IYY_tgx_IHuhSq3AJ5eI5OnqOPBNLWSHKh2a30DoXe8/edit?usp=sharing"",""ยะลา!J400"")"),0)</f>
        <v>0</v>
      </c>
      <c r="K505" s="169">
        <f t="shared" ca="1" si="117"/>
        <v>0</v>
      </c>
      <c r="L505" s="189"/>
      <c r="M505" s="189"/>
      <c r="N505" s="189"/>
      <c r="O505" s="189"/>
      <c r="P505" s="189"/>
    </row>
    <row r="506" spans="1:16" ht="21.75" customHeight="1" x14ac:dyDescent="0.35">
      <c r="A506" s="183"/>
      <c r="B506" s="184"/>
      <c r="C506" s="184"/>
      <c r="D506" s="201"/>
      <c r="E506" s="203"/>
      <c r="F506" s="405" t="s">
        <v>188</v>
      </c>
      <c r="G506" s="427"/>
      <c r="H506" s="428" t="s">
        <v>122</v>
      </c>
      <c r="I506" s="211">
        <f ca="1">IFERROR(__xludf.DUMMYFUNCTION("IMPORTRANGE(""https://docs.google.com/spreadsheets/d/1IYY_tgx_IHuhSq3AJ5eI5OnqOPBNLWSHKh2a30DoXe8/edit?usp=sharing"",""ยะลา!I401"")"),0)</f>
        <v>0</v>
      </c>
      <c r="J506" s="196">
        <f ca="1">IFERROR(__xludf.DUMMYFUNCTION("IMPORTRANGE(""https://docs.google.com/spreadsheets/d/1IYY_tgx_IHuhSq3AJ5eI5OnqOPBNLWSHKh2a30DoXe8/edit?usp=sharing"",""ยะลา!J401"")"),0)</f>
        <v>0</v>
      </c>
      <c r="K506" s="169">
        <f t="shared" ca="1" si="117"/>
        <v>0</v>
      </c>
      <c r="L506" s="189"/>
      <c r="M506" s="189"/>
      <c r="N506" s="189"/>
      <c r="O506" s="189"/>
      <c r="P506" s="189"/>
    </row>
    <row r="507" spans="1:16" ht="21.75" customHeight="1" x14ac:dyDescent="0.35">
      <c r="A507" s="183"/>
      <c r="B507" s="184"/>
      <c r="C507" s="184"/>
      <c r="D507" s="201"/>
      <c r="E507" s="203"/>
      <c r="F507" s="203"/>
      <c r="G507" s="203"/>
      <c r="H507" s="428" t="s">
        <v>36</v>
      </c>
      <c r="I507" s="195">
        <f ca="1">IFERROR(__xludf.DUMMYFUNCTION("IMPORTRANGE(""https://docs.google.com/spreadsheets/d/1IYY_tgx_IHuhSq3AJ5eI5OnqOPBNLWSHKh2a30DoXe8/edit?usp=sharing"",""ยะลา!I402"")"),0)</f>
        <v>0</v>
      </c>
      <c r="J507" s="205">
        <f ca="1">IFERROR(__xludf.DUMMYFUNCTION("IMPORTRANGE(""https://docs.google.com/spreadsheets/d/1IYY_tgx_IHuhSq3AJ5eI5OnqOPBNLWSHKh2a30DoXe8/edit?usp=sharing"",""ยะลา!J402"")"),0)</f>
        <v>0</v>
      </c>
      <c r="K507" s="169">
        <f t="shared" ca="1" si="117"/>
        <v>0</v>
      </c>
      <c r="L507" s="189"/>
      <c r="M507" s="189"/>
      <c r="N507" s="189"/>
      <c r="O507" s="189"/>
      <c r="P507" s="189"/>
    </row>
    <row r="508" spans="1:16" ht="21.75" customHeight="1" x14ac:dyDescent="0.35">
      <c r="A508" s="183"/>
      <c r="B508" s="184"/>
      <c r="C508" s="184"/>
      <c r="D508" s="201"/>
      <c r="E508" s="202" t="s">
        <v>189</v>
      </c>
      <c r="F508" s="203"/>
      <c r="G508" s="427"/>
      <c r="H508" s="428" t="s">
        <v>122</v>
      </c>
      <c r="I508" s="195">
        <f ca="1">IFERROR(__xludf.DUMMYFUNCTION("IMPORTRANGE(""https://docs.google.com/spreadsheets/d/1IYY_tgx_IHuhSq3AJ5eI5OnqOPBNLWSHKh2a30DoXe8/edit?usp=sharing"",""ยะลา!I403"")"),0)</f>
        <v>0</v>
      </c>
      <c r="J508" s="168">
        <f ca="1">IFERROR(__xludf.DUMMYFUNCTION("IMPORTRANGE(""https://docs.google.com/spreadsheets/d/1IYY_tgx_IHuhSq3AJ5eI5OnqOPBNLWSHKh2a30DoXe8/edit?usp=sharing"",""ยะลา!J403"")"),0)</f>
        <v>0</v>
      </c>
      <c r="K508" s="169">
        <f t="shared" ca="1" si="117"/>
        <v>0</v>
      </c>
      <c r="L508" s="189"/>
      <c r="M508" s="189"/>
      <c r="N508" s="189"/>
      <c r="O508" s="189"/>
      <c r="P508" s="189"/>
    </row>
    <row r="509" spans="1:16" ht="21.75" customHeight="1" x14ac:dyDescent="0.35">
      <c r="A509" s="183"/>
      <c r="B509" s="184"/>
      <c r="C509" s="184"/>
      <c r="D509" s="201"/>
      <c r="E509" s="203"/>
      <c r="F509" s="203"/>
      <c r="G509" s="203"/>
      <c r="H509" s="428" t="s">
        <v>36</v>
      </c>
      <c r="I509" s="195">
        <f ca="1">IFERROR(__xludf.DUMMYFUNCTION("IMPORTRANGE(""https://docs.google.com/spreadsheets/d/1IYY_tgx_IHuhSq3AJ5eI5OnqOPBNLWSHKh2a30DoXe8/edit?usp=sharing"",""ยะลา!I404"")"),0)</f>
        <v>0</v>
      </c>
      <c r="J509" s="168">
        <f ca="1">IFERROR(__xludf.DUMMYFUNCTION("IMPORTRANGE(""https://docs.google.com/spreadsheets/d/1IYY_tgx_IHuhSq3AJ5eI5OnqOPBNLWSHKh2a30DoXe8/edit?usp=sharing"",""ยะลา!J404"")"),0)</f>
        <v>0</v>
      </c>
      <c r="K509" s="169">
        <f t="shared" ca="1" si="117"/>
        <v>0</v>
      </c>
      <c r="L509" s="189"/>
      <c r="M509" s="189"/>
      <c r="N509" s="189"/>
      <c r="O509" s="189"/>
      <c r="P509" s="189"/>
    </row>
    <row r="510" spans="1:16" ht="21.75" customHeight="1" x14ac:dyDescent="0.35">
      <c r="A510" s="183"/>
      <c r="B510" s="184"/>
      <c r="C510" s="184"/>
      <c r="D510" s="201"/>
      <c r="E510" s="203"/>
      <c r="F510" s="202" t="s">
        <v>190</v>
      </c>
      <c r="G510" s="203"/>
      <c r="H510" s="428" t="s">
        <v>122</v>
      </c>
      <c r="I510" s="195">
        <f ca="1">IFERROR(__xludf.DUMMYFUNCTION("IMPORTRANGE(""https://docs.google.com/spreadsheets/d/1IYY_tgx_IHuhSq3AJ5eI5OnqOPBNLWSHKh2a30DoXe8/edit?usp=sharing"",""ยะลา!I405"")"),0)</f>
        <v>0</v>
      </c>
      <c r="J510" s="205">
        <f ca="1">IFERROR(__xludf.DUMMYFUNCTION("IMPORTRANGE(""https://docs.google.com/spreadsheets/d/1IYY_tgx_IHuhSq3AJ5eI5OnqOPBNLWSHKh2a30DoXe8/edit?usp=sharing"",""ยะลา!J405"")"),0)</f>
        <v>0</v>
      </c>
      <c r="K510" s="169">
        <f t="shared" ca="1" si="117"/>
        <v>0</v>
      </c>
      <c r="L510" s="189"/>
      <c r="M510" s="189"/>
      <c r="N510" s="189"/>
      <c r="O510" s="189"/>
      <c r="P510" s="189"/>
    </row>
    <row r="511" spans="1:16" ht="21.75" customHeight="1" x14ac:dyDescent="0.35">
      <c r="A511" s="183"/>
      <c r="B511" s="184"/>
      <c r="C511" s="184"/>
      <c r="D511" s="201"/>
      <c r="E511" s="203"/>
      <c r="F511" s="203"/>
      <c r="G511" s="203"/>
      <c r="H511" s="428" t="s">
        <v>36</v>
      </c>
      <c r="I511" s="195">
        <f ca="1">IFERROR(__xludf.DUMMYFUNCTION("IMPORTRANGE(""https://docs.google.com/spreadsheets/d/1IYY_tgx_IHuhSq3AJ5eI5OnqOPBNLWSHKh2a30DoXe8/edit?usp=sharing"",""ยะลา!I406"")"),0)</f>
        <v>0</v>
      </c>
      <c r="J511" s="205">
        <f ca="1">IFERROR(__xludf.DUMMYFUNCTION("IMPORTRANGE(""https://docs.google.com/spreadsheets/d/1IYY_tgx_IHuhSq3AJ5eI5OnqOPBNLWSHKh2a30DoXe8/edit?usp=sharing"",""ยะลา!J406"")"),0)</f>
        <v>0</v>
      </c>
      <c r="K511" s="169">
        <f t="shared" ca="1" si="117"/>
        <v>0</v>
      </c>
      <c r="L511" s="189"/>
      <c r="M511" s="189"/>
      <c r="N511" s="189"/>
      <c r="O511" s="189"/>
      <c r="P511" s="189"/>
    </row>
    <row r="512" spans="1:16" ht="21.75" customHeight="1" x14ac:dyDescent="0.35">
      <c r="A512" s="183"/>
      <c r="B512" s="184"/>
      <c r="C512" s="184"/>
      <c r="D512" s="201"/>
      <c r="E512" s="203"/>
      <c r="F512" s="202" t="s">
        <v>191</v>
      </c>
      <c r="G512" s="203"/>
      <c r="H512" s="428" t="s">
        <v>122</v>
      </c>
      <c r="I512" s="195">
        <f ca="1">IFERROR(__xludf.DUMMYFUNCTION("IMPORTRANGE(""https://docs.google.com/spreadsheets/d/1IYY_tgx_IHuhSq3AJ5eI5OnqOPBNLWSHKh2a30DoXe8/edit?usp=sharing"",""ยะลา!I407"")"),0)</f>
        <v>0</v>
      </c>
      <c r="J512" s="205">
        <f ca="1">IFERROR(__xludf.DUMMYFUNCTION("IMPORTRANGE(""https://docs.google.com/spreadsheets/d/1IYY_tgx_IHuhSq3AJ5eI5OnqOPBNLWSHKh2a30DoXe8/edit?usp=sharing"",""ยะลา!J407"")"),0)</f>
        <v>0</v>
      </c>
      <c r="K512" s="169">
        <f t="shared" ca="1" si="117"/>
        <v>0</v>
      </c>
      <c r="L512" s="189"/>
      <c r="M512" s="189"/>
      <c r="N512" s="189"/>
      <c r="O512" s="189"/>
      <c r="P512" s="189"/>
    </row>
    <row r="513" spans="1:16" ht="21.75" customHeight="1" x14ac:dyDescent="0.35">
      <c r="A513" s="183"/>
      <c r="B513" s="184"/>
      <c r="C513" s="184"/>
      <c r="D513" s="201"/>
      <c r="E513" s="203"/>
      <c r="F513" s="203"/>
      <c r="G513" s="204"/>
      <c r="H513" s="428" t="s">
        <v>36</v>
      </c>
      <c r="I513" s="195">
        <f ca="1">IFERROR(__xludf.DUMMYFUNCTION("IMPORTRANGE(""https://docs.google.com/spreadsheets/d/1IYY_tgx_IHuhSq3AJ5eI5OnqOPBNLWSHKh2a30DoXe8/edit?usp=sharing"",""ยะลา!I408"")"),0)</f>
        <v>0</v>
      </c>
      <c r="J513" s="205">
        <f ca="1">IFERROR(__xludf.DUMMYFUNCTION("IMPORTRANGE(""https://docs.google.com/spreadsheets/d/1IYY_tgx_IHuhSq3AJ5eI5OnqOPBNLWSHKh2a30DoXe8/edit?usp=sharing"",""ยะลา!J408"")"),0)</f>
        <v>0</v>
      </c>
      <c r="K513" s="169">
        <f t="shared" ca="1" si="117"/>
        <v>0</v>
      </c>
      <c r="L513" s="189"/>
      <c r="M513" s="189"/>
      <c r="N513" s="189"/>
      <c r="O513" s="189"/>
      <c r="P513" s="189"/>
    </row>
    <row r="514" spans="1:16" ht="21.75" customHeight="1" x14ac:dyDescent="0.35">
      <c r="A514" s="183"/>
      <c r="B514" s="184"/>
      <c r="C514" s="184"/>
      <c r="D514" s="410"/>
      <c r="E514" s="456" t="s">
        <v>192</v>
      </c>
      <c r="F514" s="203"/>
      <c r="G514" s="204"/>
      <c r="H514" s="428" t="s">
        <v>122</v>
      </c>
      <c r="I514" s="195">
        <f ca="1">IFERROR(__xludf.DUMMYFUNCTION("IMPORTRANGE(""https://docs.google.com/spreadsheets/d/1IYY_tgx_IHuhSq3AJ5eI5OnqOPBNLWSHKh2a30DoXe8/edit?usp=sharing"",""ยะลา!I409"")"),0)</f>
        <v>0</v>
      </c>
      <c r="J514" s="205">
        <f ca="1">IFERROR(__xludf.DUMMYFUNCTION("IMPORTRANGE(""https://docs.google.com/spreadsheets/d/1IYY_tgx_IHuhSq3AJ5eI5OnqOPBNLWSHKh2a30DoXe8/edit?usp=sharing"",""ยะลา!J409"")"),0)</f>
        <v>0</v>
      </c>
      <c r="K514" s="169">
        <f t="shared" ca="1" si="117"/>
        <v>0</v>
      </c>
      <c r="L514" s="189"/>
      <c r="M514" s="189"/>
      <c r="N514" s="189"/>
      <c r="O514" s="189"/>
      <c r="P514" s="189"/>
    </row>
    <row r="515" spans="1:16" ht="21.75" customHeight="1" x14ac:dyDescent="0.35">
      <c r="A515" s="183"/>
      <c r="B515" s="184"/>
      <c r="C515" s="184"/>
      <c r="D515" s="201"/>
      <c r="E515" s="203"/>
      <c r="F515" s="203"/>
      <c r="G515" s="204"/>
      <c r="H515" s="428" t="s">
        <v>36</v>
      </c>
      <c r="I515" s="195">
        <f ca="1">IFERROR(__xludf.DUMMYFUNCTION("IMPORTRANGE(""https://docs.google.com/spreadsheets/d/1IYY_tgx_IHuhSq3AJ5eI5OnqOPBNLWSHKh2a30DoXe8/edit?usp=sharing"",""ยะลา!I410"")"),0)</f>
        <v>0</v>
      </c>
      <c r="J515" s="205">
        <f ca="1">IFERROR(__xludf.DUMMYFUNCTION("IMPORTRANGE(""https://docs.google.com/spreadsheets/d/1IYY_tgx_IHuhSq3AJ5eI5OnqOPBNLWSHKh2a30DoXe8/edit?usp=sharing"",""ยะลา!J410"")"),0)</f>
        <v>0</v>
      </c>
      <c r="K515" s="169">
        <f t="shared" ca="1" si="117"/>
        <v>0</v>
      </c>
      <c r="L515" s="189"/>
      <c r="M515" s="189"/>
      <c r="N515" s="189"/>
      <c r="O515" s="189"/>
      <c r="P515" s="189"/>
    </row>
    <row r="516" spans="1:16" ht="21.75" customHeight="1" x14ac:dyDescent="0.35">
      <c r="A516" s="183"/>
      <c r="B516" s="184"/>
      <c r="C516" s="421" t="s">
        <v>193</v>
      </c>
      <c r="D516" s="421"/>
      <c r="E516" s="457"/>
      <c r="F516" s="457"/>
      <c r="G516" s="458"/>
      <c r="H516" s="459" t="s">
        <v>122</v>
      </c>
      <c r="I516" s="274">
        <f ca="1">IFERROR(__xludf.DUMMYFUNCTION("IMPORTRANGE(""https://docs.google.com/spreadsheets/d/1IYY_tgx_IHuhSq3AJ5eI5OnqOPBNLWSHKh2a30DoXe8/edit?usp=sharing"",""ยะลา!I411"")"),0)</f>
        <v>0</v>
      </c>
      <c r="J516" s="274">
        <f ca="1">IFERROR(__xludf.DUMMYFUNCTION("IMPORTRANGE(""https://docs.google.com/spreadsheets/d/1IYY_tgx_IHuhSq3AJ5eI5OnqOPBNLWSHKh2a30DoXe8/edit?usp=sharing"",""ยะลา!J411"")"),0)</f>
        <v>0</v>
      </c>
      <c r="K516" s="275">
        <v>0</v>
      </c>
      <c r="L516" s="189"/>
      <c r="M516" s="189"/>
      <c r="N516" s="189"/>
      <c r="O516" s="189"/>
      <c r="P516" s="189"/>
    </row>
    <row r="517" spans="1:16" ht="21.75" customHeight="1" x14ac:dyDescent="0.35">
      <c r="A517" s="183"/>
      <c r="B517" s="184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IFERROR(__xludf.DUMMYFUNCTION("IMPORTRANGE(""https://docs.google.com/spreadsheets/d/1IYY_tgx_IHuhSq3AJ5eI5OnqOPBNLWSHKh2a30DoXe8/edit?usp=sharing"",""ยะลา!I412"")"),0)</f>
        <v>0</v>
      </c>
      <c r="J517" s="290">
        <f ca="1">IFERROR(__xludf.DUMMYFUNCTION("IMPORTRANGE(""https://docs.google.com/spreadsheets/d/1IYY_tgx_IHuhSq3AJ5eI5OnqOPBNLWSHKh2a30DoXe8/edit?usp=sharing"",""ยะลา!J412"")"),0)</f>
        <v>0</v>
      </c>
      <c r="K517" s="291">
        <v>0</v>
      </c>
      <c r="L517" s="189"/>
      <c r="M517" s="189"/>
      <c r="N517" s="189"/>
      <c r="O517" s="189"/>
      <c r="P517" s="189"/>
    </row>
    <row r="518" spans="1:16" ht="21.75" customHeight="1" x14ac:dyDescent="0.35">
      <c r="A518" s="183"/>
      <c r="B518" s="184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IFERROR(__xludf.DUMMYFUNCTION("IMPORTRANGE(""https://docs.google.com/spreadsheets/d/1IYY_tgx_IHuhSq3AJ5eI5OnqOPBNLWSHKh2a30DoXe8/edit?usp=sharing"",""ยะลา!I413"")"),0)</f>
        <v>0</v>
      </c>
      <c r="J518" s="290">
        <f ca="1">IFERROR(__xludf.DUMMYFUNCTION("IMPORTRANGE(""https://docs.google.com/spreadsheets/d/1IYY_tgx_IHuhSq3AJ5eI5OnqOPBNLWSHKh2a30DoXe8/edit?usp=sharing"",""ยะลา!J413"")"),0)</f>
        <v>0</v>
      </c>
      <c r="K518" s="291">
        <v>0</v>
      </c>
      <c r="L518" s="189"/>
      <c r="M518" s="189"/>
      <c r="N518" s="189"/>
      <c r="O518" s="189"/>
      <c r="P518" s="189"/>
    </row>
    <row r="519" spans="1:16" ht="21.75" customHeight="1" x14ac:dyDescent="0.35">
      <c r="A519" s="183"/>
      <c r="B519" s="184"/>
      <c r="C519" s="184"/>
      <c r="D519" s="201"/>
      <c r="E519" s="203"/>
      <c r="F519" s="203"/>
      <c r="G519" s="233" t="s">
        <v>196</v>
      </c>
      <c r="H519" s="428" t="s">
        <v>122</v>
      </c>
      <c r="I519" s="195">
        <f ca="1">IFERROR(__xludf.DUMMYFUNCTION("IMPORTRANGE(""https://docs.google.com/spreadsheets/d/1IYY_tgx_IHuhSq3AJ5eI5OnqOPBNLWSHKh2a30DoXe8/edit?usp=sharing"",""ยะลา!I414"")"),0)</f>
        <v>0</v>
      </c>
      <c r="J519" s="195">
        <f ca="1">IFERROR(__xludf.DUMMYFUNCTION("IMPORTRANGE(""https://docs.google.com/spreadsheets/d/1IYY_tgx_IHuhSq3AJ5eI5OnqOPBNLWSHKh2a30DoXe8/edit?usp=sharing"",""ยะลา!J414"")"),0)</f>
        <v>0</v>
      </c>
      <c r="K519" s="169">
        <v>0</v>
      </c>
      <c r="L519" s="189"/>
      <c r="M519" s="189"/>
      <c r="N519" s="189"/>
      <c r="O519" s="189"/>
      <c r="P519" s="189"/>
    </row>
    <row r="520" spans="1:16" ht="21.75" customHeight="1" x14ac:dyDescent="0.35">
      <c r="A520" s="183"/>
      <c r="B520" s="184"/>
      <c r="C520" s="184"/>
      <c r="D520" s="201"/>
      <c r="E520" s="203"/>
      <c r="F520" s="203"/>
      <c r="G520" s="204"/>
      <c r="H520" s="428" t="s">
        <v>36</v>
      </c>
      <c r="I520" s="195">
        <f ca="1">IFERROR(__xludf.DUMMYFUNCTION("IMPORTRANGE(""https://docs.google.com/spreadsheets/d/1IYY_tgx_IHuhSq3AJ5eI5OnqOPBNLWSHKh2a30DoXe8/edit?usp=sharing"",""ยะลา!I415"")"),0)</f>
        <v>0</v>
      </c>
      <c r="J520" s="195">
        <f ca="1">IFERROR(__xludf.DUMMYFUNCTION("IMPORTRANGE(""https://docs.google.com/spreadsheets/d/1IYY_tgx_IHuhSq3AJ5eI5OnqOPBNLWSHKh2a30DoXe8/edit?usp=sharing"",""ยะลา!J415"")"),0)</f>
        <v>0</v>
      </c>
      <c r="K520" s="169">
        <v>0</v>
      </c>
      <c r="L520" s="189"/>
      <c r="M520" s="189"/>
      <c r="N520" s="189"/>
      <c r="O520" s="189"/>
      <c r="P520" s="189"/>
    </row>
    <row r="521" spans="1:16" ht="21.75" customHeight="1" x14ac:dyDescent="0.35">
      <c r="A521" s="183"/>
      <c r="B521" s="184"/>
      <c r="C521" s="184"/>
      <c r="D521" s="201"/>
      <c r="E521" s="203"/>
      <c r="F521" s="203"/>
      <c r="G521" s="233" t="s">
        <v>197</v>
      </c>
      <c r="H521" s="428" t="s">
        <v>122</v>
      </c>
      <c r="I521" s="195">
        <f ca="1">IFERROR(__xludf.DUMMYFUNCTION("IMPORTRANGE(""https://docs.google.com/spreadsheets/d/1IYY_tgx_IHuhSq3AJ5eI5OnqOPBNLWSHKh2a30DoXe8/edit?usp=sharing"",""ยะลา!I416"")"),0)</f>
        <v>0</v>
      </c>
      <c r="J521" s="195">
        <f ca="1">IFERROR(__xludf.DUMMYFUNCTION("IMPORTRANGE(""https://docs.google.com/spreadsheets/d/1IYY_tgx_IHuhSq3AJ5eI5OnqOPBNLWSHKh2a30DoXe8/edit?usp=sharing"",""ยะลา!J416"")"),0)</f>
        <v>0</v>
      </c>
      <c r="K521" s="169">
        <v>0</v>
      </c>
      <c r="L521" s="189"/>
      <c r="M521" s="189"/>
      <c r="N521" s="189"/>
      <c r="O521" s="189"/>
      <c r="P521" s="189"/>
    </row>
    <row r="522" spans="1:16" ht="21.75" customHeight="1" x14ac:dyDescent="0.35">
      <c r="A522" s="183"/>
      <c r="B522" s="184"/>
      <c r="C522" s="184"/>
      <c r="D522" s="201"/>
      <c r="E522" s="203"/>
      <c r="F522" s="203"/>
      <c r="G522" s="204"/>
      <c r="H522" s="428" t="s">
        <v>36</v>
      </c>
      <c r="I522" s="195">
        <f ca="1">IFERROR(__xludf.DUMMYFUNCTION("IMPORTRANGE(""https://docs.google.com/spreadsheets/d/1IYY_tgx_IHuhSq3AJ5eI5OnqOPBNLWSHKh2a30DoXe8/edit?usp=sharing"",""ยะลา!I417"")"),0)</f>
        <v>0</v>
      </c>
      <c r="J522" s="195">
        <f ca="1">IFERROR(__xludf.DUMMYFUNCTION("IMPORTRANGE(""https://docs.google.com/spreadsheets/d/1IYY_tgx_IHuhSq3AJ5eI5OnqOPBNLWSHKh2a30DoXe8/edit?usp=sharing"",""ยะลา!J417"")"),0)</f>
        <v>0</v>
      </c>
      <c r="K522" s="169">
        <v>0</v>
      </c>
      <c r="L522" s="189"/>
      <c r="M522" s="189"/>
      <c r="N522" s="189"/>
      <c r="O522" s="189"/>
      <c r="P522" s="189"/>
    </row>
    <row r="523" spans="1:16" ht="21.75" customHeight="1" x14ac:dyDescent="0.35">
      <c r="A523" s="183"/>
      <c r="B523" s="184"/>
      <c r="C523" s="184"/>
      <c r="D523" s="201"/>
      <c r="E523" s="203"/>
      <c r="F523" s="203"/>
      <c r="G523" s="464" t="s">
        <v>198</v>
      </c>
      <c r="H523" s="428" t="s">
        <v>122</v>
      </c>
      <c r="I523" s="195">
        <f ca="1">IFERROR(__xludf.DUMMYFUNCTION("IMPORTRANGE(""https://docs.google.com/spreadsheets/d/1IYY_tgx_IHuhSq3AJ5eI5OnqOPBNLWSHKh2a30DoXe8/edit?usp=sharing"",""ยะลา!I418"")"),0)</f>
        <v>0</v>
      </c>
      <c r="J523" s="195">
        <f ca="1">IFERROR(__xludf.DUMMYFUNCTION("IMPORTRANGE(""https://docs.google.com/spreadsheets/d/1IYY_tgx_IHuhSq3AJ5eI5OnqOPBNLWSHKh2a30DoXe8/edit?usp=sharing"",""ยะลา!J418"")"),0)</f>
        <v>0</v>
      </c>
      <c r="K523" s="169">
        <v>0</v>
      </c>
      <c r="L523" s="189"/>
      <c r="M523" s="189"/>
      <c r="N523" s="189"/>
      <c r="O523" s="189"/>
      <c r="P523" s="189"/>
    </row>
    <row r="524" spans="1:16" ht="21.75" customHeight="1" x14ac:dyDescent="0.35">
      <c r="A524" s="183"/>
      <c r="B524" s="184"/>
      <c r="C524" s="184"/>
      <c r="D524" s="201"/>
      <c r="E524" s="203"/>
      <c r="F524" s="203"/>
      <c r="G524" s="204"/>
      <c r="H524" s="428" t="s">
        <v>36</v>
      </c>
      <c r="I524" s="195">
        <f ca="1">IFERROR(__xludf.DUMMYFUNCTION("IMPORTRANGE(""https://docs.google.com/spreadsheets/d/1IYY_tgx_IHuhSq3AJ5eI5OnqOPBNLWSHKh2a30DoXe8/edit?usp=sharing"",""ยะลา!I419"")"),0)</f>
        <v>0</v>
      </c>
      <c r="J524" s="195">
        <f ca="1">IFERROR(__xludf.DUMMYFUNCTION("IMPORTRANGE(""https://docs.google.com/spreadsheets/d/1IYY_tgx_IHuhSq3AJ5eI5OnqOPBNLWSHKh2a30DoXe8/edit?usp=sharing"",""ยะลา!J419"")"),0)</f>
        <v>0</v>
      </c>
      <c r="K524" s="169">
        <v>0</v>
      </c>
      <c r="L524" s="189"/>
      <c r="M524" s="189"/>
      <c r="N524" s="189"/>
      <c r="O524" s="189"/>
      <c r="P524" s="189"/>
    </row>
    <row r="525" spans="1:16" ht="21.75" customHeight="1" x14ac:dyDescent="0.35">
      <c r="A525" s="183"/>
      <c r="B525" s="184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IFERROR(__xludf.DUMMYFUNCTION("IMPORTRANGE(""https://docs.google.com/spreadsheets/d/1IYY_tgx_IHuhSq3AJ5eI5OnqOPBNLWSHKh2a30DoXe8/edit?usp=sharing"",""ยะลา!I420"")"),0)</f>
        <v>0</v>
      </c>
      <c r="J525" s="290">
        <f ca="1">IFERROR(__xludf.DUMMYFUNCTION("IMPORTRANGE(""https://docs.google.com/spreadsheets/d/1IYY_tgx_IHuhSq3AJ5eI5OnqOPBNLWSHKh2a30DoXe8/edit?usp=sharing"",""ยะลา!J420"")"),0)</f>
        <v>0</v>
      </c>
      <c r="K525" s="291">
        <v>0</v>
      </c>
      <c r="L525" s="189"/>
      <c r="M525" s="189"/>
      <c r="N525" s="189"/>
      <c r="O525" s="189"/>
      <c r="P525" s="189"/>
    </row>
    <row r="526" spans="1:16" ht="21.75" customHeight="1" x14ac:dyDescent="0.35">
      <c r="A526" s="183"/>
      <c r="B526" s="184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IFERROR(__xludf.DUMMYFUNCTION("IMPORTRANGE(""https://docs.google.com/spreadsheets/d/1IYY_tgx_IHuhSq3AJ5eI5OnqOPBNLWSHKh2a30DoXe8/edit?usp=sharing"",""ยะลา!I421"")"),0)</f>
        <v>0</v>
      </c>
      <c r="J526" s="290">
        <f ca="1">IFERROR(__xludf.DUMMYFUNCTION("IMPORTRANGE(""https://docs.google.com/spreadsheets/d/1IYY_tgx_IHuhSq3AJ5eI5OnqOPBNLWSHKh2a30DoXe8/edit?usp=sharing"",""ยะลา!J421"")"),0)</f>
        <v>0</v>
      </c>
      <c r="K526" s="291">
        <v>0</v>
      </c>
      <c r="L526" s="189"/>
      <c r="M526" s="189"/>
      <c r="N526" s="189"/>
      <c r="O526" s="189"/>
      <c r="P526" s="189"/>
    </row>
    <row r="527" spans="1:16" ht="21.75" customHeight="1" x14ac:dyDescent="0.35">
      <c r="A527" s="183"/>
      <c r="B527" s="184"/>
      <c r="C527" s="184"/>
      <c r="D527" s="201"/>
      <c r="E527" s="203"/>
      <c r="F527" s="203"/>
      <c r="G527" s="233" t="s">
        <v>196</v>
      </c>
      <c r="H527" s="428" t="s">
        <v>122</v>
      </c>
      <c r="I527" s="195">
        <f ca="1">IFERROR(__xludf.DUMMYFUNCTION("IMPORTRANGE(""https://docs.google.com/spreadsheets/d/1IYY_tgx_IHuhSq3AJ5eI5OnqOPBNLWSHKh2a30DoXe8/edit?usp=sharing"",""ยะลา!I422"")"),0)</f>
        <v>0</v>
      </c>
      <c r="J527" s="205">
        <f ca="1">IFERROR(__xludf.DUMMYFUNCTION("IMPORTRANGE(""https://docs.google.com/spreadsheets/d/1IYY_tgx_IHuhSq3AJ5eI5OnqOPBNLWSHKh2a30DoXe8/edit?usp=sharing"",""ยะลา!J422"")"),0)</f>
        <v>0</v>
      </c>
      <c r="K527" s="169">
        <v>0</v>
      </c>
      <c r="L527" s="189"/>
      <c r="M527" s="189"/>
      <c r="N527" s="189"/>
      <c r="O527" s="189"/>
      <c r="P527" s="189"/>
    </row>
    <row r="528" spans="1:16" ht="21.75" customHeight="1" x14ac:dyDescent="0.35">
      <c r="A528" s="183"/>
      <c r="B528" s="184"/>
      <c r="C528" s="184"/>
      <c r="D528" s="201"/>
      <c r="E528" s="203"/>
      <c r="F528" s="203"/>
      <c r="G528" s="204"/>
      <c r="H528" s="428" t="s">
        <v>36</v>
      </c>
      <c r="I528" s="195">
        <f ca="1">IFERROR(__xludf.DUMMYFUNCTION("IMPORTRANGE(""https://docs.google.com/spreadsheets/d/1IYY_tgx_IHuhSq3AJ5eI5OnqOPBNLWSHKh2a30DoXe8/edit?usp=sharing"",""ยะลา!I423"")"),0)</f>
        <v>0</v>
      </c>
      <c r="J528" s="205">
        <f ca="1">IFERROR(__xludf.DUMMYFUNCTION("IMPORTRANGE(""https://docs.google.com/spreadsheets/d/1IYY_tgx_IHuhSq3AJ5eI5OnqOPBNLWSHKh2a30DoXe8/edit?usp=sharing"",""ยะลา!J423"")"),0)</f>
        <v>0</v>
      </c>
      <c r="K528" s="169">
        <v>0</v>
      </c>
      <c r="L528" s="189"/>
      <c r="M528" s="189"/>
      <c r="N528" s="189"/>
      <c r="O528" s="189"/>
      <c r="P528" s="189"/>
    </row>
    <row r="529" spans="1:16" ht="21.75" customHeight="1" x14ac:dyDescent="0.35">
      <c r="A529" s="183"/>
      <c r="B529" s="184"/>
      <c r="C529" s="184"/>
      <c r="D529" s="201"/>
      <c r="E529" s="203"/>
      <c r="F529" s="203"/>
      <c r="G529" s="233" t="s">
        <v>197</v>
      </c>
      <c r="H529" s="428" t="s">
        <v>122</v>
      </c>
      <c r="I529" s="195">
        <f ca="1">IFERROR(__xludf.DUMMYFUNCTION("IMPORTRANGE(""https://docs.google.com/spreadsheets/d/1IYY_tgx_IHuhSq3AJ5eI5OnqOPBNLWSHKh2a30DoXe8/edit?usp=sharing"",""ยะลา!I424"")"),0)</f>
        <v>0</v>
      </c>
      <c r="J529" s="205">
        <f ca="1">IFERROR(__xludf.DUMMYFUNCTION("IMPORTRANGE(""https://docs.google.com/spreadsheets/d/1IYY_tgx_IHuhSq3AJ5eI5OnqOPBNLWSHKh2a30DoXe8/edit?usp=sharing"",""ยะลา!J424"")"),0)</f>
        <v>0</v>
      </c>
      <c r="K529" s="169">
        <v>0</v>
      </c>
      <c r="L529" s="189"/>
      <c r="M529" s="189"/>
      <c r="N529" s="189"/>
      <c r="O529" s="189"/>
      <c r="P529" s="189"/>
    </row>
    <row r="530" spans="1:16" ht="21.75" customHeight="1" x14ac:dyDescent="0.35">
      <c r="A530" s="183"/>
      <c r="B530" s="184"/>
      <c r="C530" s="184"/>
      <c r="D530" s="201"/>
      <c r="E530" s="203"/>
      <c r="F530" s="203"/>
      <c r="G530" s="204"/>
      <c r="H530" s="428" t="s">
        <v>36</v>
      </c>
      <c r="I530" s="195">
        <f ca="1">IFERROR(__xludf.DUMMYFUNCTION("IMPORTRANGE(""https://docs.google.com/spreadsheets/d/1IYY_tgx_IHuhSq3AJ5eI5OnqOPBNLWSHKh2a30DoXe8/edit?usp=sharing"",""ยะลา!I425"")"),0)</f>
        <v>0</v>
      </c>
      <c r="J530" s="205">
        <f ca="1">IFERROR(__xludf.DUMMYFUNCTION("IMPORTRANGE(""https://docs.google.com/spreadsheets/d/1IYY_tgx_IHuhSq3AJ5eI5OnqOPBNLWSHKh2a30DoXe8/edit?usp=sharing"",""ยะลา!J425"")"),0)</f>
        <v>0</v>
      </c>
      <c r="K530" s="169">
        <v>0</v>
      </c>
      <c r="L530" s="189"/>
      <c r="M530" s="189"/>
      <c r="N530" s="189"/>
      <c r="O530" s="189"/>
      <c r="P530" s="189"/>
    </row>
    <row r="531" spans="1:16" ht="21.75" customHeight="1" x14ac:dyDescent="0.35">
      <c r="A531" s="183"/>
      <c r="B531" s="184"/>
      <c r="C531" s="184"/>
      <c r="D531" s="201"/>
      <c r="E531" s="203"/>
      <c r="F531" s="203"/>
      <c r="G531" s="233" t="s">
        <v>201</v>
      </c>
      <c r="H531" s="428" t="s">
        <v>122</v>
      </c>
      <c r="I531" s="195">
        <f ca="1">IFERROR(__xludf.DUMMYFUNCTION("IMPORTRANGE(""https://docs.google.com/spreadsheets/d/1IYY_tgx_IHuhSq3AJ5eI5OnqOPBNLWSHKh2a30DoXe8/edit?usp=sharing"",""ยะลา!I426"")"),0)</f>
        <v>0</v>
      </c>
      <c r="J531" s="205">
        <f ca="1">IFERROR(__xludf.DUMMYFUNCTION("IMPORTRANGE(""https://docs.google.com/spreadsheets/d/1IYY_tgx_IHuhSq3AJ5eI5OnqOPBNLWSHKh2a30DoXe8/edit?usp=sharing"",""ยะลา!J426"")"),0)</f>
        <v>0</v>
      </c>
      <c r="K531" s="169">
        <v>0</v>
      </c>
      <c r="L531" s="189"/>
      <c r="M531" s="189"/>
      <c r="N531" s="189"/>
      <c r="O531" s="189"/>
      <c r="P531" s="189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IFERROR(__xludf.DUMMYFUNCTION("IMPORTRANGE(""https://docs.google.com/spreadsheets/d/1IYY_tgx_IHuhSq3AJ5eI5OnqOPBNLWSHKh2a30DoXe8/edit?usp=sharing"",""ยะลา!I427"")"),0)</f>
        <v>0</v>
      </c>
      <c r="J532" s="472">
        <f ca="1">IFERROR(__xludf.DUMMYFUNCTION("IMPORTRANGE(""https://docs.google.com/spreadsheets/d/1IYY_tgx_IHuhSq3AJ5eI5OnqOPBNLWSHKh2a30DoXe8/edit?usp=sharing"",""ยะลา!J427"")"),0)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IFERROR(__xludf.DUMMYFUNCTION("IMPORTRANGE(""https://docs.google.com/spreadsheets/d/1IYY_tgx_IHuhSq3AJ5eI5OnqOPBNLWSHKh2a30DoXe8/edit?usp=sharing"",""ยะลา!I428"")"),16)</f>
        <v>16</v>
      </c>
      <c r="J533" s="416">
        <f ca="1">IFERROR(__xludf.DUMMYFUNCTION("IMPORTRANGE(""https://docs.google.com/spreadsheets/d/1IYY_tgx_IHuhSq3AJ5eI5OnqOPBNLWSHKh2a30DoXe8/edit?usp=sharing"",""ยะลา!J428"")"),16)</f>
        <v>16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IFERROR(__xludf.DUMMYFUNCTION("IMPORTRANGE(""https://docs.google.com/spreadsheets/d/1IYY_tgx_IHuhSq3AJ5eI5OnqOPBNLWSHKh2a30DoXe8/edit?usp=sharing"",""ยะลา!L428"")"),29240)</f>
        <v>29240</v>
      </c>
      <c r="M533" s="418"/>
      <c r="N533" s="418">
        <f ca="1">IFERROR(__xludf.DUMMYFUNCTION("IMPORTRANGE(""https://docs.google.com/spreadsheets/d/1IYY_tgx_IHuhSq3AJ5eI5OnqOPBNLWSHKh2a30DoXe8/edit?usp=sharing"",""ยะลา!M428"")"),16350)</f>
        <v>16350</v>
      </c>
      <c r="O533" s="418">
        <f t="shared" ref="O533:O537" ca="1" si="118">+IF(L533&gt;0,N533*100/L533,0)</f>
        <v>55.916552667578657</v>
      </c>
      <c r="P533" s="418"/>
    </row>
    <row r="534" spans="1:16" ht="21.75" customHeight="1" x14ac:dyDescent="0.35">
      <c r="A534" s="162"/>
      <c r="B534" s="163"/>
      <c r="C534" s="163" t="s">
        <v>16</v>
      </c>
      <c r="D534" s="164" t="s">
        <v>38</v>
      </c>
      <c r="E534" s="165"/>
      <c r="F534" s="165"/>
      <c r="G534" s="166" t="s">
        <v>39</v>
      </c>
      <c r="H534" s="167" t="s">
        <v>12</v>
      </c>
      <c r="I534" s="168" t="s">
        <v>40</v>
      </c>
      <c r="J534" s="168"/>
      <c r="K534" s="169"/>
      <c r="L534" s="170">
        <f ca="1">IFERROR(__xludf.DUMMYFUNCTION("IMPORTRANGE(""https://docs.google.com/spreadsheets/d/1IYY_tgx_IHuhSq3AJ5eI5OnqOPBNLWSHKh2a30DoXe8/edit?usp=sharing"",""ยะลา!L429"")"),0)</f>
        <v>0</v>
      </c>
      <c r="M534" s="170"/>
      <c r="N534" s="176">
        <f ca="1">IFERROR(__xludf.DUMMYFUNCTION("IMPORTRANGE(""https://docs.google.com/spreadsheets/d/1IYY_tgx_IHuhSq3AJ5eI5OnqOPBNLWSHKh2a30DoXe8/edit?usp=sharing"",""ยะลา!M429"")"),0)</f>
        <v>0</v>
      </c>
      <c r="O534" s="176">
        <f t="shared" ca="1" si="118"/>
        <v>0</v>
      </c>
      <c r="P534" s="176"/>
    </row>
    <row r="535" spans="1:16" ht="21.75" customHeight="1" x14ac:dyDescent="0.35">
      <c r="A535" s="162"/>
      <c r="B535" s="163"/>
      <c r="C535" s="163"/>
      <c r="D535" s="172"/>
      <c r="E535" s="165"/>
      <c r="F535" s="165" t="s">
        <v>40</v>
      </c>
      <c r="G535" s="166" t="s">
        <v>41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IFERROR(__xludf.DUMMYFUNCTION("IMPORTRANGE(""https://docs.google.com/spreadsheets/d/1IYY_tgx_IHuhSq3AJ5eI5OnqOPBNLWSHKh2a30DoXe8/edit?usp=sharing"",""ยะลา!L430"")"),29240)</f>
        <v>29240</v>
      </c>
      <c r="M535" s="171"/>
      <c r="N535" s="176">
        <f ca="1">IFERROR(__xludf.DUMMYFUNCTION("IMPORTRANGE(""https://docs.google.com/spreadsheets/d/1IYY_tgx_IHuhSq3AJ5eI5OnqOPBNLWSHKh2a30DoXe8/edit?usp=sharing"",""ยะลา!M430"")"),16350)</f>
        <v>16350</v>
      </c>
      <c r="O535" s="176">
        <f t="shared" ca="1" si="118"/>
        <v>55.916552667578657</v>
      </c>
      <c r="P535" s="176"/>
    </row>
    <row r="536" spans="1:16" ht="21.75" customHeight="1" x14ac:dyDescent="0.35">
      <c r="A536" s="162"/>
      <c r="B536" s="163"/>
      <c r="C536" s="163"/>
      <c r="D536" s="172"/>
      <c r="E536" s="165"/>
      <c r="F536" s="165"/>
      <c r="G536" s="380" t="s">
        <v>129</v>
      </c>
      <c r="H536" s="167" t="s">
        <v>12</v>
      </c>
      <c r="I536" s="168"/>
      <c r="J536" s="168"/>
      <c r="K536" s="169"/>
      <c r="L536" s="176">
        <f ca="1">IFERROR(__xludf.DUMMYFUNCTION("IMPORTRANGE(""https://docs.google.com/spreadsheets/d/1IYY_tgx_IHuhSq3AJ5eI5OnqOPBNLWSHKh2a30DoXe8/edit?usp=sharing"",""ยะลา!L431"")"),0)</f>
        <v>0</v>
      </c>
      <c r="M536" s="176"/>
      <c r="N536" s="176">
        <f ca="1">IFERROR(__xludf.DUMMYFUNCTION("IMPORTRANGE(""https://docs.google.com/spreadsheets/d/1IYY_tgx_IHuhSq3AJ5eI5OnqOPBNLWSHKh2a30DoXe8/edit?usp=sharing"",""ยะลา!M431"")"),0)</f>
        <v>0</v>
      </c>
      <c r="O536" s="176">
        <f t="shared" ca="1" si="118"/>
        <v>0</v>
      </c>
      <c r="P536" s="176"/>
    </row>
    <row r="537" spans="1:16" ht="21.75" customHeight="1" x14ac:dyDescent="0.35">
      <c r="A537" s="162"/>
      <c r="B537" s="163"/>
      <c r="C537" s="163"/>
      <c r="D537" s="172"/>
      <c r="E537" s="165"/>
      <c r="F537" s="165"/>
      <c r="G537" s="380" t="s">
        <v>130</v>
      </c>
      <c r="H537" s="167" t="s">
        <v>12</v>
      </c>
      <c r="I537" s="168"/>
      <c r="J537" s="168"/>
      <c r="K537" s="169"/>
      <c r="L537" s="176">
        <f ca="1">IFERROR(__xludf.DUMMYFUNCTION("IMPORTRANGE(""https://docs.google.com/spreadsheets/d/1IYY_tgx_IHuhSq3AJ5eI5OnqOPBNLWSHKh2a30DoXe8/edit?usp=sharing"",""ยะลา!L432"")"),29240)</f>
        <v>29240</v>
      </c>
      <c r="M537" s="176"/>
      <c r="N537" s="176">
        <f ca="1">IFERROR(__xludf.DUMMYFUNCTION("IMPORTRANGE(""https://docs.google.com/spreadsheets/d/1IYY_tgx_IHuhSq3AJ5eI5OnqOPBNLWSHKh2a30DoXe8/edit?usp=sharing"",""ยะลา!M432"")"),16350)</f>
        <v>16350</v>
      </c>
      <c r="O537" s="176">
        <f t="shared" ca="1" si="118"/>
        <v>55.916552667578657</v>
      </c>
      <c r="P537" s="176"/>
    </row>
    <row r="538" spans="1:16" ht="21.75" customHeight="1" x14ac:dyDescent="0.35">
      <c r="A538" s="381"/>
      <c r="B538" s="382"/>
      <c r="C538" s="163"/>
      <c r="D538" s="383"/>
      <c r="E538" s="165"/>
      <c r="F538" s="165"/>
      <c r="G538" s="384" t="s">
        <v>131</v>
      </c>
      <c r="H538" s="167" t="s">
        <v>12</v>
      </c>
      <c r="I538" s="195"/>
      <c r="J538" s="195"/>
      <c r="K538" s="231"/>
      <c r="L538" s="176"/>
      <c r="M538" s="176"/>
      <c r="N538" s="385">
        <f ca="1">IFERROR(__xludf.DUMMYFUNCTION("IMPORTRANGE(""https://docs.google.com/spreadsheets/d/1IYY_tgx_IHuhSq3AJ5eI5OnqOPBNLWSHKh2a30DoXe8/edit?usp=sharing"",""ยะลา!M433"")"),11010)</f>
        <v>11010</v>
      </c>
      <c r="O538" s="176"/>
      <c r="P538" s="176"/>
    </row>
    <row r="539" spans="1:16" ht="21.75" customHeight="1" x14ac:dyDescent="0.35">
      <c r="A539" s="381"/>
      <c r="B539" s="382"/>
      <c r="C539" s="163"/>
      <c r="D539" s="383"/>
      <c r="E539" s="165"/>
      <c r="F539" s="165"/>
      <c r="G539" s="384" t="s">
        <v>132</v>
      </c>
      <c r="H539" s="167" t="s">
        <v>12</v>
      </c>
      <c r="I539" s="195"/>
      <c r="J539" s="195"/>
      <c r="K539" s="231"/>
      <c r="L539" s="176"/>
      <c r="M539" s="176"/>
      <c r="N539" s="385">
        <f ca="1">IFERROR(__xludf.DUMMYFUNCTION("IMPORTRANGE(""https://docs.google.com/spreadsheets/d/1IYY_tgx_IHuhSq3AJ5eI5OnqOPBNLWSHKh2a30DoXe8/edit?usp=sharing"",""ยะลา!M434"")"),0)</f>
        <v>0</v>
      </c>
      <c r="O539" s="176"/>
      <c r="P539" s="176"/>
    </row>
    <row r="540" spans="1:16" ht="21.75" customHeight="1" x14ac:dyDescent="0.35">
      <c r="A540" s="381"/>
      <c r="B540" s="382"/>
      <c r="C540" s="163"/>
      <c r="D540" s="383"/>
      <c r="E540" s="165"/>
      <c r="F540" s="165"/>
      <c r="G540" s="384" t="s">
        <v>133</v>
      </c>
      <c r="H540" s="167" t="s">
        <v>12</v>
      </c>
      <c r="I540" s="195"/>
      <c r="J540" s="195"/>
      <c r="K540" s="231"/>
      <c r="L540" s="176"/>
      <c r="M540" s="176"/>
      <c r="N540" s="385">
        <f ca="1">IFERROR(__xludf.DUMMYFUNCTION("IMPORTRANGE(""https://docs.google.com/spreadsheets/d/1IYY_tgx_IHuhSq3AJ5eI5OnqOPBNLWSHKh2a30DoXe8/edit?usp=sharing"",""ยะลา!M435"")"),0)</f>
        <v>0</v>
      </c>
      <c r="O540" s="176"/>
      <c r="P540" s="176"/>
    </row>
    <row r="541" spans="1:16" ht="21.75" customHeight="1" x14ac:dyDescent="0.35">
      <c r="A541" s="381"/>
      <c r="B541" s="382"/>
      <c r="C541" s="163"/>
      <c r="D541" s="383"/>
      <c r="E541" s="165"/>
      <c r="F541" s="165"/>
      <c r="G541" s="384" t="s">
        <v>134</v>
      </c>
      <c r="H541" s="167" t="s">
        <v>12</v>
      </c>
      <c r="I541" s="195"/>
      <c r="J541" s="195"/>
      <c r="K541" s="231"/>
      <c r="L541" s="176"/>
      <c r="M541" s="176"/>
      <c r="N541" s="385">
        <f ca="1">IFERROR(__xludf.DUMMYFUNCTION("IMPORTRANGE(""https://docs.google.com/spreadsheets/d/1IYY_tgx_IHuhSq3AJ5eI5OnqOPBNLWSHKh2a30DoXe8/edit?usp=sharing"",""ยะลา!M436"")"),5340)</f>
        <v>5340</v>
      </c>
      <c r="O541" s="176"/>
      <c r="P541" s="176"/>
    </row>
    <row r="542" spans="1:16" ht="21.75" customHeight="1" x14ac:dyDescent="0.35">
      <c r="A542" s="183"/>
      <c r="B542" s="184"/>
      <c r="C542" s="163" t="s">
        <v>16</v>
      </c>
      <c r="D542" s="185" t="s">
        <v>44</v>
      </c>
      <c r="E542" s="186"/>
      <c r="F542" s="186"/>
      <c r="G542" s="187"/>
      <c r="H542" s="188"/>
      <c r="I542" s="168"/>
      <c r="J542" s="168"/>
      <c r="K542" s="169"/>
      <c r="L542" s="189"/>
      <c r="M542" s="189"/>
      <c r="N542" s="189"/>
      <c r="O542" s="189"/>
      <c r="P542" s="189"/>
    </row>
    <row r="543" spans="1:16" ht="21.75" customHeight="1" x14ac:dyDescent="0.35">
      <c r="A543" s="183"/>
      <c r="B543" s="184"/>
      <c r="C543" s="184"/>
      <c r="D543" s="190">
        <v>1</v>
      </c>
      <c r="E543" s="191" t="s">
        <v>45</v>
      </c>
      <c r="F543" s="192"/>
      <c r="G543" s="193"/>
      <c r="H543" s="194"/>
      <c r="I543" s="195"/>
      <c r="J543" s="205">
        <f ca="1">IFERROR(__xludf.DUMMYFUNCTION("IMPORTRANGE(""https://docs.google.com/spreadsheets/d/1IYY_tgx_IHuhSq3AJ5eI5OnqOPBNLWSHKh2a30DoXe8/edit?usp=sharing"",""ยะลา!J438"")"),0)</f>
        <v>0</v>
      </c>
      <c r="K543" s="169"/>
      <c r="L543" s="189"/>
      <c r="M543" s="189"/>
      <c r="N543" s="189"/>
      <c r="O543" s="189"/>
      <c r="P543" s="189"/>
    </row>
    <row r="544" spans="1:16" ht="21.75" customHeight="1" x14ac:dyDescent="0.35">
      <c r="A544" s="183"/>
      <c r="B544" s="184"/>
      <c r="C544" s="184"/>
      <c r="D544" s="197">
        <v>2</v>
      </c>
      <c r="E544" s="198" t="s">
        <v>46</v>
      </c>
      <c r="F544" s="199"/>
      <c r="G544" s="200"/>
      <c r="H544" s="194"/>
      <c r="I544" s="195"/>
      <c r="J544" s="196">
        <f ca="1">IFERROR(__xludf.DUMMYFUNCTION("IMPORTRANGE(""https://docs.google.com/spreadsheets/d/1IYY_tgx_IHuhSq3AJ5eI5OnqOPBNLWSHKh2a30DoXe8/edit?usp=sharing"",""ยะลา!J439"")"),1)</f>
        <v>1</v>
      </c>
      <c r="K544" s="169"/>
      <c r="L544" s="189" t="s">
        <v>40</v>
      </c>
      <c r="M544" s="189"/>
      <c r="N544" s="189" t="s">
        <v>40</v>
      </c>
      <c r="O544" s="189"/>
      <c r="P544" s="189"/>
    </row>
    <row r="545" spans="1:16" ht="21.75" customHeight="1" x14ac:dyDescent="0.35">
      <c r="A545" s="183"/>
      <c r="B545" s="184"/>
      <c r="C545" s="184"/>
      <c r="D545" s="201"/>
      <c r="E545" s="202" t="s">
        <v>47</v>
      </c>
      <c r="F545" s="203"/>
      <c r="G545" s="204"/>
      <c r="H545" s="194"/>
      <c r="I545" s="195"/>
      <c r="J545" s="196">
        <f ca="1">IFERROR(__xludf.DUMMYFUNCTION("IMPORTRANGE(""https://docs.google.com/spreadsheets/d/1IYY_tgx_IHuhSq3AJ5eI5OnqOPBNLWSHKh2a30DoXe8/edit?usp=sharing"",""ยะลา!J440"")"),1)</f>
        <v>1</v>
      </c>
      <c r="K545" s="169"/>
      <c r="L545" s="189"/>
      <c r="M545" s="189"/>
      <c r="N545" s="189"/>
      <c r="O545" s="189"/>
      <c r="P545" s="189"/>
    </row>
    <row r="546" spans="1:16" ht="21.75" customHeight="1" x14ac:dyDescent="0.35">
      <c r="A546" s="183"/>
      <c r="B546" s="184"/>
      <c r="C546" s="184"/>
      <c r="D546" s="201"/>
      <c r="E546" s="202" t="s">
        <v>48</v>
      </c>
      <c r="F546" s="203"/>
      <c r="G546" s="204"/>
      <c r="H546" s="194"/>
      <c r="I546" s="195"/>
      <c r="J546" s="205">
        <f ca="1">IFERROR(__xludf.DUMMYFUNCTION("IMPORTRANGE(""https://docs.google.com/spreadsheets/d/1IYY_tgx_IHuhSq3AJ5eI5OnqOPBNLWSHKh2a30DoXe8/edit?usp=sharing"",""ยะลา!J441"")"),1)</f>
        <v>1</v>
      </c>
      <c r="K546" s="169"/>
      <c r="L546" s="189"/>
      <c r="M546" s="189"/>
      <c r="N546" s="189"/>
      <c r="O546" s="189"/>
      <c r="P546" s="189"/>
    </row>
    <row r="547" spans="1:16" ht="21.75" customHeight="1" x14ac:dyDescent="0.35">
      <c r="A547" s="183"/>
      <c r="B547" s="184"/>
      <c r="C547" s="184"/>
      <c r="D547" s="201"/>
      <c r="E547" s="206"/>
      <c r="F547" s="203"/>
      <c r="G547" s="233" t="s">
        <v>203</v>
      </c>
      <c r="H547" s="194" t="s">
        <v>37</v>
      </c>
      <c r="I547" s="211">
        <f ca="1">IFERROR(__xludf.DUMMYFUNCTION("IMPORTRANGE(""https://docs.google.com/spreadsheets/d/1IYY_tgx_IHuhSq3AJ5eI5OnqOPBNLWSHKh2a30DoXe8/edit?usp=sharing"",""ยะลา!I442"")"),16)</f>
        <v>16</v>
      </c>
      <c r="J547" s="196">
        <f ca="1">IFERROR(__xludf.DUMMYFUNCTION("IMPORTRANGE(""https://docs.google.com/spreadsheets/d/1IYY_tgx_IHuhSq3AJ5eI5OnqOPBNLWSHKh2a30DoXe8/edit?usp=sharing"",""ยะลา!J442"")"),16)</f>
        <v>16</v>
      </c>
      <c r="K547" s="169">
        <f t="shared" ref="K547:K548" ca="1" si="119">IF(I547&gt;0,J547*100/I547,0)</f>
        <v>100</v>
      </c>
      <c r="L547" s="189"/>
      <c r="M547" s="189"/>
      <c r="N547" s="189"/>
      <c r="O547" s="189"/>
      <c r="P547" s="189"/>
    </row>
    <row r="548" spans="1:16" ht="21.75" hidden="1" customHeight="1" x14ac:dyDescent="0.35">
      <c r="A548" s="183"/>
      <c r="B548" s="184"/>
      <c r="C548" s="184"/>
      <c r="D548" s="201"/>
      <c r="E548" s="206"/>
      <c r="F548" s="203"/>
      <c r="G548" s="233" t="s">
        <v>204</v>
      </c>
      <c r="H548" s="194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5">
        <f ca="1">IFERROR(__xludf.DUMMYFUNCTION("IMPORTRANGE(""https://docs.google.com/spreadsheets/d/1IYY_tgx_IHuhSq3AJ5eI5OnqOPBNLWSHKh2a30DoXe8/edit?usp=sharing"",""ยะลา!J166"")"),0)</f>
        <v>0</v>
      </c>
      <c r="K548" s="169">
        <f t="shared" ca="1" si="119"/>
        <v>0</v>
      </c>
      <c r="L548" s="189"/>
      <c r="M548" s="189"/>
      <c r="N548" s="189"/>
      <c r="O548" s="189"/>
      <c r="P548" s="189"/>
    </row>
    <row r="549" spans="1:16" ht="21.75" customHeight="1" x14ac:dyDescent="0.35">
      <c r="A549" s="183"/>
      <c r="B549" s="184"/>
      <c r="C549" s="184"/>
      <c r="D549" s="201"/>
      <c r="E549" s="202" t="s">
        <v>54</v>
      </c>
      <c r="F549" s="203"/>
      <c r="G549" s="204"/>
      <c r="H549" s="194"/>
      <c r="I549" s="195"/>
      <c r="J549" s="205">
        <f ca="1">IFERROR(__xludf.DUMMYFUNCTION("IMPORTRANGE(""https://docs.google.com/spreadsheets/d/1IYY_tgx_IHuhSq3AJ5eI5OnqOPBNLWSHKh2a30DoXe8/edit?usp=sharing"",""ยะลา!J444"")"),0)</f>
        <v>0</v>
      </c>
      <c r="K549" s="169"/>
      <c r="L549" s="189"/>
      <c r="M549" s="189"/>
      <c r="N549" s="189"/>
      <c r="O549" s="189"/>
      <c r="P549" s="189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IFERROR(__xludf.DUMMYFUNCTION("IMPORTRANGE(""https://docs.google.com/spreadsheets/d/1IYY_tgx_IHuhSq3AJ5eI5OnqOPBNLWSHKh2a30DoXe8/edit?usp=sharing"",""ยะลา!J445"")"),0)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IFERROR(__xludf.DUMMYFUNCTION("IMPORTRANGE(""https://docs.google.com/spreadsheets/d/1IYY_tgx_IHuhSq3AJ5eI5OnqOPBNLWSHKh2a30DoXe8/edit?usp=sharing"",""ยะลา!I446"")"),0)</f>
        <v>0</v>
      </c>
      <c r="J551" s="416">
        <f ca="1">IFERROR(__xludf.DUMMYFUNCTION("IMPORTRANGE(""https://docs.google.com/spreadsheets/d/1IYY_tgx_IHuhSq3AJ5eI5OnqOPBNLWSHKh2a30DoXe8/edit?usp=sharing"",""ยะลา!J446"")"),0)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IFERROR(__xludf.DUMMYFUNCTION("IMPORTRANGE(""https://docs.google.com/spreadsheets/d/1IYY_tgx_IHuhSq3AJ5eI5OnqOPBNLWSHKh2a30DoXe8/edit?usp=sharing"",""ยะลา!L446"")"),0)</f>
        <v>0</v>
      </c>
      <c r="M551" s="418"/>
      <c r="N551" s="418">
        <f ca="1">IFERROR(__xludf.DUMMYFUNCTION("IMPORTRANGE(""https://docs.google.com/spreadsheets/d/1IYY_tgx_IHuhSq3AJ5eI5OnqOPBNLWSHKh2a30DoXe8/edit?usp=sharing"",""ยะลา!M446"")"),0)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164" t="s">
        <v>38</v>
      </c>
      <c r="E552" s="165"/>
      <c r="F552" s="165"/>
      <c r="G552" s="166" t="s">
        <v>39</v>
      </c>
      <c r="H552" s="167" t="s">
        <v>12</v>
      </c>
      <c r="I552" s="168" t="s">
        <v>40</v>
      </c>
      <c r="J552" s="168"/>
      <c r="K552" s="169"/>
      <c r="L552" s="170">
        <f ca="1">IFERROR(__xludf.DUMMYFUNCTION("IMPORTRANGE(""https://docs.google.com/spreadsheets/d/1IYY_tgx_IHuhSq3AJ5eI5OnqOPBNLWSHKh2a30DoXe8/edit?usp=sharing"",""ยะลา!L447"")"),0)</f>
        <v>0</v>
      </c>
      <c r="M552" s="170"/>
      <c r="N552" s="176">
        <f ca="1">IFERROR(__xludf.DUMMYFUNCTION("IMPORTRANGE(""https://docs.google.com/spreadsheets/d/1IYY_tgx_IHuhSq3AJ5eI5OnqOPBNLWSHKh2a30DoXe8/edit?usp=sharing"",""ยะลา!M447"")"),0)</f>
        <v>0</v>
      </c>
      <c r="O552" s="176">
        <f t="shared" ca="1" si="120"/>
        <v>0</v>
      </c>
      <c r="P552" s="176"/>
    </row>
    <row r="553" spans="1:16" ht="21.75" customHeight="1" x14ac:dyDescent="0.35">
      <c r="A553" s="162"/>
      <c r="B553" s="163"/>
      <c r="C553" s="163"/>
      <c r="D553" s="172"/>
      <c r="E553" s="165"/>
      <c r="F553" s="165" t="s">
        <v>40</v>
      </c>
      <c r="G553" s="166" t="s">
        <v>41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IFERROR(__xludf.DUMMYFUNCTION("IMPORTRANGE(""https://docs.google.com/spreadsheets/d/1IYY_tgx_IHuhSq3AJ5eI5OnqOPBNLWSHKh2a30DoXe8/edit?usp=sharing"",""ยะลา!L448"")"),0)</f>
        <v>0</v>
      </c>
      <c r="M553" s="171"/>
      <c r="N553" s="176">
        <f ca="1">IFERROR(__xludf.DUMMYFUNCTION("IMPORTRANGE(""https://docs.google.com/spreadsheets/d/1IYY_tgx_IHuhSq3AJ5eI5OnqOPBNLWSHKh2a30DoXe8/edit?usp=sharing"",""ยะลา!M448"")"),0)</f>
        <v>0</v>
      </c>
      <c r="O553" s="176">
        <f t="shared" ca="1" si="120"/>
        <v>0</v>
      </c>
      <c r="P553" s="176"/>
    </row>
    <row r="554" spans="1:16" ht="21.75" customHeight="1" x14ac:dyDescent="0.35">
      <c r="A554" s="162"/>
      <c r="B554" s="163"/>
      <c r="C554" s="163"/>
      <c r="D554" s="172"/>
      <c r="E554" s="165"/>
      <c r="F554" s="165"/>
      <c r="G554" s="380" t="s">
        <v>129</v>
      </c>
      <c r="H554" s="167" t="s">
        <v>12</v>
      </c>
      <c r="I554" s="168"/>
      <c r="J554" s="168"/>
      <c r="K554" s="169"/>
      <c r="L554" s="176">
        <f ca="1">IFERROR(__xludf.DUMMYFUNCTION("IMPORTRANGE(""https://docs.google.com/spreadsheets/d/1IYY_tgx_IHuhSq3AJ5eI5OnqOPBNLWSHKh2a30DoXe8/edit?usp=sharing"",""ยะลา!L449"")"),0)</f>
        <v>0</v>
      </c>
      <c r="M554" s="176"/>
      <c r="N554" s="176">
        <f ca="1">IFERROR(__xludf.DUMMYFUNCTION("IMPORTRANGE(""https://docs.google.com/spreadsheets/d/1IYY_tgx_IHuhSq3AJ5eI5OnqOPBNLWSHKh2a30DoXe8/edit?usp=sharing"",""ยะลา!M449"")"),0)</f>
        <v>0</v>
      </c>
      <c r="O554" s="176">
        <f t="shared" ca="1" si="120"/>
        <v>0</v>
      </c>
      <c r="P554" s="176"/>
    </row>
    <row r="555" spans="1:16" ht="21.75" customHeight="1" x14ac:dyDescent="0.35">
      <c r="A555" s="162"/>
      <c r="B555" s="163"/>
      <c r="C555" s="163"/>
      <c r="D555" s="172"/>
      <c r="E555" s="165"/>
      <c r="F555" s="165"/>
      <c r="G555" s="380" t="s">
        <v>130</v>
      </c>
      <c r="H555" s="167" t="s">
        <v>12</v>
      </c>
      <c r="I555" s="168"/>
      <c r="J555" s="168"/>
      <c r="K555" s="169"/>
      <c r="L555" s="176">
        <f ca="1">IFERROR(__xludf.DUMMYFUNCTION("IMPORTRANGE(""https://docs.google.com/spreadsheets/d/1IYY_tgx_IHuhSq3AJ5eI5OnqOPBNLWSHKh2a30DoXe8/edit?usp=sharing"",""ยะลา!L450"")"),0)</f>
        <v>0</v>
      </c>
      <c r="M555" s="176"/>
      <c r="N555" s="176">
        <f ca="1">IFERROR(__xludf.DUMMYFUNCTION("IMPORTRANGE(""https://docs.google.com/spreadsheets/d/1IYY_tgx_IHuhSq3AJ5eI5OnqOPBNLWSHKh2a30DoXe8/edit?usp=sharing"",""ยะลา!M450"")"),0)</f>
        <v>0</v>
      </c>
      <c r="O555" s="176">
        <f t="shared" ca="1" si="120"/>
        <v>0</v>
      </c>
      <c r="P555" s="176"/>
    </row>
    <row r="556" spans="1:16" ht="21.75" customHeight="1" x14ac:dyDescent="0.35">
      <c r="A556" s="381"/>
      <c r="B556" s="382"/>
      <c r="C556" s="163"/>
      <c r="D556" s="383"/>
      <c r="E556" s="165"/>
      <c r="F556" s="165"/>
      <c r="G556" s="384" t="s">
        <v>131</v>
      </c>
      <c r="H556" s="167" t="s">
        <v>12</v>
      </c>
      <c r="I556" s="195"/>
      <c r="J556" s="195"/>
      <c r="K556" s="231"/>
      <c r="L556" s="176"/>
      <c r="M556" s="176"/>
      <c r="N556" s="173">
        <f ca="1">IFERROR(__xludf.DUMMYFUNCTION("IMPORTRANGE(""https://docs.google.com/spreadsheets/d/1IYY_tgx_IHuhSq3AJ5eI5OnqOPBNLWSHKh2a30DoXe8/edit?usp=sharing"",""ยะลา!M451"")"),0)</f>
        <v>0</v>
      </c>
      <c r="O556" s="176"/>
      <c r="P556" s="176"/>
    </row>
    <row r="557" spans="1:16" ht="21.75" customHeight="1" x14ac:dyDescent="0.35">
      <c r="A557" s="381"/>
      <c r="B557" s="382"/>
      <c r="C557" s="163"/>
      <c r="D557" s="383"/>
      <c r="E557" s="165"/>
      <c r="F557" s="165"/>
      <c r="G557" s="384" t="s">
        <v>132</v>
      </c>
      <c r="H557" s="167" t="s">
        <v>12</v>
      </c>
      <c r="I557" s="195"/>
      <c r="J557" s="195"/>
      <c r="K557" s="231"/>
      <c r="L557" s="176"/>
      <c r="M557" s="176"/>
      <c r="N557" s="173">
        <f ca="1">IFERROR(__xludf.DUMMYFUNCTION("IMPORTRANGE(""https://docs.google.com/spreadsheets/d/1IYY_tgx_IHuhSq3AJ5eI5OnqOPBNLWSHKh2a30DoXe8/edit?usp=sharing"",""ยะลา!M452"")"),0)</f>
        <v>0</v>
      </c>
      <c r="O557" s="176"/>
      <c r="P557" s="176"/>
    </row>
    <row r="558" spans="1:16" ht="21.75" customHeight="1" x14ac:dyDescent="0.35">
      <c r="A558" s="381"/>
      <c r="B558" s="382"/>
      <c r="C558" s="163"/>
      <c r="D558" s="383"/>
      <c r="E558" s="165"/>
      <c r="F558" s="165"/>
      <c r="G558" s="384" t="s">
        <v>133</v>
      </c>
      <c r="H558" s="167" t="s">
        <v>12</v>
      </c>
      <c r="I558" s="195"/>
      <c r="J558" s="195"/>
      <c r="K558" s="231"/>
      <c r="L558" s="176"/>
      <c r="M558" s="176"/>
      <c r="N558" s="173">
        <f ca="1">IFERROR(__xludf.DUMMYFUNCTION("IMPORTRANGE(""https://docs.google.com/spreadsheets/d/1IYY_tgx_IHuhSq3AJ5eI5OnqOPBNLWSHKh2a30DoXe8/edit?usp=sharing"",""ยะลา!M453"")"),0)</f>
        <v>0</v>
      </c>
      <c r="O558" s="176"/>
      <c r="P558" s="176"/>
    </row>
    <row r="559" spans="1:16" ht="21.75" customHeight="1" x14ac:dyDescent="0.35">
      <c r="A559" s="381"/>
      <c r="B559" s="382"/>
      <c r="C559" s="163"/>
      <c r="D559" s="383"/>
      <c r="E559" s="165"/>
      <c r="F559" s="165"/>
      <c r="G559" s="384" t="s">
        <v>134</v>
      </c>
      <c r="H559" s="167" t="s">
        <v>12</v>
      </c>
      <c r="I559" s="195"/>
      <c r="J559" s="195"/>
      <c r="K559" s="231"/>
      <c r="L559" s="176"/>
      <c r="M559" s="176"/>
      <c r="N559" s="173">
        <f ca="1">IFERROR(__xludf.DUMMYFUNCTION("IMPORTRANGE(""https://docs.google.com/spreadsheets/d/1IYY_tgx_IHuhSq3AJ5eI5OnqOPBNLWSHKh2a30DoXe8/edit?usp=sharing"",""ยะลา!M454"")"),0)</f>
        <v>0</v>
      </c>
      <c r="O559" s="176"/>
      <c r="P559" s="176"/>
    </row>
    <row r="560" spans="1:16" ht="21.75" customHeight="1" x14ac:dyDescent="0.35">
      <c r="A560" s="183"/>
      <c r="B560" s="184"/>
      <c r="C560" s="184"/>
      <c r="D560" s="201"/>
      <c r="E560" s="203"/>
      <c r="F560" s="285" t="s">
        <v>206</v>
      </c>
      <c r="G560" s="204"/>
      <c r="H560" s="481" t="s">
        <v>122</v>
      </c>
      <c r="I560" s="168">
        <f ca="1">IFERROR(__xludf.DUMMYFUNCTION("IMPORTRANGE(""https://docs.google.com/spreadsheets/d/1IYY_tgx_IHuhSq3AJ5eI5OnqOPBNLWSHKh2a30DoXe8/edit?usp=sharing"",""ยะลา!I455"")"),0)</f>
        <v>0</v>
      </c>
      <c r="J560" s="168">
        <f ca="1">IFERROR(__xludf.DUMMYFUNCTION("IMPORTRANGE(""https://docs.google.com/spreadsheets/d/1IYY_tgx_IHuhSq3AJ5eI5OnqOPBNLWSHKh2a30DoXe8/edit?usp=sharing"",""ยะลา!J455"")"),0)</f>
        <v>0</v>
      </c>
      <c r="K560" s="231">
        <f t="shared" ref="K560:K564" ca="1" si="121">IF(I560&gt;0,J560*100/I560,0)</f>
        <v>0</v>
      </c>
      <c r="L560" s="176"/>
      <c r="M560" s="176"/>
      <c r="N560" s="176"/>
      <c r="O560" s="189"/>
      <c r="P560" s="189"/>
    </row>
    <row r="561" spans="1:16" ht="21.75" customHeight="1" x14ac:dyDescent="0.35">
      <c r="A561" s="183"/>
      <c r="B561" s="184"/>
      <c r="C561" s="184"/>
      <c r="D561" s="201"/>
      <c r="E561" s="203"/>
      <c r="F561" s="203"/>
      <c r="G561" s="204"/>
      <c r="H561" s="481" t="s">
        <v>36</v>
      </c>
      <c r="I561" s="168">
        <f ca="1">IFERROR(__xludf.DUMMYFUNCTION("IMPORTRANGE(""https://docs.google.com/spreadsheets/d/1IYY_tgx_IHuhSq3AJ5eI5OnqOPBNLWSHKh2a30DoXe8/edit?usp=sharing"",""ยะลา!I456"")"),0)</f>
        <v>0</v>
      </c>
      <c r="J561" s="211">
        <f ca="1">IFERROR(__xludf.DUMMYFUNCTION("IMPORTRANGE(""https://docs.google.com/spreadsheets/d/1IYY_tgx_IHuhSq3AJ5eI5OnqOPBNLWSHKh2a30DoXe8/edit?usp=sharing"",""ยะลา!J456"")"),0)</f>
        <v>0</v>
      </c>
      <c r="K561" s="231">
        <f t="shared" ca="1" si="121"/>
        <v>0</v>
      </c>
      <c r="L561" s="176"/>
      <c r="M561" s="176"/>
      <c r="N561" s="176"/>
      <c r="O561" s="189"/>
      <c r="P561" s="189"/>
    </row>
    <row r="562" spans="1:16" ht="21.75" customHeight="1" x14ac:dyDescent="0.35">
      <c r="A562" s="183"/>
      <c r="B562" s="184"/>
      <c r="C562" s="184"/>
      <c r="D562" s="201"/>
      <c r="E562" s="203"/>
      <c r="F562" s="203" t="s">
        <v>207</v>
      </c>
      <c r="G562" s="204"/>
      <c r="H562" s="481" t="s">
        <v>122</v>
      </c>
      <c r="I562" s="168">
        <f ca="1">IFERROR(__xludf.DUMMYFUNCTION("IMPORTRANGE(""https://docs.google.com/spreadsheets/d/1IYY_tgx_IHuhSq3AJ5eI5OnqOPBNLWSHKh2a30DoXe8/edit?usp=sharing"",""ยะลา!I457"")"),0)</f>
        <v>0</v>
      </c>
      <c r="J562" s="211" t="str">
        <f ca="1">IFERROR(__xludf.DUMMYFUNCTION("IMPORTRANGE(""https://docs.google.com/spreadsheets/d/1IYY_tgx_IHuhSq3AJ5eI5OnqOPBNLWSHKh2a30DoXe8/edit?usp=sharing"",""ยะลา!J457"")"),"")</f>
        <v/>
      </c>
      <c r="K562" s="169">
        <f t="shared" ca="1" si="121"/>
        <v>0</v>
      </c>
      <c r="L562" s="189"/>
      <c r="M562" s="189"/>
      <c r="N562" s="189"/>
      <c r="O562" s="189"/>
      <c r="P562" s="189"/>
    </row>
    <row r="563" spans="1:16" ht="21.75" customHeight="1" x14ac:dyDescent="0.35">
      <c r="A563" s="183"/>
      <c r="B563" s="184"/>
      <c r="C563" s="184"/>
      <c r="D563" s="201"/>
      <c r="E563" s="203"/>
      <c r="F563" s="203"/>
      <c r="G563" s="204"/>
      <c r="H563" s="481" t="s">
        <v>36</v>
      </c>
      <c r="I563" s="168">
        <f ca="1">IFERROR(__xludf.DUMMYFUNCTION("IMPORTRANGE(""https://docs.google.com/spreadsheets/d/1IYY_tgx_IHuhSq3AJ5eI5OnqOPBNLWSHKh2a30DoXe8/edit?usp=sharing"",""ยะลา!I458"")"),0)</f>
        <v>0</v>
      </c>
      <c r="J563" s="195" t="str">
        <f ca="1">IFERROR(__xludf.DUMMYFUNCTION("IMPORTRANGE(""https://docs.google.com/spreadsheets/d/1IYY_tgx_IHuhSq3AJ5eI5OnqOPBNLWSHKh2a30DoXe8/edit?usp=sharing"",""ยะลา!J458"")"),"")</f>
        <v/>
      </c>
      <c r="K563" s="169">
        <f t="shared" ca="1" si="121"/>
        <v>0</v>
      </c>
      <c r="L563" s="189"/>
      <c r="M563" s="189"/>
      <c r="N563" s="189"/>
      <c r="O563" s="189"/>
      <c r="P563" s="189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IFERROR(__xludf.DUMMYFUNCTION("IMPORTRANGE(""https://docs.google.com/spreadsheets/d/1IYY_tgx_IHuhSq3AJ5eI5OnqOPBNLWSHKh2a30DoXe8/edit?usp=sharing"",""ยะลา!I459"")"),150)</f>
        <v>150</v>
      </c>
      <c r="J564" s="377">
        <f ca="1">IFERROR(__xludf.DUMMYFUNCTION("IMPORTRANGE(""https://docs.google.com/spreadsheets/d/1IYY_tgx_IHuhSq3AJ5eI5OnqOPBNLWSHKh2a30DoXe8/edit?usp=sharing"",""ยะลา!J459"")"),226)</f>
        <v>226</v>
      </c>
      <c r="K564" s="378">
        <f t="shared" ca="1" si="121"/>
        <v>150.66666666666666</v>
      </c>
      <c r="L564" s="379">
        <f ca="1">IFERROR(__xludf.DUMMYFUNCTION("IMPORTRANGE(""https://docs.google.com/spreadsheets/d/1IYY_tgx_IHuhSq3AJ5eI5OnqOPBNLWSHKh2a30DoXe8/edit?usp=sharing"",""ยะลา!L459"")"),123680)</f>
        <v>123680</v>
      </c>
      <c r="M564" s="379"/>
      <c r="N564" s="379">
        <f ca="1">IFERROR(__xludf.DUMMYFUNCTION("IMPORTRANGE(""https://docs.google.com/spreadsheets/d/1IYY_tgx_IHuhSq3AJ5eI5OnqOPBNLWSHKh2a30DoXe8/edit?usp=sharing"",""ยะลา!M459"")"),50388.81)</f>
        <v>50388.81</v>
      </c>
      <c r="O564" s="379">
        <f t="shared" ref="O564:O568" ca="1" si="122">+IF(L564&gt;0,N564*100/L564,0)</f>
        <v>40.741275873221213</v>
      </c>
      <c r="P564" s="379"/>
    </row>
    <row r="565" spans="1:16" ht="21.75" customHeight="1" x14ac:dyDescent="0.35">
      <c r="A565" s="162"/>
      <c r="B565" s="163"/>
      <c r="C565" s="163" t="s">
        <v>16</v>
      </c>
      <c r="D565" s="164" t="s">
        <v>38</v>
      </c>
      <c r="E565" s="165"/>
      <c r="F565" s="165"/>
      <c r="G565" s="166" t="s">
        <v>39</v>
      </c>
      <c r="H565" s="167" t="s">
        <v>12</v>
      </c>
      <c r="I565" s="168" t="s">
        <v>40</v>
      </c>
      <c r="J565" s="168"/>
      <c r="K565" s="169"/>
      <c r="L565" s="170">
        <f ca="1">IFERROR(__xludf.DUMMYFUNCTION("IMPORTRANGE(""https://docs.google.com/spreadsheets/d/1IYY_tgx_IHuhSq3AJ5eI5OnqOPBNLWSHKh2a30DoXe8/edit?usp=sharing"",""ยะลา!L460"")"),0)</f>
        <v>0</v>
      </c>
      <c r="M565" s="170"/>
      <c r="N565" s="176">
        <f ca="1">IFERROR(__xludf.DUMMYFUNCTION("IMPORTRANGE(""https://docs.google.com/spreadsheets/d/1IYY_tgx_IHuhSq3AJ5eI5OnqOPBNLWSHKh2a30DoXe8/edit?usp=sharing"",""ยะลา!M460"")"),0)</f>
        <v>0</v>
      </c>
      <c r="O565" s="176">
        <f t="shared" ca="1" si="122"/>
        <v>0</v>
      </c>
      <c r="P565" s="176"/>
    </row>
    <row r="566" spans="1:16" ht="21.75" customHeight="1" x14ac:dyDescent="0.35">
      <c r="A566" s="162"/>
      <c r="B566" s="163"/>
      <c r="C566" s="163"/>
      <c r="D566" s="172"/>
      <c r="E566" s="165"/>
      <c r="F566" s="165" t="s">
        <v>40</v>
      </c>
      <c r="G566" s="166" t="s">
        <v>41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IFERROR(__xludf.DUMMYFUNCTION("IMPORTRANGE(""https://docs.google.com/spreadsheets/d/1IYY_tgx_IHuhSq3AJ5eI5OnqOPBNLWSHKh2a30DoXe8/edit?usp=sharing"",""ยะลา!L461"")"),123680)</f>
        <v>123680</v>
      </c>
      <c r="M566" s="171"/>
      <c r="N566" s="176">
        <f ca="1">IFERROR(__xludf.DUMMYFUNCTION("IMPORTRANGE(""https://docs.google.com/spreadsheets/d/1IYY_tgx_IHuhSq3AJ5eI5OnqOPBNLWSHKh2a30DoXe8/edit?usp=sharing"",""ยะลา!M461"")"),50388.81)</f>
        <v>50388.81</v>
      </c>
      <c r="O566" s="176">
        <f t="shared" ca="1" si="122"/>
        <v>40.741275873221213</v>
      </c>
      <c r="P566" s="176"/>
    </row>
    <row r="567" spans="1:16" ht="21.75" customHeight="1" x14ac:dyDescent="0.35">
      <c r="A567" s="162"/>
      <c r="B567" s="163"/>
      <c r="C567" s="163"/>
      <c r="D567" s="172"/>
      <c r="E567" s="165"/>
      <c r="F567" s="165"/>
      <c r="G567" s="380" t="s">
        <v>129</v>
      </c>
      <c r="H567" s="167" t="s">
        <v>12</v>
      </c>
      <c r="I567" s="168"/>
      <c r="J567" s="168"/>
      <c r="K567" s="169"/>
      <c r="L567" s="176">
        <f ca="1">IFERROR(__xludf.DUMMYFUNCTION("IMPORTRANGE(""https://docs.google.com/spreadsheets/d/1IYY_tgx_IHuhSq3AJ5eI5OnqOPBNLWSHKh2a30DoXe8/edit?usp=sharing"",""ยะลา!L462"")"),0)</f>
        <v>0</v>
      </c>
      <c r="M567" s="176"/>
      <c r="N567" s="176">
        <f ca="1">IFERROR(__xludf.DUMMYFUNCTION("IMPORTRANGE(""https://docs.google.com/spreadsheets/d/1IYY_tgx_IHuhSq3AJ5eI5OnqOPBNLWSHKh2a30DoXe8/edit?usp=sharing"",""ยะลา!M462"")"),0)</f>
        <v>0</v>
      </c>
      <c r="O567" s="176">
        <f t="shared" ca="1" si="122"/>
        <v>0</v>
      </c>
      <c r="P567" s="176"/>
    </row>
    <row r="568" spans="1:16" ht="21.75" customHeight="1" x14ac:dyDescent="0.35">
      <c r="A568" s="162"/>
      <c r="B568" s="163"/>
      <c r="C568" s="163"/>
      <c r="D568" s="172"/>
      <c r="E568" s="165"/>
      <c r="F568" s="165"/>
      <c r="G568" s="380" t="s">
        <v>130</v>
      </c>
      <c r="H568" s="167" t="s">
        <v>12</v>
      </c>
      <c r="I568" s="168"/>
      <c r="J568" s="168"/>
      <c r="K568" s="169"/>
      <c r="L568" s="176">
        <f ca="1">IFERROR(__xludf.DUMMYFUNCTION("IMPORTRANGE(""https://docs.google.com/spreadsheets/d/1IYY_tgx_IHuhSq3AJ5eI5OnqOPBNLWSHKh2a30DoXe8/edit?usp=sharing"",""ยะลา!L463"")"),123680)</f>
        <v>123680</v>
      </c>
      <c r="M568" s="176"/>
      <c r="N568" s="176">
        <f ca="1">IFERROR(__xludf.DUMMYFUNCTION("IMPORTRANGE(""https://docs.google.com/spreadsheets/d/1IYY_tgx_IHuhSq3AJ5eI5OnqOPBNLWSHKh2a30DoXe8/edit?usp=sharing"",""ยะลา!M463"")"),50388.81)</f>
        <v>50388.81</v>
      </c>
      <c r="O568" s="176">
        <f t="shared" ca="1" si="122"/>
        <v>40.741275873221213</v>
      </c>
      <c r="P568" s="176"/>
    </row>
    <row r="569" spans="1:16" ht="21.75" customHeight="1" x14ac:dyDescent="0.35">
      <c r="A569" s="381"/>
      <c r="B569" s="382"/>
      <c r="C569" s="163"/>
      <c r="D569" s="383"/>
      <c r="E569" s="165"/>
      <c r="F569" s="165"/>
      <c r="G569" s="384" t="s">
        <v>131</v>
      </c>
      <c r="H569" s="167" t="s">
        <v>12</v>
      </c>
      <c r="I569" s="195"/>
      <c r="J569" s="195"/>
      <c r="K569" s="231"/>
      <c r="L569" s="176"/>
      <c r="M569" s="176"/>
      <c r="N569" s="173">
        <f ca="1">IFERROR(__xludf.DUMMYFUNCTION("IMPORTRANGE(""https://docs.google.com/spreadsheets/d/1IYY_tgx_IHuhSq3AJ5eI5OnqOPBNLWSHKh2a30DoXe8/edit?usp=sharing"",""ยะลา!M464"")"),0)</f>
        <v>0</v>
      </c>
      <c r="O569" s="176"/>
      <c r="P569" s="176"/>
    </row>
    <row r="570" spans="1:16" ht="21.75" customHeight="1" x14ac:dyDescent="0.35">
      <c r="A570" s="381"/>
      <c r="B570" s="382"/>
      <c r="C570" s="163"/>
      <c r="D570" s="383"/>
      <c r="E570" s="165"/>
      <c r="F570" s="165"/>
      <c r="G570" s="384" t="s">
        <v>132</v>
      </c>
      <c r="H570" s="167" t="s">
        <v>12</v>
      </c>
      <c r="I570" s="195"/>
      <c r="J570" s="195"/>
      <c r="K570" s="231"/>
      <c r="L570" s="176"/>
      <c r="M570" s="176"/>
      <c r="N570" s="173">
        <f ca="1">IFERROR(__xludf.DUMMYFUNCTION("IMPORTRANGE(""https://docs.google.com/spreadsheets/d/1IYY_tgx_IHuhSq3AJ5eI5OnqOPBNLWSHKh2a30DoXe8/edit?usp=sharing"",""ยะลา!M465"")"),0)</f>
        <v>0</v>
      </c>
      <c r="O570" s="176"/>
      <c r="P570" s="176"/>
    </row>
    <row r="571" spans="1:16" ht="21.75" customHeight="1" x14ac:dyDescent="0.35">
      <c r="A571" s="381"/>
      <c r="B571" s="382"/>
      <c r="C571" s="163"/>
      <c r="D571" s="383"/>
      <c r="E571" s="165"/>
      <c r="F571" s="165"/>
      <c r="G571" s="384" t="s">
        <v>133</v>
      </c>
      <c r="H571" s="167" t="s">
        <v>12</v>
      </c>
      <c r="I571" s="195"/>
      <c r="J571" s="195"/>
      <c r="K571" s="231"/>
      <c r="L571" s="176"/>
      <c r="M571" s="176"/>
      <c r="N571" s="385">
        <f ca="1">IFERROR(__xludf.DUMMYFUNCTION("IMPORTRANGE(""https://docs.google.com/spreadsheets/d/1IYY_tgx_IHuhSq3AJ5eI5OnqOPBNLWSHKh2a30DoXe8/edit?usp=sharing"",""ยะลา!M466"")"),42568.81)</f>
        <v>42568.81</v>
      </c>
      <c r="O571" s="176"/>
      <c r="P571" s="176"/>
    </row>
    <row r="572" spans="1:16" ht="21.75" customHeight="1" x14ac:dyDescent="0.35">
      <c r="A572" s="381"/>
      <c r="B572" s="382"/>
      <c r="C572" s="163"/>
      <c r="D572" s="383"/>
      <c r="E572" s="165"/>
      <c r="F572" s="165"/>
      <c r="G572" s="384" t="s">
        <v>134</v>
      </c>
      <c r="H572" s="167" t="s">
        <v>12</v>
      </c>
      <c r="I572" s="195"/>
      <c r="J572" s="195"/>
      <c r="K572" s="231"/>
      <c r="L572" s="176"/>
      <c r="M572" s="176"/>
      <c r="N572" s="385">
        <f ca="1">IFERROR(__xludf.DUMMYFUNCTION("IMPORTRANGE(""https://docs.google.com/spreadsheets/d/1IYY_tgx_IHuhSq3AJ5eI5OnqOPBNLWSHKh2a30DoXe8/edit?usp=sharing"",""ยะลา!M467"")"),7820)</f>
        <v>7820</v>
      </c>
      <c r="O572" s="176"/>
      <c r="P572" s="176"/>
    </row>
    <row r="573" spans="1:16" ht="21.75" customHeight="1" x14ac:dyDescent="0.35">
      <c r="A573" s="183"/>
      <c r="B573" s="184"/>
      <c r="C573" s="184"/>
      <c r="D573" s="203"/>
      <c r="E573" s="202" t="s">
        <v>40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IFERROR(__xludf.DUMMYFUNCTION("IMPORTRANGE(""https://docs.google.com/spreadsheets/d/1IYY_tgx_IHuhSq3AJ5eI5OnqOPBNLWSHKh2a30DoXe8/edit?usp=sharing"",""ยะลา!I468"")"),150)</f>
        <v>150</v>
      </c>
      <c r="J573" s="426">
        <f ca="1">IFERROR(__xludf.DUMMYFUNCTION("IMPORTRANGE(""https://docs.google.com/spreadsheets/d/1IYY_tgx_IHuhSq3AJ5eI5OnqOPBNLWSHKh2a30DoXe8/edit?usp=sharing"",""ยะลา!J468"")"),226)</f>
        <v>226</v>
      </c>
      <c r="K573" s="209">
        <f ca="1">IF(I573&gt;0,J573*100/I573,0)</f>
        <v>150.66666666666666</v>
      </c>
      <c r="L573" s="189"/>
      <c r="M573" s="189"/>
      <c r="N573" s="189"/>
      <c r="O573" s="189"/>
      <c r="P573" s="189"/>
    </row>
    <row r="574" spans="1:16" ht="21.75" customHeight="1" x14ac:dyDescent="0.35">
      <c r="A574" s="183"/>
      <c r="B574" s="184"/>
      <c r="C574" s="184"/>
      <c r="D574" s="203"/>
      <c r="E574" s="203"/>
      <c r="F574" s="202" t="s">
        <v>210</v>
      </c>
      <c r="G574" s="204"/>
      <c r="H574" s="481"/>
      <c r="I574" s="168"/>
      <c r="J574" s="168"/>
      <c r="K574" s="169"/>
      <c r="L574" s="189"/>
      <c r="M574" s="189"/>
      <c r="N574" s="189"/>
      <c r="O574" s="189"/>
      <c r="P574" s="189"/>
    </row>
    <row r="575" spans="1:16" ht="21.75" customHeight="1" x14ac:dyDescent="0.35">
      <c r="A575" s="183"/>
      <c r="B575" s="184"/>
      <c r="C575" s="184"/>
      <c r="D575" s="203"/>
      <c r="E575" s="202" t="s">
        <v>40</v>
      </c>
      <c r="F575" s="202" t="s">
        <v>211</v>
      </c>
      <c r="G575" s="204"/>
      <c r="H575" s="481" t="s">
        <v>77</v>
      </c>
      <c r="I575" s="210">
        <f ca="1">IFERROR(__xludf.DUMMYFUNCTION("IMPORTRANGE(""https://docs.google.com/spreadsheets/d/1IYY_tgx_IHuhSq3AJ5eI5OnqOPBNLWSHKh2a30DoXe8/edit?usp=sharing"",""ยะลา!I470"")"),0)</f>
        <v>0</v>
      </c>
      <c r="J575" s="205">
        <f ca="1">IFERROR(__xludf.DUMMYFUNCTION("IMPORTRANGE(""https://docs.google.com/spreadsheets/d/1IYY_tgx_IHuhSq3AJ5eI5OnqOPBNLWSHKh2a30DoXe8/edit?usp=sharing"",""ยะลา!J470"")"),2)</f>
        <v>2</v>
      </c>
      <c r="K575" s="169">
        <f t="shared" ref="K575:K579" ca="1" si="123">IF(I575&gt;0,J575*100/I575,0)</f>
        <v>0</v>
      </c>
      <c r="L575" s="189"/>
      <c r="M575" s="189"/>
      <c r="N575" s="189"/>
      <c r="O575" s="189"/>
      <c r="P575" s="189"/>
    </row>
    <row r="576" spans="1:16" ht="21.75" customHeight="1" x14ac:dyDescent="0.35">
      <c r="A576" s="183"/>
      <c r="B576" s="184"/>
      <c r="C576" s="184"/>
      <c r="D576" s="203"/>
      <c r="E576" s="203"/>
      <c r="F576" s="202" t="s">
        <v>212</v>
      </c>
      <c r="G576" s="204"/>
      <c r="H576" s="481" t="s">
        <v>37</v>
      </c>
      <c r="I576" s="210">
        <f ca="1">IFERROR(__xludf.DUMMYFUNCTION("IMPORTRANGE(""https://docs.google.com/spreadsheets/d/1IYY_tgx_IHuhSq3AJ5eI5OnqOPBNLWSHKh2a30DoXe8/edit?usp=sharing"",""ยะลา!I471"")"),0)</f>
        <v>0</v>
      </c>
      <c r="J576" s="205">
        <f ca="1">IFERROR(__xludf.DUMMYFUNCTION("IMPORTRANGE(""https://docs.google.com/spreadsheets/d/1IYY_tgx_IHuhSq3AJ5eI5OnqOPBNLWSHKh2a30DoXe8/edit?usp=sharing"",""ยะลา!J471"")"),88)</f>
        <v>88</v>
      </c>
      <c r="K576" s="169">
        <f t="shared" ca="1" si="123"/>
        <v>0</v>
      </c>
      <c r="L576" s="189"/>
      <c r="M576" s="189"/>
      <c r="N576" s="189"/>
      <c r="O576" s="189"/>
      <c r="P576" s="189"/>
    </row>
    <row r="577" spans="1:16" ht="21.75" customHeight="1" x14ac:dyDescent="0.35">
      <c r="A577" s="183"/>
      <c r="B577" s="184"/>
      <c r="C577" s="184"/>
      <c r="D577" s="203"/>
      <c r="E577" s="203"/>
      <c r="F577" s="202" t="s">
        <v>213</v>
      </c>
      <c r="G577" s="204"/>
      <c r="H577" s="481" t="s">
        <v>37</v>
      </c>
      <c r="I577" s="210">
        <f ca="1">IFERROR(__xludf.DUMMYFUNCTION("IMPORTRANGE(""https://docs.google.com/spreadsheets/d/1IYY_tgx_IHuhSq3AJ5eI5OnqOPBNLWSHKh2a30DoXe8/edit?usp=sharing"",""ยะลา!I472"")"),0)</f>
        <v>0</v>
      </c>
      <c r="J577" s="196">
        <f ca="1">IFERROR(__xludf.DUMMYFUNCTION("IMPORTRANGE(""https://docs.google.com/spreadsheets/d/1IYY_tgx_IHuhSq3AJ5eI5OnqOPBNLWSHKh2a30DoXe8/edit?usp=sharing"",""ยะลา!J472"")"),138)</f>
        <v>138</v>
      </c>
      <c r="K577" s="169">
        <f t="shared" ca="1" si="123"/>
        <v>0</v>
      </c>
      <c r="L577" s="189"/>
      <c r="M577" s="189"/>
      <c r="N577" s="189"/>
      <c r="O577" s="189"/>
      <c r="P577" s="189"/>
    </row>
    <row r="578" spans="1:16" ht="21.75" customHeight="1" x14ac:dyDescent="0.35">
      <c r="A578" s="183"/>
      <c r="B578" s="184"/>
      <c r="C578" s="184"/>
      <c r="D578" s="203"/>
      <c r="E578" s="203"/>
      <c r="F578" s="202" t="s">
        <v>214</v>
      </c>
      <c r="G578" s="427"/>
      <c r="H578" s="481" t="s">
        <v>37</v>
      </c>
      <c r="I578" s="210">
        <f ca="1">IFERROR(__xludf.DUMMYFUNCTION("IMPORTRANGE(""https://docs.google.com/spreadsheets/d/1IYY_tgx_IHuhSq3AJ5eI5OnqOPBNLWSHKh2a30DoXe8/edit?usp=sharing"",""ยะลา!I473"")"),0)</f>
        <v>0</v>
      </c>
      <c r="J578" s="205">
        <f ca="1">IFERROR(__xludf.DUMMYFUNCTION("IMPORTRANGE(""https://docs.google.com/spreadsheets/d/1IYY_tgx_IHuhSq3AJ5eI5OnqOPBNLWSHKh2a30DoXe8/edit?usp=sharing"",""ยะลา!J473"")"),0)</f>
        <v>0</v>
      </c>
      <c r="K578" s="169">
        <f t="shared" ca="1" si="123"/>
        <v>0</v>
      </c>
      <c r="L578" s="189"/>
      <c r="M578" s="189"/>
      <c r="N578" s="189"/>
      <c r="O578" s="189"/>
      <c r="P578" s="189"/>
    </row>
    <row r="579" spans="1:16" ht="21.75" customHeight="1" x14ac:dyDescent="0.35">
      <c r="A579" s="183"/>
      <c r="B579" s="184"/>
      <c r="C579" s="184"/>
      <c r="D579" s="203"/>
      <c r="E579" s="203"/>
      <c r="F579" s="202" t="s">
        <v>215</v>
      </c>
      <c r="G579" s="427"/>
      <c r="H579" s="481" t="s">
        <v>37</v>
      </c>
      <c r="I579" s="210">
        <f ca="1">IFERROR(__xludf.DUMMYFUNCTION("IMPORTRANGE(""https://docs.google.com/spreadsheets/d/1IYY_tgx_IHuhSq3AJ5eI5OnqOPBNLWSHKh2a30DoXe8/edit?usp=sharing"",""ยะลา!I474"")"),0)</f>
        <v>0</v>
      </c>
      <c r="J579" s="205">
        <f ca="1">IFERROR(__xludf.DUMMYFUNCTION("IMPORTRANGE(""https://docs.google.com/spreadsheets/d/1IYY_tgx_IHuhSq3AJ5eI5OnqOPBNLWSHKh2a30DoXe8/edit?usp=sharing"",""ยะลา!J474"")"),0)</f>
        <v>0</v>
      </c>
      <c r="K579" s="169">
        <f t="shared" ca="1" si="123"/>
        <v>0</v>
      </c>
      <c r="L579" s="189"/>
      <c r="M579" s="189"/>
      <c r="N579" s="189"/>
      <c r="O579" s="189"/>
      <c r="P579" s="189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IFERROR(__xludf.DUMMYFUNCTION("IMPORTRANGE(""https://docs.google.com/spreadsheets/d/1IYY_tgx_IHuhSq3AJ5eI5OnqOPBNLWSHKh2a30DoXe8/edit?usp=sharing"",""ยะลา!I475"")"),0)</f>
        <v>0</v>
      </c>
      <c r="J580" s="377">
        <f ca="1">IFERROR(__xludf.DUMMYFUNCTION("IMPORTRANGE(""https://docs.google.com/spreadsheets/d/1IYY_tgx_IHuhSq3AJ5eI5OnqOPBNLWSHKh2a30DoXe8/edit?usp=sharing"",""ยะลา!J475"")"),0)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IFERROR(__xludf.DUMMYFUNCTION("IMPORTRANGE(""https://docs.google.com/spreadsheets/d/1IYY_tgx_IHuhSq3AJ5eI5OnqOPBNLWSHKh2a30DoXe8/edit?usp=sharing"",""ยะลา!L475"")"),0)</f>
        <v>0</v>
      </c>
      <c r="M580" s="379"/>
      <c r="N580" s="379">
        <f ca="1">IFERROR(__xludf.DUMMYFUNCTION("IMPORTRANGE(""https://docs.google.com/spreadsheets/d/1IYY_tgx_IHuhSq3AJ5eI5OnqOPBNLWSHKh2a30DoXe8/edit?usp=sharing"",""ยะลา!M475"")"),0)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164" t="s">
        <v>38</v>
      </c>
      <c r="E581" s="165"/>
      <c r="F581" s="165"/>
      <c r="G581" s="166" t="s">
        <v>39</v>
      </c>
      <c r="H581" s="167" t="s">
        <v>12</v>
      </c>
      <c r="I581" s="168" t="s">
        <v>40</v>
      </c>
      <c r="J581" s="168"/>
      <c r="K581" s="169"/>
      <c r="L581" s="170">
        <f ca="1">IFERROR(__xludf.DUMMYFUNCTION("IMPORTRANGE(""https://docs.google.com/spreadsheets/d/1IYY_tgx_IHuhSq3AJ5eI5OnqOPBNLWSHKh2a30DoXe8/edit?usp=sharing"",""ยะลา!L476"")"),0)</f>
        <v>0</v>
      </c>
      <c r="M581" s="170"/>
      <c r="N581" s="176">
        <f ca="1">IFERROR(__xludf.DUMMYFUNCTION("IMPORTRANGE(""https://docs.google.com/spreadsheets/d/1IYY_tgx_IHuhSq3AJ5eI5OnqOPBNLWSHKh2a30DoXe8/edit?usp=sharing"",""ยะลา!M476"")"),0)</f>
        <v>0</v>
      </c>
      <c r="O581" s="176">
        <f t="shared" ca="1" si="124"/>
        <v>0</v>
      </c>
      <c r="P581" s="176"/>
    </row>
    <row r="582" spans="1:16" ht="21.75" customHeight="1" x14ac:dyDescent="0.35">
      <c r="A582" s="162"/>
      <c r="B582" s="163"/>
      <c r="C582" s="163"/>
      <c r="D582" s="172"/>
      <c r="E582" s="165"/>
      <c r="F582" s="165" t="s">
        <v>40</v>
      </c>
      <c r="G582" s="166" t="s">
        <v>41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IFERROR(__xludf.DUMMYFUNCTION("IMPORTRANGE(""https://docs.google.com/spreadsheets/d/1IYY_tgx_IHuhSq3AJ5eI5OnqOPBNLWSHKh2a30DoXe8/edit?usp=sharing"",""ยะลา!L477"")"),0)</f>
        <v>0</v>
      </c>
      <c r="M582" s="171"/>
      <c r="N582" s="176">
        <f ca="1">IFERROR(__xludf.DUMMYFUNCTION("IMPORTRANGE(""https://docs.google.com/spreadsheets/d/1IYY_tgx_IHuhSq3AJ5eI5OnqOPBNLWSHKh2a30DoXe8/edit?usp=sharing"",""ยะลา!M477"")"),0)</f>
        <v>0</v>
      </c>
      <c r="O582" s="176">
        <f t="shared" ca="1" si="124"/>
        <v>0</v>
      </c>
      <c r="P582" s="176"/>
    </row>
    <row r="583" spans="1:16" ht="21.75" customHeight="1" x14ac:dyDescent="0.35">
      <c r="A583" s="162"/>
      <c r="B583" s="163"/>
      <c r="C583" s="163"/>
      <c r="D583" s="172"/>
      <c r="E583" s="165"/>
      <c r="F583" s="165"/>
      <c r="G583" s="380" t="s">
        <v>129</v>
      </c>
      <c r="H583" s="167" t="s">
        <v>12</v>
      </c>
      <c r="I583" s="168"/>
      <c r="J583" s="168"/>
      <c r="K583" s="169"/>
      <c r="L583" s="176">
        <f ca="1">IFERROR(__xludf.DUMMYFUNCTION("IMPORTRANGE(""https://docs.google.com/spreadsheets/d/1IYY_tgx_IHuhSq3AJ5eI5OnqOPBNLWSHKh2a30DoXe8/edit?usp=sharing"",""ยะลา!L478"")"),0)</f>
        <v>0</v>
      </c>
      <c r="M583" s="176"/>
      <c r="N583" s="176">
        <f ca="1">IFERROR(__xludf.DUMMYFUNCTION("IMPORTRANGE(""https://docs.google.com/spreadsheets/d/1IYY_tgx_IHuhSq3AJ5eI5OnqOPBNLWSHKh2a30DoXe8/edit?usp=sharing"",""ยะลา!M478"")"),0)</f>
        <v>0</v>
      </c>
      <c r="O583" s="176">
        <f t="shared" ca="1" si="124"/>
        <v>0</v>
      </c>
      <c r="P583" s="176"/>
    </row>
    <row r="584" spans="1:16" ht="21.75" customHeight="1" x14ac:dyDescent="0.35">
      <c r="A584" s="162"/>
      <c r="B584" s="163"/>
      <c r="C584" s="163"/>
      <c r="D584" s="172"/>
      <c r="E584" s="165"/>
      <c r="F584" s="165"/>
      <c r="G584" s="380" t="s">
        <v>130</v>
      </c>
      <c r="H584" s="167" t="s">
        <v>12</v>
      </c>
      <c r="I584" s="168"/>
      <c r="J584" s="168"/>
      <c r="K584" s="169"/>
      <c r="L584" s="176">
        <f ca="1">IFERROR(__xludf.DUMMYFUNCTION("IMPORTRANGE(""https://docs.google.com/spreadsheets/d/1IYY_tgx_IHuhSq3AJ5eI5OnqOPBNLWSHKh2a30DoXe8/edit?usp=sharing"",""ยะลา!L479"")"),0)</f>
        <v>0</v>
      </c>
      <c r="M584" s="176"/>
      <c r="N584" s="176">
        <f ca="1">IFERROR(__xludf.DUMMYFUNCTION("IMPORTRANGE(""https://docs.google.com/spreadsheets/d/1IYY_tgx_IHuhSq3AJ5eI5OnqOPBNLWSHKh2a30DoXe8/edit?usp=sharing"",""ยะลา!M479"")"),0)</f>
        <v>0</v>
      </c>
      <c r="O584" s="176">
        <f t="shared" ca="1" si="124"/>
        <v>0</v>
      </c>
      <c r="P584" s="176"/>
    </row>
    <row r="585" spans="1:16" ht="21.75" customHeight="1" x14ac:dyDescent="0.35">
      <c r="A585" s="381"/>
      <c r="B585" s="382"/>
      <c r="C585" s="163"/>
      <c r="D585" s="383"/>
      <c r="E585" s="165"/>
      <c r="F585" s="165"/>
      <c r="G585" s="384" t="s">
        <v>131</v>
      </c>
      <c r="H585" s="167" t="s">
        <v>12</v>
      </c>
      <c r="I585" s="195"/>
      <c r="J585" s="195"/>
      <c r="K585" s="231"/>
      <c r="L585" s="176"/>
      <c r="M585" s="176"/>
      <c r="N585" s="173">
        <f ca="1">IFERROR(__xludf.DUMMYFUNCTION("IMPORTRANGE(""https://docs.google.com/spreadsheets/d/1IYY_tgx_IHuhSq3AJ5eI5OnqOPBNLWSHKh2a30DoXe8/edit?usp=sharing"",""ยะลา!M480"")"),0)</f>
        <v>0</v>
      </c>
      <c r="O585" s="176"/>
      <c r="P585" s="176"/>
    </row>
    <row r="586" spans="1:16" ht="21.75" customHeight="1" x14ac:dyDescent="0.35">
      <c r="A586" s="381"/>
      <c r="B586" s="382"/>
      <c r="C586" s="163"/>
      <c r="D586" s="383"/>
      <c r="E586" s="165"/>
      <c r="F586" s="165"/>
      <c r="G586" s="384" t="s">
        <v>132</v>
      </c>
      <c r="H586" s="167" t="s">
        <v>12</v>
      </c>
      <c r="I586" s="195"/>
      <c r="J586" s="195"/>
      <c r="K586" s="231"/>
      <c r="L586" s="176"/>
      <c r="M586" s="176"/>
      <c r="N586" s="173">
        <f ca="1">IFERROR(__xludf.DUMMYFUNCTION("IMPORTRANGE(""https://docs.google.com/spreadsheets/d/1IYY_tgx_IHuhSq3AJ5eI5OnqOPBNLWSHKh2a30DoXe8/edit?usp=sharing"",""ยะลา!M481"")"),0)</f>
        <v>0</v>
      </c>
      <c r="O586" s="176"/>
      <c r="P586" s="176"/>
    </row>
    <row r="587" spans="1:16" ht="21.75" customHeight="1" x14ac:dyDescent="0.35">
      <c r="A587" s="381"/>
      <c r="B587" s="382"/>
      <c r="C587" s="163"/>
      <c r="D587" s="383"/>
      <c r="E587" s="165"/>
      <c r="F587" s="165"/>
      <c r="G587" s="384" t="s">
        <v>133</v>
      </c>
      <c r="H587" s="167" t="s">
        <v>12</v>
      </c>
      <c r="I587" s="195"/>
      <c r="J587" s="195"/>
      <c r="K587" s="231"/>
      <c r="L587" s="176"/>
      <c r="M587" s="176"/>
      <c r="N587" s="173">
        <f ca="1">IFERROR(__xludf.DUMMYFUNCTION("IMPORTRANGE(""https://docs.google.com/spreadsheets/d/1IYY_tgx_IHuhSq3AJ5eI5OnqOPBNLWSHKh2a30DoXe8/edit?usp=sharing"",""ยะลา!M482"")"),0)</f>
        <v>0</v>
      </c>
      <c r="O587" s="176"/>
      <c r="P587" s="176"/>
    </row>
    <row r="588" spans="1:16" ht="21.75" customHeight="1" x14ac:dyDescent="0.35">
      <c r="A588" s="381"/>
      <c r="B588" s="382"/>
      <c r="C588" s="163"/>
      <c r="D588" s="383"/>
      <c r="E588" s="165"/>
      <c r="F588" s="165"/>
      <c r="G588" s="384" t="s">
        <v>134</v>
      </c>
      <c r="H588" s="167" t="s">
        <v>12</v>
      </c>
      <c r="I588" s="195"/>
      <c r="J588" s="195"/>
      <c r="K588" s="231"/>
      <c r="L588" s="176"/>
      <c r="M588" s="176"/>
      <c r="N588" s="173">
        <f ca="1">IFERROR(__xludf.DUMMYFUNCTION("IMPORTRANGE(""https://docs.google.com/spreadsheets/d/1IYY_tgx_IHuhSq3AJ5eI5OnqOPBNLWSHKh2a30DoXe8/edit?usp=sharing"",""ยะลา!M483"")"),0)</f>
        <v>0</v>
      </c>
      <c r="O588" s="176"/>
      <c r="P588" s="176"/>
    </row>
    <row r="589" spans="1:16" ht="21.75" customHeight="1" x14ac:dyDescent="0.35">
      <c r="A589" s="484"/>
      <c r="B589" s="172"/>
      <c r="C589" s="163"/>
      <c r="D589" s="297"/>
      <c r="E589" s="202" t="s">
        <v>217</v>
      </c>
      <c r="F589" s="203"/>
      <c r="G589" s="204"/>
      <c r="H589" s="188" t="s">
        <v>36</v>
      </c>
      <c r="I589" s="347">
        <f ca="1">IFERROR(__xludf.DUMMYFUNCTION("IMPORTRANGE(""https://docs.google.com/spreadsheets/d/1IYY_tgx_IHuhSq3AJ5eI5OnqOPBNLWSHKh2a30DoXe8/edit?usp=sharing"",""ยะลา!I484"")"),0)</f>
        <v>0</v>
      </c>
      <c r="J589" s="195">
        <f ca="1">IFERROR(__xludf.DUMMYFUNCTION("IMPORTRANGE(""https://docs.google.com/spreadsheets/d/1IYY_tgx_IHuhSq3AJ5eI5OnqOPBNLWSHKh2a30DoXe8/edit?usp=sharing"",""ยะลา!J484"")"),0)</f>
        <v>0</v>
      </c>
      <c r="K589" s="169">
        <f t="shared" ref="K589:K596" ca="1" si="125">IF(I589&gt;0,J589*100/I589,0)</f>
        <v>0</v>
      </c>
      <c r="L589" s="189"/>
      <c r="M589" s="189"/>
      <c r="N589" s="176"/>
      <c r="O589" s="189"/>
      <c r="P589" s="189"/>
    </row>
    <row r="590" spans="1:16" ht="21.75" customHeight="1" x14ac:dyDescent="0.35">
      <c r="A590" s="484"/>
      <c r="B590" s="172"/>
      <c r="C590" s="163"/>
      <c r="D590" s="297"/>
      <c r="E590" s="203"/>
      <c r="F590" s="203"/>
      <c r="G590" s="204"/>
      <c r="H590" s="188" t="s">
        <v>122</v>
      </c>
      <c r="I590" s="351">
        <f ca="1">IFERROR(__xludf.DUMMYFUNCTION("IMPORTRANGE(""https://docs.google.com/spreadsheets/d/1IYY_tgx_IHuhSq3AJ5eI5OnqOPBNLWSHKh2a30DoXe8/edit?usp=sharing"",""ยะลา!I485"")"),0)</f>
        <v>0</v>
      </c>
      <c r="J590" s="195">
        <f ca="1">IFERROR(__xludf.DUMMYFUNCTION("IMPORTRANGE(""https://docs.google.com/spreadsheets/d/1IYY_tgx_IHuhSq3AJ5eI5OnqOPBNLWSHKh2a30DoXe8/edit?usp=sharing"",""ยะลา!J485"")"),0)</f>
        <v>0</v>
      </c>
      <c r="K590" s="485">
        <f t="shared" ca="1" si="125"/>
        <v>0</v>
      </c>
      <c r="L590" s="189"/>
      <c r="M590" s="189"/>
      <c r="N590" s="176"/>
      <c r="O590" s="189"/>
      <c r="P590" s="189"/>
    </row>
    <row r="591" spans="1:16" ht="21.75" customHeight="1" x14ac:dyDescent="0.35">
      <c r="A591" s="484"/>
      <c r="B591" s="172"/>
      <c r="C591" s="163"/>
      <c r="D591" s="297"/>
      <c r="E591" s="202" t="s">
        <v>123</v>
      </c>
      <c r="F591" s="203"/>
      <c r="G591" s="204"/>
      <c r="H591" s="188" t="s">
        <v>37</v>
      </c>
      <c r="I591" s="347">
        <f ca="1">IFERROR(__xludf.DUMMYFUNCTION("IMPORTRANGE(""https://docs.google.com/spreadsheets/d/1IYY_tgx_IHuhSq3AJ5eI5OnqOPBNLWSHKh2a30DoXe8/edit?usp=sharing"",""ยะลา!I486"")"),0)</f>
        <v>0</v>
      </c>
      <c r="J591" s="195">
        <f ca="1">IFERROR(__xludf.DUMMYFUNCTION("IMPORTRANGE(""https://docs.google.com/spreadsheets/d/1IYY_tgx_IHuhSq3AJ5eI5OnqOPBNLWSHKh2a30DoXe8/edit?usp=sharing"",""ยะลา!J486"")"),0)</f>
        <v>0</v>
      </c>
      <c r="K591" s="169">
        <f t="shared" ca="1" si="125"/>
        <v>0</v>
      </c>
      <c r="L591" s="189"/>
      <c r="M591" s="189"/>
      <c r="N591" s="189"/>
      <c r="O591" s="189"/>
      <c r="P591" s="189"/>
    </row>
    <row r="592" spans="1:16" ht="21.75" customHeight="1" x14ac:dyDescent="0.35">
      <c r="A592" s="484"/>
      <c r="B592" s="172"/>
      <c r="C592" s="163"/>
      <c r="D592" s="297"/>
      <c r="E592" s="203"/>
      <c r="F592" s="203"/>
      <c r="G592" s="204"/>
      <c r="H592" s="188" t="s">
        <v>122</v>
      </c>
      <c r="I592" s="351">
        <f ca="1">IFERROR(__xludf.DUMMYFUNCTION("IMPORTRANGE(""https://docs.google.com/spreadsheets/d/1IYY_tgx_IHuhSq3AJ5eI5OnqOPBNLWSHKh2a30DoXe8/edit?usp=sharing"",""ยะลา!I487"")"),0)</f>
        <v>0</v>
      </c>
      <c r="J592" s="195">
        <f ca="1">IFERROR(__xludf.DUMMYFUNCTION("IMPORTRANGE(""https://docs.google.com/spreadsheets/d/1IYY_tgx_IHuhSq3AJ5eI5OnqOPBNLWSHKh2a30DoXe8/edit?usp=sharing"",""ยะลา!J487"")"),0)</f>
        <v>0</v>
      </c>
      <c r="K592" s="348">
        <f t="shared" ca="1" si="125"/>
        <v>0</v>
      </c>
      <c r="L592" s="189"/>
      <c r="M592" s="189"/>
      <c r="N592" s="189"/>
      <c r="O592" s="189"/>
      <c r="P592" s="189"/>
    </row>
    <row r="593" spans="1:16" ht="21.75" customHeight="1" x14ac:dyDescent="0.35">
      <c r="A593" s="484"/>
      <c r="B593" s="172"/>
      <c r="C593" s="163"/>
      <c r="D593" s="297"/>
      <c r="E593" s="202" t="s">
        <v>124</v>
      </c>
      <c r="F593" s="203"/>
      <c r="G593" s="204"/>
      <c r="H593" s="188" t="s">
        <v>37</v>
      </c>
      <c r="I593" s="347">
        <f ca="1">IFERROR(__xludf.DUMMYFUNCTION("IMPORTRANGE(""https://docs.google.com/spreadsheets/d/1IYY_tgx_IHuhSq3AJ5eI5OnqOPBNLWSHKh2a30DoXe8/edit?usp=sharing"",""ยะลา!I488"")"),0)</f>
        <v>0</v>
      </c>
      <c r="J593" s="195">
        <f ca="1">IFERROR(__xludf.DUMMYFUNCTION("IMPORTRANGE(""https://docs.google.com/spreadsheets/d/1IYY_tgx_IHuhSq3AJ5eI5OnqOPBNLWSHKh2a30DoXe8/edit?usp=sharing"",""ยะลา!J488"")"),0)</f>
        <v>0</v>
      </c>
      <c r="K593" s="169">
        <f t="shared" ca="1" si="125"/>
        <v>0</v>
      </c>
      <c r="L593" s="189"/>
      <c r="M593" s="189"/>
      <c r="N593" s="189"/>
      <c r="O593" s="189"/>
      <c r="P593" s="189"/>
    </row>
    <row r="594" spans="1:16" ht="21.75" customHeight="1" x14ac:dyDescent="0.35">
      <c r="A594" s="484"/>
      <c r="B594" s="172"/>
      <c r="C594" s="163"/>
      <c r="D594" s="297"/>
      <c r="E594" s="203"/>
      <c r="F594" s="203"/>
      <c r="G594" s="204"/>
      <c r="H594" s="188" t="s">
        <v>122</v>
      </c>
      <c r="I594" s="351">
        <f ca="1">IFERROR(__xludf.DUMMYFUNCTION("IMPORTRANGE(""https://docs.google.com/spreadsheets/d/1IYY_tgx_IHuhSq3AJ5eI5OnqOPBNLWSHKh2a30DoXe8/edit?usp=sharing"",""ยะลา!I489"")"),0)</f>
        <v>0</v>
      </c>
      <c r="J594" s="195">
        <f ca="1">IFERROR(__xludf.DUMMYFUNCTION("IMPORTRANGE(""https://docs.google.com/spreadsheets/d/1IYY_tgx_IHuhSq3AJ5eI5OnqOPBNLWSHKh2a30DoXe8/edit?usp=sharing"",""ยะลา!J489"")"),0)</f>
        <v>0</v>
      </c>
      <c r="K594" s="348">
        <f t="shared" ca="1" si="125"/>
        <v>0</v>
      </c>
      <c r="L594" s="189"/>
      <c r="M594" s="189"/>
      <c r="N594" s="189"/>
      <c r="O594" s="189"/>
      <c r="P594" s="189"/>
    </row>
    <row r="595" spans="1:16" ht="21.75" customHeight="1" x14ac:dyDescent="0.35">
      <c r="A595" s="484"/>
      <c r="B595" s="172"/>
      <c r="C595" s="163"/>
      <c r="D595" s="297"/>
      <c r="E595" s="202" t="s">
        <v>125</v>
      </c>
      <c r="F595" s="203"/>
      <c r="G595" s="204"/>
      <c r="H595" s="188" t="s">
        <v>37</v>
      </c>
      <c r="I595" s="347">
        <f ca="1">IFERROR(__xludf.DUMMYFUNCTION("IMPORTRANGE(""https://docs.google.com/spreadsheets/d/1IYY_tgx_IHuhSq3AJ5eI5OnqOPBNLWSHKh2a30DoXe8/edit?usp=sharing"",""ยะลา!I490"")"),0)</f>
        <v>0</v>
      </c>
      <c r="J595" s="195">
        <f ca="1">IFERROR(__xludf.DUMMYFUNCTION("IMPORTRANGE(""https://docs.google.com/spreadsheets/d/1IYY_tgx_IHuhSq3AJ5eI5OnqOPBNLWSHKh2a30DoXe8/edit?usp=sharing"",""ยะลา!J490"")"),0)</f>
        <v>0</v>
      </c>
      <c r="K595" s="169">
        <f t="shared" ca="1" si="125"/>
        <v>0</v>
      </c>
      <c r="L595" s="189"/>
      <c r="M595" s="189"/>
      <c r="N595" s="189"/>
      <c r="O595" s="189"/>
      <c r="P595" s="189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IFERROR(__xludf.DUMMYFUNCTION("IMPORTRANGE(""https://docs.google.com/spreadsheets/d/1IYY_tgx_IHuhSq3AJ5eI5OnqOPBNLWSHKh2a30DoXe8/edit?usp=sharing"",""ยะลา!I491"")"),0)</f>
        <v>0</v>
      </c>
      <c r="J596" s="248">
        <f ca="1">IFERROR(__xludf.DUMMYFUNCTION("IMPORTRANGE(""https://docs.google.com/spreadsheets/d/1IYY_tgx_IHuhSq3AJ5eI5OnqOPBNLWSHKh2a30DoXe8/edit?usp=sharing"",""ยะลา!J491"")"),0)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IFERROR(__xludf.DUMMYFUNCTION("IMPORTRANGE(""https://docs.google.com/spreadsheets/d/1IYY_tgx_IHuhSq3AJ5eI5OnqOPBNLWSHKh2a30DoXe8/edit?usp=sharing"",""ยะลา!I492"")"),50)</f>
        <v>50</v>
      </c>
      <c r="J597" s="493">
        <f ca="1">IFERROR(__xludf.DUMMYFUNCTION("IMPORTRANGE(""https://docs.google.com/spreadsheets/d/1IYY_tgx_IHuhSq3AJ5eI5OnqOPBNLWSHKh2a30DoXe8/edit?usp=sharing"",""ยะลา!J492"")"),0)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IFERROR(__xludf.DUMMYFUNCTION("IMPORTRANGE(""https://docs.google.com/spreadsheets/d/1IYY_tgx_IHuhSq3AJ5eI5OnqOPBNLWSHKh2a30DoXe8/edit?usp=sharing"",""ยะลา!L492"")"),4550)</f>
        <v>4550</v>
      </c>
      <c r="M597" s="418"/>
      <c r="N597" s="418">
        <f ca="1">IFERROR(__xludf.DUMMYFUNCTION("IMPORTRANGE(""https://docs.google.com/spreadsheets/d/1IYY_tgx_IHuhSq3AJ5eI5OnqOPBNLWSHKh2a30DoXe8/edit?usp=sharing"",""ยะลา!M492"")"),0)</f>
        <v>0</v>
      </c>
      <c r="O597" s="418">
        <f t="shared" ref="O597:O601" ca="1" si="126">+IF(L597&gt;0,N597*100/L597,0)</f>
        <v>0</v>
      </c>
      <c r="P597" s="418"/>
    </row>
    <row r="598" spans="1:16" ht="21.75" customHeight="1" x14ac:dyDescent="0.35">
      <c r="A598" s="162"/>
      <c r="B598" s="163"/>
      <c r="C598" s="163" t="s">
        <v>16</v>
      </c>
      <c r="D598" s="164" t="s">
        <v>38</v>
      </c>
      <c r="E598" s="165"/>
      <c r="F598" s="165"/>
      <c r="G598" s="166" t="s">
        <v>39</v>
      </c>
      <c r="H598" s="167" t="s">
        <v>12</v>
      </c>
      <c r="I598" s="168" t="s">
        <v>40</v>
      </c>
      <c r="J598" s="168"/>
      <c r="K598" s="169"/>
      <c r="L598" s="170">
        <f ca="1">IFERROR(__xludf.DUMMYFUNCTION("IMPORTRANGE(""https://docs.google.com/spreadsheets/d/1IYY_tgx_IHuhSq3AJ5eI5OnqOPBNLWSHKh2a30DoXe8/edit?usp=sharing"",""ยะลา!L493"")"),0)</f>
        <v>0</v>
      </c>
      <c r="M598" s="170"/>
      <c r="N598" s="176">
        <f ca="1">IFERROR(__xludf.DUMMYFUNCTION("IMPORTRANGE(""https://docs.google.com/spreadsheets/d/1IYY_tgx_IHuhSq3AJ5eI5OnqOPBNLWSHKh2a30DoXe8/edit?usp=sharing"",""ยะลา!M493"")"),0)</f>
        <v>0</v>
      </c>
      <c r="O598" s="176">
        <f t="shared" ca="1" si="126"/>
        <v>0</v>
      </c>
      <c r="P598" s="176"/>
    </row>
    <row r="599" spans="1:16" ht="21.75" customHeight="1" x14ac:dyDescent="0.35">
      <c r="A599" s="162"/>
      <c r="B599" s="163"/>
      <c r="C599" s="163"/>
      <c r="D599" s="172"/>
      <c r="E599" s="165"/>
      <c r="F599" s="165" t="s">
        <v>40</v>
      </c>
      <c r="G599" s="166" t="s">
        <v>41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IFERROR(__xludf.DUMMYFUNCTION("IMPORTRANGE(""https://docs.google.com/spreadsheets/d/1IYY_tgx_IHuhSq3AJ5eI5OnqOPBNLWSHKh2a30DoXe8/edit?usp=sharing"",""ยะลา!L494"")"),4550)</f>
        <v>4550</v>
      </c>
      <c r="M599" s="171"/>
      <c r="N599" s="176">
        <f ca="1">IFERROR(__xludf.DUMMYFUNCTION("IMPORTRANGE(""https://docs.google.com/spreadsheets/d/1IYY_tgx_IHuhSq3AJ5eI5OnqOPBNLWSHKh2a30DoXe8/edit?usp=sharing"",""ยะลา!M494"")"),0)</f>
        <v>0</v>
      </c>
      <c r="O599" s="176">
        <f t="shared" ca="1" si="126"/>
        <v>0</v>
      </c>
      <c r="P599" s="176"/>
    </row>
    <row r="600" spans="1:16" ht="21.75" customHeight="1" x14ac:dyDescent="0.35">
      <c r="A600" s="162"/>
      <c r="B600" s="163"/>
      <c r="C600" s="163"/>
      <c r="D600" s="172"/>
      <c r="E600" s="165"/>
      <c r="F600" s="165"/>
      <c r="G600" s="380" t="s">
        <v>129</v>
      </c>
      <c r="H600" s="167" t="s">
        <v>12</v>
      </c>
      <c r="I600" s="168"/>
      <c r="J600" s="168"/>
      <c r="K600" s="169"/>
      <c r="L600" s="176">
        <f ca="1">IFERROR(__xludf.DUMMYFUNCTION("IMPORTRANGE(""https://docs.google.com/spreadsheets/d/1IYY_tgx_IHuhSq3AJ5eI5OnqOPBNLWSHKh2a30DoXe8/edit?usp=sharing"",""ยะลา!L495"")"),0)</f>
        <v>0</v>
      </c>
      <c r="M600" s="176"/>
      <c r="N600" s="176">
        <f ca="1">IFERROR(__xludf.DUMMYFUNCTION("IMPORTRANGE(""https://docs.google.com/spreadsheets/d/1IYY_tgx_IHuhSq3AJ5eI5OnqOPBNLWSHKh2a30DoXe8/edit?usp=sharing"",""ยะลา!M495"")"),0)</f>
        <v>0</v>
      </c>
      <c r="O600" s="176">
        <f t="shared" ca="1" si="126"/>
        <v>0</v>
      </c>
      <c r="P600" s="176"/>
    </row>
    <row r="601" spans="1:16" ht="21.75" customHeight="1" x14ac:dyDescent="0.35">
      <c r="A601" s="162"/>
      <c r="B601" s="163"/>
      <c r="C601" s="163"/>
      <c r="D601" s="172"/>
      <c r="E601" s="165"/>
      <c r="F601" s="165"/>
      <c r="G601" s="380" t="s">
        <v>130</v>
      </c>
      <c r="H601" s="167" t="s">
        <v>12</v>
      </c>
      <c r="I601" s="168"/>
      <c r="J601" s="168"/>
      <c r="K601" s="169"/>
      <c r="L601" s="176">
        <f ca="1">IFERROR(__xludf.DUMMYFUNCTION("IMPORTRANGE(""https://docs.google.com/spreadsheets/d/1IYY_tgx_IHuhSq3AJ5eI5OnqOPBNLWSHKh2a30DoXe8/edit?usp=sharing"",""ยะลา!L496"")"),4550)</f>
        <v>4550</v>
      </c>
      <c r="M601" s="176"/>
      <c r="N601" s="176">
        <f ca="1">IFERROR(__xludf.DUMMYFUNCTION("IMPORTRANGE(""https://docs.google.com/spreadsheets/d/1IYY_tgx_IHuhSq3AJ5eI5OnqOPBNLWSHKh2a30DoXe8/edit?usp=sharing"",""ยะลา!M496"")"),0)</f>
        <v>0</v>
      </c>
      <c r="O601" s="176">
        <f t="shared" ca="1" si="126"/>
        <v>0</v>
      </c>
      <c r="P601" s="176"/>
    </row>
    <row r="602" spans="1:16" ht="21.75" customHeight="1" x14ac:dyDescent="0.35">
      <c r="A602" s="381"/>
      <c r="B602" s="382"/>
      <c r="C602" s="163"/>
      <c r="D602" s="383"/>
      <c r="E602" s="165"/>
      <c r="F602" s="165"/>
      <c r="G602" s="384" t="s">
        <v>131</v>
      </c>
      <c r="H602" s="167" t="s">
        <v>12</v>
      </c>
      <c r="I602" s="195"/>
      <c r="J602" s="195"/>
      <c r="K602" s="231"/>
      <c r="L602" s="176"/>
      <c r="M602" s="176"/>
      <c r="N602" s="173">
        <f ca="1">IFERROR(__xludf.DUMMYFUNCTION("IMPORTRANGE(""https://docs.google.com/spreadsheets/d/1IYY_tgx_IHuhSq3AJ5eI5OnqOPBNLWSHKh2a30DoXe8/edit?usp=sharing"",""ยะลา!M497"")"),0)</f>
        <v>0</v>
      </c>
      <c r="O602" s="176"/>
      <c r="P602" s="176"/>
    </row>
    <row r="603" spans="1:16" ht="21.75" customHeight="1" x14ac:dyDescent="0.35">
      <c r="A603" s="381"/>
      <c r="B603" s="382"/>
      <c r="C603" s="163"/>
      <c r="D603" s="383"/>
      <c r="E603" s="165"/>
      <c r="F603" s="165"/>
      <c r="G603" s="384" t="s">
        <v>132</v>
      </c>
      <c r="H603" s="167" t="s">
        <v>12</v>
      </c>
      <c r="I603" s="195"/>
      <c r="J603" s="195"/>
      <c r="K603" s="231"/>
      <c r="L603" s="176"/>
      <c r="M603" s="176"/>
      <c r="N603" s="173">
        <f ca="1">IFERROR(__xludf.DUMMYFUNCTION("IMPORTRANGE(""https://docs.google.com/spreadsheets/d/1IYY_tgx_IHuhSq3AJ5eI5OnqOPBNLWSHKh2a30DoXe8/edit?usp=sharing"",""ยะลา!M498"")"),0)</f>
        <v>0</v>
      </c>
      <c r="O603" s="176"/>
      <c r="P603" s="176"/>
    </row>
    <row r="604" spans="1:16" ht="21.75" customHeight="1" x14ac:dyDescent="0.35">
      <c r="A604" s="381"/>
      <c r="B604" s="382"/>
      <c r="C604" s="163"/>
      <c r="D604" s="383"/>
      <c r="E604" s="165"/>
      <c r="F604" s="165"/>
      <c r="G604" s="384" t="s">
        <v>133</v>
      </c>
      <c r="H604" s="167" t="s">
        <v>12</v>
      </c>
      <c r="I604" s="195"/>
      <c r="J604" s="195"/>
      <c r="K604" s="231"/>
      <c r="L604" s="176"/>
      <c r="M604" s="176"/>
      <c r="N604" s="385">
        <f ca="1">IFERROR(__xludf.DUMMYFUNCTION("IMPORTRANGE(""https://docs.google.com/spreadsheets/d/1IYY_tgx_IHuhSq3AJ5eI5OnqOPBNLWSHKh2a30DoXe8/edit?usp=sharing"",""ยะลา!M499"")"),0)</f>
        <v>0</v>
      </c>
      <c r="O604" s="176"/>
      <c r="P604" s="176"/>
    </row>
    <row r="605" spans="1:16" ht="21.75" customHeight="1" x14ac:dyDescent="0.35">
      <c r="A605" s="381"/>
      <c r="B605" s="382"/>
      <c r="C605" s="163"/>
      <c r="D605" s="383"/>
      <c r="E605" s="165"/>
      <c r="F605" s="165"/>
      <c r="G605" s="384" t="s">
        <v>134</v>
      </c>
      <c r="H605" s="167" t="s">
        <v>12</v>
      </c>
      <c r="I605" s="195"/>
      <c r="J605" s="195"/>
      <c r="K605" s="231"/>
      <c r="L605" s="176"/>
      <c r="M605" s="176"/>
      <c r="N605" s="385">
        <f ca="1">IFERROR(__xludf.DUMMYFUNCTION("IMPORTRANGE(""https://docs.google.com/spreadsheets/d/1IYY_tgx_IHuhSq3AJ5eI5OnqOPBNLWSHKh2a30DoXe8/edit?usp=sharing"",""ยะลา!M500"")"),0)</f>
        <v>0</v>
      </c>
      <c r="O605" s="176"/>
      <c r="P605" s="176"/>
    </row>
    <row r="606" spans="1:16" ht="21.75" customHeight="1" x14ac:dyDescent="0.35">
      <c r="A606" s="183"/>
      <c r="B606" s="184"/>
      <c r="C606" s="163" t="s">
        <v>16</v>
      </c>
      <c r="D606" s="185" t="s">
        <v>44</v>
      </c>
      <c r="E606" s="186"/>
      <c r="F606" s="186"/>
      <c r="G606" s="187"/>
      <c r="H606" s="188"/>
      <c r="I606" s="168"/>
      <c r="J606" s="168"/>
      <c r="K606" s="169"/>
      <c r="L606" s="189"/>
      <c r="M606" s="189"/>
      <c r="N606" s="189"/>
      <c r="O606" s="189"/>
      <c r="P606" s="189"/>
    </row>
    <row r="607" spans="1:16" ht="21.75" customHeight="1" x14ac:dyDescent="0.35">
      <c r="A607" s="183"/>
      <c r="B607" s="184"/>
      <c r="C607" s="184"/>
      <c r="D607" s="190">
        <v>1</v>
      </c>
      <c r="E607" s="191" t="s">
        <v>45</v>
      </c>
      <c r="F607" s="192"/>
      <c r="G607" s="193"/>
      <c r="H607" s="194"/>
      <c r="I607" s="195"/>
      <c r="J607" s="205">
        <f ca="1">IFERROR(__xludf.DUMMYFUNCTION("IMPORTRANGE(""https://docs.google.com/spreadsheets/d/1IYY_tgx_IHuhSq3AJ5eI5OnqOPBNLWSHKh2a30DoXe8/edit?usp=sharing"",""ยะลา!J502"")"),0)</f>
        <v>0</v>
      </c>
      <c r="K607" s="169"/>
      <c r="L607" s="189"/>
      <c r="M607" s="189"/>
      <c r="N607" s="189"/>
      <c r="O607" s="189"/>
      <c r="P607" s="189"/>
    </row>
    <row r="608" spans="1:16" ht="21.75" customHeight="1" x14ac:dyDescent="0.35">
      <c r="A608" s="183"/>
      <c r="B608" s="184"/>
      <c r="C608" s="184"/>
      <c r="D608" s="197">
        <v>2</v>
      </c>
      <c r="E608" s="198" t="s">
        <v>46</v>
      </c>
      <c r="F608" s="199"/>
      <c r="G608" s="200"/>
      <c r="H608" s="194"/>
      <c r="I608" s="195"/>
      <c r="J608" s="205">
        <f ca="1">IFERROR(__xludf.DUMMYFUNCTION("IMPORTRANGE(""https://docs.google.com/spreadsheets/d/1IYY_tgx_IHuhSq3AJ5eI5OnqOPBNLWSHKh2a30DoXe8/edit?usp=sharing"",""ยะลา!J503"")"),1)</f>
        <v>1</v>
      </c>
      <c r="K608" s="169"/>
      <c r="L608" s="189" t="s">
        <v>40</v>
      </c>
      <c r="M608" s="189"/>
      <c r="N608" s="189" t="s">
        <v>40</v>
      </c>
      <c r="O608" s="189"/>
      <c r="P608" s="189"/>
    </row>
    <row r="609" spans="1:16" ht="21.75" hidden="1" customHeight="1" x14ac:dyDescent="0.35">
      <c r="A609" s="494"/>
      <c r="B609" s="495"/>
      <c r="C609" s="495"/>
      <c r="D609" s="496"/>
      <c r="E609" s="497" t="s">
        <v>47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IFERROR(__xludf.DUMMYFUNCTION("IMPORTRANGE(""https://docs.google.com/spreadsheets/d/1IYY_tgx_IHuhSq3AJ5eI5OnqOPBNLWSHKh2a30DoXe8/edit?usp=sharing"",""ยะลา!J166"")"),0)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48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IFERROR(__xludf.DUMMYFUNCTION("IMPORTRANGE(""https://docs.google.com/spreadsheets/d/1IYY_tgx_IHuhSq3AJ5eI5OnqOPBNLWSHKh2a30DoXe8/edit?usp=sharing"",""ยะลา!J166"")"),0)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3"/>
      <c r="B611" s="184"/>
      <c r="C611" s="184"/>
      <c r="D611" s="201"/>
      <c r="E611" s="203"/>
      <c r="F611" s="203" t="s">
        <v>219</v>
      </c>
      <c r="G611" s="204"/>
      <c r="H611" s="188" t="s">
        <v>122</v>
      </c>
      <c r="I611" s="195">
        <f ca="1">IFERROR(__xludf.DUMMYFUNCTION("IMPORTRANGE(""https://docs.google.com/spreadsheets/d/1IYY_tgx_IHuhSq3AJ5eI5OnqOPBNLWSHKh2a30DoXe8/edit?usp=sharing"",""ยะลา!I506"")"),50)</f>
        <v>50</v>
      </c>
      <c r="J611" s="168">
        <f ca="1">IFERROR(__xludf.DUMMYFUNCTION("IMPORTRANGE(""https://docs.google.com/spreadsheets/d/1IYY_tgx_IHuhSq3AJ5eI5OnqOPBNLWSHKh2a30DoXe8/edit?usp=sharing"",""ยะลา!J506"")"),0)</f>
        <v>0</v>
      </c>
      <c r="K611" s="169">
        <f t="shared" ref="K611:K619" ca="1" si="127">IF(I$611&gt;0,J611*100/I$611,0)</f>
        <v>0</v>
      </c>
      <c r="L611" s="189"/>
      <c r="M611" s="189"/>
      <c r="N611" s="189"/>
      <c r="O611" s="189"/>
      <c r="P611" s="189"/>
    </row>
    <row r="612" spans="1:16" ht="21.75" customHeight="1" x14ac:dyDescent="0.35">
      <c r="A612" s="183"/>
      <c r="B612" s="184"/>
      <c r="C612" s="184"/>
      <c r="D612" s="201"/>
      <c r="E612" s="206"/>
      <c r="F612" s="203"/>
      <c r="G612" s="233" t="s">
        <v>220</v>
      </c>
      <c r="H612" s="188" t="s">
        <v>122</v>
      </c>
      <c r="I612" s="211">
        <f ca="1">IFERROR(__xludf.DUMMYFUNCTION("IMPORTRANGE(""https://docs.google.com/spreadsheets/d/1IYY_tgx_IHuhSq3AJ5eI5OnqOPBNLWSHKh2a30DoXe8/edit?usp=sharing"",""ยะลา!I507"")"),0)</f>
        <v>0</v>
      </c>
      <c r="J612" s="205">
        <f ca="1">IFERROR(__xludf.DUMMYFUNCTION("IMPORTRANGE(""https://docs.google.com/spreadsheets/d/1IYY_tgx_IHuhSq3AJ5eI5OnqOPBNLWSHKh2a30DoXe8/edit?usp=sharing"",""ยะลา!J507"")"),0)</f>
        <v>0</v>
      </c>
      <c r="K612" s="169">
        <f t="shared" ca="1" si="127"/>
        <v>0</v>
      </c>
      <c r="L612" s="189"/>
      <c r="M612" s="189"/>
      <c r="N612" s="189"/>
      <c r="O612" s="189"/>
      <c r="P612" s="189"/>
    </row>
    <row r="613" spans="1:16" ht="21.75" customHeight="1" x14ac:dyDescent="0.35">
      <c r="A613" s="183"/>
      <c r="B613" s="184"/>
      <c r="C613" s="184"/>
      <c r="D613" s="201"/>
      <c r="E613" s="206"/>
      <c r="F613" s="203"/>
      <c r="G613" s="233" t="s">
        <v>221</v>
      </c>
      <c r="H613" s="188" t="s">
        <v>122</v>
      </c>
      <c r="I613" s="211">
        <f ca="1">IFERROR(__xludf.DUMMYFUNCTION("IMPORTRANGE(""https://docs.google.com/spreadsheets/d/1IYY_tgx_IHuhSq3AJ5eI5OnqOPBNLWSHKh2a30DoXe8/edit?usp=sharing"",""ยะลา!I508"")"),0)</f>
        <v>0</v>
      </c>
      <c r="J613" s="205">
        <f ca="1">IFERROR(__xludf.DUMMYFUNCTION("IMPORTRANGE(""https://docs.google.com/spreadsheets/d/1IYY_tgx_IHuhSq3AJ5eI5OnqOPBNLWSHKh2a30DoXe8/edit?usp=sharing"",""ยะลา!J508"")"),0)</f>
        <v>0</v>
      </c>
      <c r="K613" s="169">
        <f t="shared" ca="1" si="127"/>
        <v>0</v>
      </c>
      <c r="L613" s="189"/>
      <c r="M613" s="189"/>
      <c r="N613" s="189"/>
      <c r="O613" s="189"/>
      <c r="P613" s="189"/>
    </row>
    <row r="614" spans="1:16" ht="21.75" customHeight="1" x14ac:dyDescent="0.35">
      <c r="A614" s="183"/>
      <c r="B614" s="184"/>
      <c r="C614" s="184"/>
      <c r="D614" s="201"/>
      <c r="E614" s="206"/>
      <c r="F614" s="203"/>
      <c r="G614" s="233" t="s">
        <v>222</v>
      </c>
      <c r="H614" s="188" t="s">
        <v>122</v>
      </c>
      <c r="I614" s="211">
        <f ca="1">IFERROR(__xludf.DUMMYFUNCTION("IMPORTRANGE(""https://docs.google.com/spreadsheets/d/1IYY_tgx_IHuhSq3AJ5eI5OnqOPBNLWSHKh2a30DoXe8/edit?usp=sharing"",""ยะลา!I509"")"),0)</f>
        <v>0</v>
      </c>
      <c r="J614" s="205">
        <f ca="1">IFERROR(__xludf.DUMMYFUNCTION("IMPORTRANGE(""https://docs.google.com/spreadsheets/d/1IYY_tgx_IHuhSq3AJ5eI5OnqOPBNLWSHKh2a30DoXe8/edit?usp=sharing"",""ยะลา!J509"")"),0)</f>
        <v>0</v>
      </c>
      <c r="K614" s="169">
        <f t="shared" ca="1" si="127"/>
        <v>0</v>
      </c>
      <c r="L614" s="189"/>
      <c r="M614" s="189"/>
      <c r="N614" s="189"/>
      <c r="O614" s="189"/>
      <c r="P614" s="189"/>
    </row>
    <row r="615" spans="1:16" ht="21.75" customHeight="1" x14ac:dyDescent="0.35">
      <c r="A615" s="183"/>
      <c r="B615" s="184"/>
      <c r="C615" s="184"/>
      <c r="D615" s="201"/>
      <c r="E615" s="206"/>
      <c r="F615" s="203"/>
      <c r="G615" s="233" t="s">
        <v>223</v>
      </c>
      <c r="H615" s="188" t="s">
        <v>122</v>
      </c>
      <c r="I615" s="211">
        <f ca="1">IFERROR(__xludf.DUMMYFUNCTION("IMPORTRANGE(""https://docs.google.com/spreadsheets/d/1IYY_tgx_IHuhSq3AJ5eI5OnqOPBNLWSHKh2a30DoXe8/edit?usp=sharing"",""ยะลา!I510"")"),0)</f>
        <v>0</v>
      </c>
      <c r="J615" s="205">
        <f ca="1">IFERROR(__xludf.DUMMYFUNCTION("IMPORTRANGE(""https://docs.google.com/spreadsheets/d/1IYY_tgx_IHuhSq3AJ5eI5OnqOPBNLWSHKh2a30DoXe8/edit?usp=sharing"",""ยะลา!J510"")"),0)</f>
        <v>0</v>
      </c>
      <c r="K615" s="169">
        <f t="shared" ca="1" si="127"/>
        <v>0</v>
      </c>
      <c r="L615" s="189"/>
      <c r="M615" s="189"/>
      <c r="N615" s="189"/>
      <c r="O615" s="189"/>
      <c r="P615" s="189"/>
    </row>
    <row r="616" spans="1:16" ht="21.75" customHeight="1" x14ac:dyDescent="0.35">
      <c r="A616" s="183"/>
      <c r="B616" s="184"/>
      <c r="C616" s="184"/>
      <c r="D616" s="201"/>
      <c r="E616" s="206"/>
      <c r="F616" s="203"/>
      <c r="G616" s="202" t="s">
        <v>224</v>
      </c>
      <c r="H616" s="188" t="s">
        <v>122</v>
      </c>
      <c r="I616" s="211">
        <f ca="1">IFERROR(__xludf.DUMMYFUNCTION("IMPORTRANGE(""https://docs.google.com/spreadsheets/d/1IYY_tgx_IHuhSq3AJ5eI5OnqOPBNLWSHKh2a30DoXe8/edit?usp=sharing"",""ยะลา!I511"")"),0)</f>
        <v>0</v>
      </c>
      <c r="J616" s="205">
        <f ca="1">IFERROR(__xludf.DUMMYFUNCTION("IMPORTRANGE(""https://docs.google.com/spreadsheets/d/1IYY_tgx_IHuhSq3AJ5eI5OnqOPBNLWSHKh2a30DoXe8/edit?usp=sharing"",""ยะลา!J511"")"),0)</f>
        <v>0</v>
      </c>
      <c r="K616" s="169">
        <f t="shared" ca="1" si="127"/>
        <v>0</v>
      </c>
      <c r="L616" s="189"/>
      <c r="M616" s="189"/>
      <c r="N616" s="189"/>
      <c r="O616" s="189"/>
      <c r="P616" s="189"/>
    </row>
    <row r="617" spans="1:16" ht="21.75" customHeight="1" x14ac:dyDescent="0.35">
      <c r="A617" s="183"/>
      <c r="B617" s="184"/>
      <c r="C617" s="184"/>
      <c r="D617" s="201"/>
      <c r="E617" s="206"/>
      <c r="F617" s="203"/>
      <c r="G617" s="202" t="s">
        <v>225</v>
      </c>
      <c r="H617" s="188" t="s">
        <v>122</v>
      </c>
      <c r="I617" s="195">
        <f ca="1">IFERROR(__xludf.DUMMYFUNCTION("IMPORTRANGE(""https://docs.google.com/spreadsheets/d/1IYY_tgx_IHuhSq3AJ5eI5OnqOPBNLWSHKh2a30DoXe8/edit?usp=sharing"",""ยะลา!I512"")"),0)</f>
        <v>0</v>
      </c>
      <c r="J617" s="195">
        <f ca="1">IFERROR(__xludf.DUMMYFUNCTION("IMPORTRANGE(""https://docs.google.com/spreadsheets/d/1IYY_tgx_IHuhSq3AJ5eI5OnqOPBNLWSHKh2a30DoXe8/edit?usp=sharing"",""ยะลา!J512"")"),0)</f>
        <v>0</v>
      </c>
      <c r="K617" s="169">
        <f t="shared" ca="1" si="127"/>
        <v>0</v>
      </c>
      <c r="L617" s="189"/>
      <c r="M617" s="189"/>
      <c r="N617" s="189"/>
      <c r="O617" s="189"/>
      <c r="P617" s="189"/>
    </row>
    <row r="618" spans="1:16" ht="21.75" customHeight="1" x14ac:dyDescent="0.35">
      <c r="A618" s="183"/>
      <c r="B618" s="184"/>
      <c r="C618" s="184"/>
      <c r="D618" s="201"/>
      <c r="E618" s="206"/>
      <c r="F618" s="203"/>
      <c r="G618" s="504" t="s">
        <v>226</v>
      </c>
      <c r="H618" s="188" t="s">
        <v>122</v>
      </c>
      <c r="I618" s="211">
        <f ca="1">IFERROR(__xludf.DUMMYFUNCTION("IMPORTRANGE(""https://docs.google.com/spreadsheets/d/1IYY_tgx_IHuhSq3AJ5eI5OnqOPBNLWSHKh2a30DoXe8/edit?usp=sharing"",""ยะลา!I513"")"),0)</f>
        <v>0</v>
      </c>
      <c r="J618" s="196">
        <f ca="1">IFERROR(__xludf.DUMMYFUNCTION("IMPORTRANGE(""https://docs.google.com/spreadsheets/d/1IYY_tgx_IHuhSq3AJ5eI5OnqOPBNLWSHKh2a30DoXe8/edit?usp=sharing"",""ยะลา!J513"")"),0)</f>
        <v>0</v>
      </c>
      <c r="K618" s="169">
        <f t="shared" ca="1" si="127"/>
        <v>0</v>
      </c>
      <c r="L618" s="189"/>
      <c r="M618" s="189"/>
      <c r="N618" s="189"/>
      <c r="O618" s="189"/>
      <c r="P618" s="189"/>
    </row>
    <row r="619" spans="1:16" ht="21.75" customHeight="1" x14ac:dyDescent="0.35">
      <c r="A619" s="183"/>
      <c r="B619" s="184"/>
      <c r="C619" s="184"/>
      <c r="D619" s="201"/>
      <c r="E619" s="206"/>
      <c r="F619" s="203"/>
      <c r="G619" s="504" t="s">
        <v>227</v>
      </c>
      <c r="H619" s="188" t="s">
        <v>122</v>
      </c>
      <c r="I619" s="211">
        <f ca="1">IFERROR(__xludf.DUMMYFUNCTION("IMPORTRANGE(""https://docs.google.com/spreadsheets/d/1IYY_tgx_IHuhSq3AJ5eI5OnqOPBNLWSHKh2a30DoXe8/edit?usp=sharing"",""ยะลา!I514"")"),0)</f>
        <v>0</v>
      </c>
      <c r="J619" s="196">
        <f ca="1">IFERROR(__xludf.DUMMYFUNCTION("IMPORTRANGE(""https://docs.google.com/spreadsheets/d/1IYY_tgx_IHuhSq3AJ5eI5OnqOPBNLWSHKh2a30DoXe8/edit?usp=sharing"",""ยะลา!J514"")"),0)</f>
        <v>0</v>
      </c>
      <c r="K619" s="169">
        <f t="shared" ca="1" si="127"/>
        <v>0</v>
      </c>
      <c r="L619" s="189"/>
      <c r="M619" s="189"/>
      <c r="N619" s="189"/>
      <c r="O619" s="189"/>
      <c r="P619" s="189"/>
    </row>
    <row r="620" spans="1:16" ht="21.75" customHeight="1" x14ac:dyDescent="0.35">
      <c r="A620" s="183"/>
      <c r="B620" s="184"/>
      <c r="C620" s="184"/>
      <c r="D620" s="201"/>
      <c r="E620" s="203"/>
      <c r="F620" s="202" t="s">
        <v>228</v>
      </c>
      <c r="G620" s="204"/>
      <c r="H620" s="188" t="s">
        <v>122</v>
      </c>
      <c r="I620" s="195">
        <f ca="1">IFERROR(__xludf.DUMMYFUNCTION("IMPORTRANGE(""https://docs.google.com/spreadsheets/d/1IYY_tgx_IHuhSq3AJ5eI5OnqOPBNLWSHKh2a30DoXe8/edit?usp=sharing"",""ยะลา!I515"")"),0)</f>
        <v>0</v>
      </c>
      <c r="J620" s="210">
        <f ca="1">IFERROR(__xludf.DUMMYFUNCTION("IMPORTRANGE(""https://docs.google.com/spreadsheets/d/1IYY_tgx_IHuhSq3AJ5eI5OnqOPBNLWSHKh2a30DoXe8/edit?usp=sharing"",""ยะลา!J515"")"),0)</f>
        <v>0</v>
      </c>
      <c r="K620" s="169">
        <f t="shared" ref="K620:K626" ca="1" si="128">IF(I$620&gt;0,J620*100/I$620,0)</f>
        <v>0</v>
      </c>
      <c r="L620" s="189"/>
      <c r="M620" s="189"/>
      <c r="N620" s="189"/>
      <c r="O620" s="189"/>
      <c r="P620" s="189"/>
    </row>
    <row r="621" spans="1:16" ht="21.75" customHeight="1" x14ac:dyDescent="0.35">
      <c r="A621" s="183"/>
      <c r="B621" s="184"/>
      <c r="C621" s="184"/>
      <c r="D621" s="201"/>
      <c r="E621" s="206"/>
      <c r="F621" s="203"/>
      <c r="G621" s="233" t="s">
        <v>225</v>
      </c>
      <c r="H621" s="188" t="s">
        <v>122</v>
      </c>
      <c r="I621" s="210">
        <f ca="1">IFERROR(__xludf.DUMMYFUNCTION("IMPORTRANGE(""https://docs.google.com/spreadsheets/d/1IYY_tgx_IHuhSq3AJ5eI5OnqOPBNLWSHKh2a30DoXe8/edit?usp=sharing"",""ยะลา!I516"")"),0)</f>
        <v>0</v>
      </c>
      <c r="J621" s="210">
        <f ca="1">IFERROR(__xludf.DUMMYFUNCTION("IMPORTRANGE(""https://docs.google.com/spreadsheets/d/1IYY_tgx_IHuhSq3AJ5eI5OnqOPBNLWSHKh2a30DoXe8/edit?usp=sharing"",""ยะลา!J516"")"),0)</f>
        <v>0</v>
      </c>
      <c r="K621" s="169">
        <f t="shared" ca="1" si="128"/>
        <v>0</v>
      </c>
      <c r="L621" s="189"/>
      <c r="M621" s="189"/>
      <c r="N621" s="189"/>
      <c r="O621" s="189"/>
      <c r="P621" s="189"/>
    </row>
    <row r="622" spans="1:16" ht="21.75" customHeight="1" x14ac:dyDescent="0.35">
      <c r="A622" s="183"/>
      <c r="B622" s="184"/>
      <c r="C622" s="184"/>
      <c r="D622" s="201"/>
      <c r="E622" s="206"/>
      <c r="F622" s="203"/>
      <c r="G622" s="504" t="s">
        <v>226</v>
      </c>
      <c r="H622" s="188" t="s">
        <v>122</v>
      </c>
      <c r="I622" s="211">
        <f ca="1">IFERROR(__xludf.DUMMYFUNCTION("IMPORTRANGE(""https://docs.google.com/spreadsheets/d/1IYY_tgx_IHuhSq3AJ5eI5OnqOPBNLWSHKh2a30DoXe8/edit?usp=sharing"",""ยะลา!I517"")"),0)</f>
        <v>0</v>
      </c>
      <c r="J622" s="196">
        <f ca="1">IFERROR(__xludf.DUMMYFUNCTION("IMPORTRANGE(""https://docs.google.com/spreadsheets/d/1IYY_tgx_IHuhSq3AJ5eI5OnqOPBNLWSHKh2a30DoXe8/edit?usp=sharing"",""ยะลา!J517"")"),0)</f>
        <v>0</v>
      </c>
      <c r="K622" s="169">
        <f t="shared" ca="1" si="128"/>
        <v>0</v>
      </c>
      <c r="L622" s="189"/>
      <c r="M622" s="189"/>
      <c r="N622" s="189"/>
      <c r="O622" s="189"/>
      <c r="P622" s="189"/>
    </row>
    <row r="623" spans="1:16" ht="21.75" customHeight="1" x14ac:dyDescent="0.35">
      <c r="A623" s="183"/>
      <c r="B623" s="184"/>
      <c r="C623" s="184"/>
      <c r="D623" s="201"/>
      <c r="E623" s="206"/>
      <c r="F623" s="203"/>
      <c r="G623" s="504" t="s">
        <v>227</v>
      </c>
      <c r="H623" s="188" t="s">
        <v>122</v>
      </c>
      <c r="I623" s="211">
        <f ca="1">IFERROR(__xludf.DUMMYFUNCTION("IMPORTRANGE(""https://docs.google.com/spreadsheets/d/1IYY_tgx_IHuhSq3AJ5eI5OnqOPBNLWSHKh2a30DoXe8/edit?usp=sharing"",""ยะลา!I518"")"),0)</f>
        <v>0</v>
      </c>
      <c r="J623" s="196">
        <f ca="1">IFERROR(__xludf.DUMMYFUNCTION("IMPORTRANGE(""https://docs.google.com/spreadsheets/d/1IYY_tgx_IHuhSq3AJ5eI5OnqOPBNLWSHKh2a30DoXe8/edit?usp=sharing"",""ยะลา!J518"")"),0)</f>
        <v>0</v>
      </c>
      <c r="K623" s="169">
        <f t="shared" ca="1" si="128"/>
        <v>0</v>
      </c>
      <c r="L623" s="189"/>
      <c r="M623" s="189"/>
      <c r="N623" s="189"/>
      <c r="O623" s="189"/>
      <c r="P623" s="189"/>
    </row>
    <row r="624" spans="1:16" ht="21.75" customHeight="1" x14ac:dyDescent="0.35">
      <c r="A624" s="183"/>
      <c r="B624" s="184"/>
      <c r="C624" s="184"/>
      <c r="D624" s="201"/>
      <c r="E624" s="206"/>
      <c r="F624" s="203"/>
      <c r="G624" s="233" t="s">
        <v>229</v>
      </c>
      <c r="H624" s="188" t="s">
        <v>122</v>
      </c>
      <c r="I624" s="195">
        <f ca="1">IFERROR(__xludf.DUMMYFUNCTION("IMPORTRANGE(""https://docs.google.com/spreadsheets/d/1IYY_tgx_IHuhSq3AJ5eI5OnqOPBNLWSHKh2a30DoXe8/edit?usp=sharing"",""ยะลา!I519"")"),0)</f>
        <v>0</v>
      </c>
      <c r="J624" s="195">
        <f ca="1">IFERROR(__xludf.DUMMYFUNCTION("IMPORTRANGE(""https://docs.google.com/spreadsheets/d/1IYY_tgx_IHuhSq3AJ5eI5OnqOPBNLWSHKh2a30DoXe8/edit?usp=sharing"",""ยะลา!J519"")"),0)</f>
        <v>0</v>
      </c>
      <c r="K624" s="169">
        <f t="shared" ca="1" si="128"/>
        <v>0</v>
      </c>
      <c r="L624" s="189"/>
      <c r="M624" s="189"/>
      <c r="N624" s="189"/>
      <c r="O624" s="189"/>
      <c r="P624" s="189"/>
    </row>
    <row r="625" spans="1:16" ht="21.75" customHeight="1" x14ac:dyDescent="0.35">
      <c r="A625" s="183"/>
      <c r="B625" s="184"/>
      <c r="C625" s="184"/>
      <c r="D625" s="201"/>
      <c r="E625" s="206"/>
      <c r="F625" s="203"/>
      <c r="G625" s="504" t="s">
        <v>230</v>
      </c>
      <c r="H625" s="188" t="s">
        <v>122</v>
      </c>
      <c r="I625" s="211">
        <f ca="1">IFERROR(__xludf.DUMMYFUNCTION("IMPORTRANGE(""https://docs.google.com/spreadsheets/d/1IYY_tgx_IHuhSq3AJ5eI5OnqOPBNLWSHKh2a30DoXe8/edit?usp=sharing"",""ยะลา!I520"")"),0)</f>
        <v>0</v>
      </c>
      <c r="J625" s="196">
        <f ca="1">IFERROR(__xludf.DUMMYFUNCTION("IMPORTRANGE(""https://docs.google.com/spreadsheets/d/1IYY_tgx_IHuhSq3AJ5eI5OnqOPBNLWSHKh2a30DoXe8/edit?usp=sharing"",""ยะลา!J520"")"),0)</f>
        <v>0</v>
      </c>
      <c r="K625" s="169">
        <f t="shared" ca="1" si="128"/>
        <v>0</v>
      </c>
      <c r="L625" s="189"/>
      <c r="M625" s="189"/>
      <c r="N625" s="189"/>
      <c r="O625" s="189"/>
      <c r="P625" s="189"/>
    </row>
    <row r="626" spans="1:16" ht="21.75" customHeight="1" x14ac:dyDescent="0.35">
      <c r="A626" s="183"/>
      <c r="B626" s="184"/>
      <c r="C626" s="184"/>
      <c r="D626" s="201"/>
      <c r="E626" s="206"/>
      <c r="F626" s="203"/>
      <c r="G626" s="504" t="s">
        <v>231</v>
      </c>
      <c r="H626" s="188" t="s">
        <v>122</v>
      </c>
      <c r="I626" s="211">
        <f ca="1">IFERROR(__xludf.DUMMYFUNCTION("IMPORTRANGE(""https://docs.google.com/spreadsheets/d/1IYY_tgx_IHuhSq3AJ5eI5OnqOPBNLWSHKh2a30DoXe8/edit?usp=sharing"",""ยะลา!I521"")"),0)</f>
        <v>0</v>
      </c>
      <c r="J626" s="196">
        <f ca="1">IFERROR(__xludf.DUMMYFUNCTION("IMPORTRANGE(""https://docs.google.com/spreadsheets/d/1IYY_tgx_IHuhSq3AJ5eI5OnqOPBNLWSHKh2a30DoXe8/edit?usp=sharing"",""ยะลา!J521"")"),0)</f>
        <v>0</v>
      </c>
      <c r="K626" s="169">
        <f t="shared" ca="1" si="128"/>
        <v>0</v>
      </c>
      <c r="L626" s="189"/>
      <c r="M626" s="189"/>
      <c r="N626" s="189"/>
      <c r="O626" s="189"/>
      <c r="P626" s="189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2"/>
      <c r="E628" s="165"/>
      <c r="F628" s="165"/>
      <c r="G628" s="166"/>
      <c r="H628" s="513" t="s">
        <v>12</v>
      </c>
      <c r="I628" s="347">
        <f ca="1">IFERROR(__xludf.DUMMYFUNCTION("IMPORTRANGE(""https://docs.google.com/spreadsheets/d/1IYY_tgx_IHuhSq3AJ5eI5OnqOPBNLWSHKh2a30DoXe8/edit?usp=sharing"",""ยะลา!I523"")"),598614.42)</f>
        <v>598614.42000000004</v>
      </c>
      <c r="J628" s="347">
        <f ca="1">IFERROR(__xludf.DUMMYFUNCTION("IMPORTRANGE(""https://docs.google.com/spreadsheets/d/1IYY_tgx_IHuhSq3AJ5eI5OnqOPBNLWSHKh2a30DoXe8/edit?usp=sharing"",""ยะลา!J523"")"),52608.31)</f>
        <v>52608.31</v>
      </c>
      <c r="K628" s="348">
        <f t="shared" ref="K628:K635" ca="1" si="129">IF(I628&gt;0,J628*100/I628,0)</f>
        <v>8.7883465954595614</v>
      </c>
      <c r="L628" s="348"/>
      <c r="M628" s="348"/>
      <c r="N628" s="348"/>
      <c r="O628" s="176"/>
      <c r="P628" s="176"/>
    </row>
    <row r="629" spans="1:16" ht="21.75" customHeight="1" x14ac:dyDescent="0.35">
      <c r="A629" s="484"/>
      <c r="B629" s="163"/>
      <c r="C629" s="163"/>
      <c r="D629" s="172"/>
      <c r="E629" s="165"/>
      <c r="F629" s="165"/>
      <c r="G629" s="166"/>
      <c r="H629" s="513" t="s">
        <v>37</v>
      </c>
      <c r="I629" s="347">
        <f ca="1">IFERROR(__xludf.DUMMYFUNCTION("IMPORTRANGE(""https://docs.google.com/spreadsheets/d/1IYY_tgx_IHuhSq3AJ5eI5OnqOPBNLWSHKh2a30DoXe8/edit?usp=sharing"",""ยะลา!I524"")"),52)</f>
        <v>52</v>
      </c>
      <c r="J629" s="347">
        <f ca="1">IFERROR(__xludf.DUMMYFUNCTION("IMPORTRANGE(""https://docs.google.com/spreadsheets/d/1IYY_tgx_IHuhSq3AJ5eI5OnqOPBNLWSHKh2a30DoXe8/edit?usp=sharing"",""ยะลา!J524"")"),8)</f>
        <v>8</v>
      </c>
      <c r="K629" s="348">
        <f t="shared" ca="1" si="129"/>
        <v>15.384615384615385</v>
      </c>
      <c r="L629" s="348"/>
      <c r="M629" s="348"/>
      <c r="N629" s="348"/>
      <c r="O629" s="176"/>
      <c r="P629" s="176"/>
    </row>
    <row r="630" spans="1:16" ht="21.75" customHeight="1" x14ac:dyDescent="0.35">
      <c r="A630" s="484"/>
      <c r="B630" s="512" t="s">
        <v>234</v>
      </c>
      <c r="C630" s="163"/>
      <c r="D630" s="172"/>
      <c r="E630" s="165"/>
      <c r="F630" s="165"/>
      <c r="G630" s="166"/>
      <c r="H630" s="513" t="s">
        <v>12</v>
      </c>
      <c r="I630" s="347">
        <f ca="1">IFERROR(__xludf.DUMMYFUNCTION("IMPORTRANGE(""https://docs.google.com/spreadsheets/d/1IYY_tgx_IHuhSq3AJ5eI5OnqOPBNLWSHKh2a30DoXe8/edit?usp=sharing"",""ยะลา!I525"")"),17653.7)</f>
        <v>17653.7</v>
      </c>
      <c r="J630" s="347">
        <f ca="1">IFERROR(__xludf.DUMMYFUNCTION("IMPORTRANGE(""https://docs.google.com/spreadsheets/d/1IYY_tgx_IHuhSq3AJ5eI5OnqOPBNLWSHKh2a30DoXe8/edit?usp=sharing"",""ยะลา!J525"")"),21752.1)</f>
        <v>21752.1</v>
      </c>
      <c r="K630" s="348">
        <f t="shared" ca="1" si="129"/>
        <v>123.21552988891847</v>
      </c>
      <c r="L630" s="348"/>
      <c r="M630" s="348"/>
      <c r="N630" s="348"/>
      <c r="O630" s="176"/>
      <c r="P630" s="176"/>
    </row>
    <row r="631" spans="1:16" ht="21.75" customHeight="1" x14ac:dyDescent="0.35">
      <c r="A631" s="484"/>
      <c r="B631" s="163"/>
      <c r="C631" s="163"/>
      <c r="D631" s="172"/>
      <c r="E631" s="165"/>
      <c r="F631" s="165"/>
      <c r="G631" s="166"/>
      <c r="H631" s="513" t="s">
        <v>37</v>
      </c>
      <c r="I631" s="347">
        <f ca="1">IFERROR(__xludf.DUMMYFUNCTION("IMPORTRANGE(""https://docs.google.com/spreadsheets/d/1IYY_tgx_IHuhSq3AJ5eI5OnqOPBNLWSHKh2a30DoXe8/edit?usp=sharing"",""ยะลา!I526"")"),1)</f>
        <v>1</v>
      </c>
      <c r="J631" s="347">
        <f ca="1">IFERROR(__xludf.DUMMYFUNCTION("IMPORTRANGE(""https://docs.google.com/spreadsheets/d/1IYY_tgx_IHuhSq3AJ5eI5OnqOPBNLWSHKh2a30DoXe8/edit?usp=sharing"",""ยะลา!J526"")"),5)</f>
        <v>5</v>
      </c>
      <c r="K631" s="348">
        <f t="shared" ca="1" si="129"/>
        <v>500</v>
      </c>
      <c r="L631" s="348"/>
      <c r="M631" s="348"/>
      <c r="N631" s="348"/>
      <c r="O631" s="176"/>
      <c r="P631" s="176"/>
    </row>
    <row r="632" spans="1:16" ht="21.75" customHeight="1" x14ac:dyDescent="0.35">
      <c r="A632" s="484"/>
      <c r="B632" s="512" t="s">
        <v>235</v>
      </c>
      <c r="C632" s="163"/>
      <c r="D632" s="172"/>
      <c r="E632" s="165"/>
      <c r="F632" s="165"/>
      <c r="G632" s="166"/>
      <c r="H632" s="513" t="s">
        <v>12</v>
      </c>
      <c r="I632" s="347">
        <f ca="1">IFERROR(__xludf.DUMMYFUNCTION("IMPORTRANGE(""https://docs.google.com/spreadsheets/d/1IYY_tgx_IHuhSq3AJ5eI5OnqOPBNLWSHKh2a30DoXe8/edit?usp=sharing"",""ยะลา!I527"")"),52342.67)</f>
        <v>52342.67</v>
      </c>
      <c r="J632" s="347">
        <f ca="1">IFERROR(__xludf.DUMMYFUNCTION("IMPORTRANGE(""https://docs.google.com/spreadsheets/d/1IYY_tgx_IHuhSq3AJ5eI5OnqOPBNLWSHKh2a30DoXe8/edit?usp=sharing"",""ยะลา!J527"")"),19546.33)</f>
        <v>19546.330000000002</v>
      </c>
      <c r="K632" s="348">
        <f t="shared" ca="1" si="129"/>
        <v>37.343012880313523</v>
      </c>
      <c r="L632" s="348"/>
      <c r="M632" s="348"/>
      <c r="N632" s="348"/>
      <c r="O632" s="176"/>
      <c r="P632" s="176"/>
    </row>
    <row r="633" spans="1:16" ht="21.75" customHeight="1" x14ac:dyDescent="0.35">
      <c r="A633" s="484"/>
      <c r="B633" s="512"/>
      <c r="C633" s="163"/>
      <c r="D633" s="172"/>
      <c r="E633" s="165"/>
      <c r="F633" s="165"/>
      <c r="G633" s="166"/>
      <c r="H633" s="513" t="s">
        <v>37</v>
      </c>
      <c r="I633" s="347">
        <f ca="1">IFERROR(__xludf.DUMMYFUNCTION("IMPORTRANGE(""https://docs.google.com/spreadsheets/d/1IYY_tgx_IHuhSq3AJ5eI5OnqOPBNLWSHKh2a30DoXe8/edit?usp=sharing"",""ยะลา!I528"")"),149)</f>
        <v>149</v>
      </c>
      <c r="J633" s="347">
        <f ca="1">IFERROR(__xludf.DUMMYFUNCTION("IMPORTRANGE(""https://docs.google.com/spreadsheets/d/1IYY_tgx_IHuhSq3AJ5eI5OnqOPBNLWSHKh2a30DoXe8/edit?usp=sharing"",""ยะลา!J528"")"),45)</f>
        <v>45</v>
      </c>
      <c r="K633" s="348">
        <f t="shared" ca="1" si="129"/>
        <v>30.201342281879196</v>
      </c>
      <c r="L633" s="348"/>
      <c r="M633" s="348"/>
      <c r="N633" s="348"/>
      <c r="O633" s="176"/>
      <c r="P633" s="176"/>
    </row>
    <row r="634" spans="1:16" ht="21.75" customHeight="1" x14ac:dyDescent="0.35">
      <c r="A634" s="484"/>
      <c r="B634" s="512" t="s">
        <v>236</v>
      </c>
      <c r="C634" s="163"/>
      <c r="D634" s="172"/>
      <c r="E634" s="165"/>
      <c r="F634" s="165"/>
      <c r="G634" s="166"/>
      <c r="H634" s="513" t="s">
        <v>12</v>
      </c>
      <c r="I634" s="347">
        <f ca="1">IFERROR(__xludf.DUMMYFUNCTION("IMPORTRANGE(""https://docs.google.com/spreadsheets/d/1IYY_tgx_IHuhSq3AJ5eI5OnqOPBNLWSHKh2a30DoXe8/edit?usp=sharing"",""ยะลา!I529"")"),0)</f>
        <v>0</v>
      </c>
      <c r="J634" s="347">
        <f ca="1">IFERROR(__xludf.DUMMYFUNCTION("IMPORTRANGE(""https://docs.google.com/spreadsheets/d/1IYY_tgx_IHuhSq3AJ5eI5OnqOPBNLWSHKh2a30DoXe8/edit?usp=sharing"",""ยะลา!J529"")"),0)</f>
        <v>0</v>
      </c>
      <c r="K634" s="348">
        <f t="shared" ca="1" si="129"/>
        <v>0</v>
      </c>
      <c r="L634" s="348"/>
      <c r="M634" s="348"/>
      <c r="N634" s="348"/>
      <c r="O634" s="176"/>
      <c r="P634" s="176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IFERROR(__xludf.DUMMYFUNCTION("IMPORTRANGE(""https://docs.google.com/spreadsheets/d/1IYY_tgx_IHuhSq3AJ5eI5OnqOPBNLWSHKh2a30DoXe8/edit?usp=sharing"",""ยะลา!I530"")"),0)</f>
        <v>0</v>
      </c>
      <c r="J635" s="517">
        <f ca="1">IFERROR(__xludf.DUMMYFUNCTION("IMPORTRANGE(""https://docs.google.com/spreadsheets/d/1IYY_tgx_IHuhSq3AJ5eI5OnqOPBNLWSHKh2a30DoXe8/edit?usp=sharing"",""ยะลา!J530"")"),0)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3" sqref="G23"/>
      <selection pane="bottomLeft" activeCell="A3" sqref="A3:P3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4" width="17.81640625" bestFit="1" customWidth="1"/>
    <col min="15" max="15" width="18.81640625" customWidth="1"/>
    <col min="16" max="16" width="20.54296875" customWidth="1"/>
  </cols>
  <sheetData>
    <row r="1" spans="1:16" ht="18" customHeight="1" x14ac:dyDescent="0.35">
      <c r="A1" s="527" t="s">
        <v>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</row>
    <row r="2" spans="1:16" ht="18" customHeight="1" x14ac:dyDescent="0.35">
      <c r="A2" s="527" t="s">
        <v>260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</row>
    <row r="3" spans="1:16" ht="18" customHeight="1" x14ac:dyDescent="0.35">
      <c r="A3" s="527" t="s">
        <v>268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5" t="s">
        <v>2</v>
      </c>
      <c r="B5" s="536"/>
      <c r="C5" s="536"/>
      <c r="D5" s="536"/>
      <c r="E5" s="536"/>
      <c r="F5" s="536"/>
      <c r="G5" s="537"/>
      <c r="H5" s="528" t="s">
        <v>3</v>
      </c>
      <c r="I5" s="530" t="s">
        <v>4</v>
      </c>
      <c r="J5" s="531"/>
      <c r="K5" s="532"/>
      <c r="L5" s="533" t="s">
        <v>5</v>
      </c>
      <c r="M5" s="532"/>
      <c r="N5" s="534" t="s">
        <v>6</v>
      </c>
      <c r="O5" s="531"/>
      <c r="P5" s="532"/>
    </row>
    <row r="6" spans="1:16" ht="21.75" customHeight="1" x14ac:dyDescent="0.35">
      <c r="A6" s="538"/>
      <c r="B6" s="539"/>
      <c r="C6" s="539"/>
      <c r="D6" s="539"/>
      <c r="E6" s="539"/>
      <c r="F6" s="539"/>
      <c r="G6" s="540"/>
      <c r="H6" s="52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1" t="s">
        <v>15</v>
      </c>
      <c r="B7" s="531"/>
      <c r="C7" s="531"/>
      <c r="D7" s="531"/>
      <c r="E7" s="531"/>
      <c r="F7" s="531"/>
      <c r="G7" s="53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2" t="s">
        <v>17</v>
      </c>
      <c r="E8" s="543"/>
      <c r="F8" s="543"/>
      <c r="G8" s="543"/>
      <c r="H8" s="20" t="s">
        <v>12</v>
      </c>
      <c r="I8" s="21"/>
      <c r="J8" s="21"/>
      <c r="K8" s="22"/>
      <c r="L8" s="23">
        <f t="shared" ref="L8:N8" ca="1" si="0">L9+L10</f>
        <v>4254072</v>
      </c>
      <c r="M8" s="23">
        <f t="shared" ca="1" si="0"/>
        <v>1747761</v>
      </c>
      <c r="N8" s="23">
        <f t="shared" ca="1" si="0"/>
        <v>2131363</v>
      </c>
      <c r="O8" s="22">
        <f t="shared" ref="O8:O16" ca="1" si="1">IF(L8&gt;0,N8*100/L8,0)</f>
        <v>50.101714310430104</v>
      </c>
      <c r="P8" s="22">
        <f t="shared" ref="P8:P16" ca="1" si="2">IF(M8&gt;0,N8*100/M8,0)</f>
        <v>121.9481954340439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4254072</v>
      </c>
      <c r="M10" s="30">
        <f t="shared" ca="1" si="4"/>
        <v>1747761</v>
      </c>
      <c r="N10" s="30">
        <f t="shared" ca="1" si="4"/>
        <v>2131363</v>
      </c>
      <c r="O10" s="29">
        <f t="shared" ca="1" si="1"/>
        <v>50.101714310430104</v>
      </c>
      <c r="P10" s="29">
        <f t="shared" ca="1" si="2"/>
        <v>121.9481954340439</v>
      </c>
    </row>
    <row r="11" spans="1:16" ht="21.75" customHeight="1" x14ac:dyDescent="0.45">
      <c r="A11" s="31"/>
      <c r="B11" s="32"/>
      <c r="C11" s="33" t="s">
        <v>16</v>
      </c>
      <c r="D11" s="544" t="s">
        <v>20</v>
      </c>
      <c r="E11" s="545"/>
      <c r="F11" s="54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3571672</v>
      </c>
      <c r="M12" s="38">
        <f t="shared" ca="1" si="6"/>
        <v>1065361</v>
      </c>
      <c r="N12" s="38">
        <f t="shared" ca="1" si="6"/>
        <v>1450963</v>
      </c>
      <c r="O12" s="38">
        <f t="shared" ca="1" si="1"/>
        <v>40.624195054865062</v>
      </c>
      <c r="P12" s="38">
        <f t="shared" ca="1" si="2"/>
        <v>136.19449182014358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1565000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2006672</v>
      </c>
      <c r="M14" s="38">
        <f t="shared" si="8"/>
        <v>0</v>
      </c>
      <c r="N14" s="38">
        <f t="shared" ca="1" si="8"/>
        <v>524182</v>
      </c>
      <c r="O14" s="41">
        <f t="shared" ca="1" si="1"/>
        <v>26.12195715094445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44" t="s">
        <v>23</v>
      </c>
      <c r="E15" s="54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682400</v>
      </c>
      <c r="M16" s="38">
        <f t="shared" ca="1" si="10"/>
        <v>682400</v>
      </c>
      <c r="N16" s="38">
        <f t="shared" ca="1" si="10"/>
        <v>680400</v>
      </c>
      <c r="O16" s="50">
        <f t="shared" ca="1" si="1"/>
        <v>99.706916764361083</v>
      </c>
      <c r="P16" s="50">
        <f t="shared" ca="1" si="2"/>
        <v>99.706916764361083</v>
      </c>
    </row>
    <row r="17" spans="1:16" ht="21.75" customHeight="1" x14ac:dyDescent="0.45">
      <c r="A17" s="541" t="s">
        <v>24</v>
      </c>
      <c r="B17" s="531"/>
      <c r="C17" s="531"/>
      <c r="D17" s="531"/>
      <c r="E17" s="531"/>
      <c r="F17" s="531"/>
      <c r="G17" s="53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2" t="s">
        <v>17</v>
      </c>
      <c r="E18" s="543"/>
      <c r="F18" s="543"/>
      <c r="G18" s="543"/>
      <c r="H18" s="20" t="s">
        <v>12</v>
      </c>
      <c r="I18" s="21"/>
      <c r="J18" s="21"/>
      <c r="K18" s="22"/>
      <c r="L18" s="23">
        <f t="shared" ref="L18:N18" ca="1" si="11">L19+L20</f>
        <v>2684745</v>
      </c>
      <c r="M18" s="23">
        <f t="shared" ca="1" si="11"/>
        <v>1747761</v>
      </c>
      <c r="N18" s="23">
        <f t="shared" ca="1" si="11"/>
        <v>1607181</v>
      </c>
      <c r="O18" s="22">
        <f t="shared" ref="O18:O20" ca="1" si="12">IF(L18&gt;0,N18*100/L18,0)</f>
        <v>59.863450718783348</v>
      </c>
      <c r="P18" s="22">
        <f t="shared" ref="P18:P26" ca="1" si="13">IF(M18&gt;0,N18*100/M18,0)</f>
        <v>91.956566143769081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2684745</v>
      </c>
      <c r="M20" s="30">
        <f t="shared" ca="1" si="15"/>
        <v>1747761</v>
      </c>
      <c r="N20" s="30">
        <f t="shared" ca="1" si="15"/>
        <v>1607181</v>
      </c>
      <c r="O20" s="29">
        <f t="shared" ca="1" si="12"/>
        <v>59.863450718783348</v>
      </c>
      <c r="P20" s="29">
        <f t="shared" ca="1" si="13"/>
        <v>91.956566143769081</v>
      </c>
    </row>
    <row r="21" spans="1:16" ht="21.75" customHeight="1" x14ac:dyDescent="0.45">
      <c r="A21" s="31"/>
      <c r="B21" s="32"/>
      <c r="C21" s="33" t="s">
        <v>16</v>
      </c>
      <c r="D21" s="544" t="s">
        <v>20</v>
      </c>
      <c r="E21" s="545"/>
      <c r="F21" s="54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2002345</v>
      </c>
      <c r="M22" s="42">
        <f t="shared" ca="1" si="18"/>
        <v>1065361</v>
      </c>
      <c r="N22" s="41">
        <f t="shared" ca="1" si="18"/>
        <v>926781</v>
      </c>
      <c r="O22" s="41">
        <f t="shared" ca="1" si="17"/>
        <v>46.284781094167087</v>
      </c>
      <c r="P22" s="41">
        <f t="shared" ca="1" si="13"/>
        <v>86.992202643047762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1565000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437345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44" t="s">
        <v>23</v>
      </c>
      <c r="E25" s="54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682400</v>
      </c>
      <c r="M26" s="50">
        <f t="shared" ca="1" si="22"/>
        <v>682400</v>
      </c>
      <c r="N26" s="50">
        <f t="shared" ca="1" si="22"/>
        <v>680400</v>
      </c>
      <c r="O26" s="50">
        <f t="shared" ca="1" si="17"/>
        <v>99.706916764361083</v>
      </c>
      <c r="P26" s="50">
        <f t="shared" ca="1" si="13"/>
        <v>99.706916764361083</v>
      </c>
    </row>
    <row r="27" spans="1:16" ht="21.75" customHeight="1" x14ac:dyDescent="0.45">
      <c r="A27" s="541" t="s">
        <v>25</v>
      </c>
      <c r="B27" s="531"/>
      <c r="C27" s="531"/>
      <c r="D27" s="531"/>
      <c r="E27" s="531"/>
      <c r="F27" s="531"/>
      <c r="G27" s="53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2" t="s">
        <v>17</v>
      </c>
      <c r="E28" s="543"/>
      <c r="F28" s="543"/>
      <c r="G28" s="543"/>
      <c r="H28" s="20" t="s">
        <v>12</v>
      </c>
      <c r="I28" s="21"/>
      <c r="J28" s="21"/>
      <c r="K28" s="22"/>
      <c r="L28" s="23">
        <f t="shared" ref="L28:N28" ca="1" si="23">L29+L30</f>
        <v>1569327</v>
      </c>
      <c r="M28" s="23">
        <f t="shared" si="23"/>
        <v>0</v>
      </c>
      <c r="N28" s="23">
        <f t="shared" ca="1" si="23"/>
        <v>524182</v>
      </c>
      <c r="O28" s="22">
        <f t="shared" ref="O28:O30" ca="1" si="24">IF(L28&gt;0,N28*100/L28,0)</f>
        <v>33.401706591424222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1569327</v>
      </c>
      <c r="M30" s="30">
        <f t="shared" si="27"/>
        <v>0</v>
      </c>
      <c r="N30" s="30">
        <f t="shared" ca="1" si="27"/>
        <v>524182</v>
      </c>
      <c r="O30" s="29">
        <f t="shared" ca="1" si="24"/>
        <v>33.401706591424222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44" t="s">
        <v>20</v>
      </c>
      <c r="E31" s="545"/>
      <c r="F31" s="54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1569327</v>
      </c>
      <c r="M32" s="41">
        <f t="shared" si="30"/>
        <v>0</v>
      </c>
      <c r="N32" s="41">
        <f t="shared" ca="1" si="30"/>
        <v>524182</v>
      </c>
      <c r="O32" s="41">
        <f t="shared" ca="1" si="29"/>
        <v>33.401706591424222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1569327</v>
      </c>
      <c r="M34" s="41">
        <f t="shared" si="32"/>
        <v>0</v>
      </c>
      <c r="N34" s="41">
        <f t="shared" ca="1" si="32"/>
        <v>524182</v>
      </c>
      <c r="O34" s="41">
        <f t="shared" ca="1" si="29"/>
        <v>33.401706591424222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44" t="s">
        <v>23</v>
      </c>
      <c r="E35" s="54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2684745</v>
      </c>
      <c r="M37" s="55">
        <f t="shared" ca="1" si="33"/>
        <v>1747761</v>
      </c>
      <c r="N37" s="55">
        <f t="shared" ca="1" si="33"/>
        <v>1607181</v>
      </c>
      <c r="O37" s="56">
        <f t="shared" ca="1" si="29"/>
        <v>59.863450718783348</v>
      </c>
      <c r="P37" s="56">
        <f t="shared" ca="1" si="25"/>
        <v>91.956566143769081</v>
      </c>
    </row>
    <row r="38" spans="1:16" ht="21.75" customHeight="1" x14ac:dyDescent="0.45">
      <c r="A38" s="546" t="s">
        <v>27</v>
      </c>
      <c r="B38" s="531"/>
      <c r="C38" s="531"/>
      <c r="D38" s="531"/>
      <c r="E38" s="531"/>
      <c r="F38" s="531"/>
      <c r="G38" s="53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7" t="s">
        <v>28</v>
      </c>
      <c r="C39" s="543"/>
      <c r="D39" s="543"/>
      <c r="E39" s="543"/>
      <c r="F39" s="543"/>
      <c r="G39" s="54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48" t="s">
        <v>17</v>
      </c>
      <c r="E41" s="545"/>
      <c r="F41" s="545"/>
      <c r="G41" s="545"/>
      <c r="H41" s="76" t="s">
        <v>12</v>
      </c>
      <c r="I41" s="77"/>
      <c r="J41" s="77"/>
      <c r="K41" s="78"/>
      <c r="L41" s="79">
        <f t="shared" ref="L41:N41" ca="1" si="34">L42+L43</f>
        <v>1228000</v>
      </c>
      <c r="M41" s="79">
        <f t="shared" ca="1" si="34"/>
        <v>908900</v>
      </c>
      <c r="N41" s="79">
        <f t="shared" ca="1" si="34"/>
        <v>881282</v>
      </c>
      <c r="O41" s="78">
        <f t="shared" ref="O41:O43" ca="1" si="35">IF(L41&gt;0,N41*100/L41,0)</f>
        <v>71.765635179153094</v>
      </c>
      <c r="P41" s="78">
        <f t="shared" ref="P41:P43" ca="1" si="36">IF(M41&gt;0,N41*100/M41,0)</f>
        <v>96.961381890196947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1228000</v>
      </c>
      <c r="M43" s="79">
        <f t="shared" ca="1" si="38"/>
        <v>908900</v>
      </c>
      <c r="N43" s="79">
        <f t="shared" ca="1" si="38"/>
        <v>881282</v>
      </c>
      <c r="O43" s="78">
        <f t="shared" ca="1" si="35"/>
        <v>71.765635179153094</v>
      </c>
      <c r="P43" s="78">
        <f t="shared" ca="1" si="36"/>
        <v>96.961381890196947</v>
      </c>
    </row>
    <row r="44" spans="1:16" ht="21.75" customHeight="1" x14ac:dyDescent="0.45">
      <c r="A44" s="80"/>
      <c r="B44" s="81"/>
      <c r="C44" s="82" t="s">
        <v>16</v>
      </c>
      <c r="D44" s="549" t="s">
        <v>20</v>
      </c>
      <c r="E44" s="545"/>
      <c r="F44" s="54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638000</v>
      </c>
      <c r="M45" s="91">
        <f ca="1">IFERROR(__xludf.DUMMYFUNCTION("IMPORTRANGE(""https://docs.google.com/spreadsheets/d/1Yj_ptqi66GCucihVvJfMjLAmec39IyEx_6qawtMGysU/edit?usp=sharing"",""สบก!Q91"")"),318900)</f>
        <v>318900</v>
      </c>
      <c r="N45" s="91">
        <f ca="1">IFERROR(__xludf.DUMMYFUNCTION("IMPORTRANGE(""https://docs.google.com/spreadsheets/d/1Yj_ptqi66GCucihVvJfMjLAmec39IyEx_6qawtMGysU/edit?usp=sharing"",""สบก!R91"")"),293282)</f>
        <v>293282</v>
      </c>
      <c r="O45" s="92">
        <f ca="1">IF(L45&gt;0,N45*100/L45,0)</f>
        <v>45.968965517241379</v>
      </c>
      <c r="P45" s="92">
        <f ca="1">IF(M45&gt;0,N45*100/M45,0)</f>
        <v>91.966760740043895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IFERROR(__xludf.DUMMYFUNCTION("IMPORTRANGE(""https://docs.google.com/spreadsheets/d/1Yj_ptqi66GCucihVvJfMjLAmec39IyEx_6qawtMGysU/edit?usp=sharing"",""สบก!M91"")"),638000)</f>
        <v>638000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IFERROR(__xludf.DUMMYFUNCTION("IMPORTRANGE(""https://docs.google.com/spreadsheets/d/1Yj_ptqi66GCucihVvJfMjLAmec39IyEx_6qawtMGysU/edit?usp=sharing"",""สบก!N91"")"),0)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49" t="s">
        <v>23</v>
      </c>
      <c r="E48" s="54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IFERROR(__xludf.DUMMYFUNCTION("IMPORTRANGE(""https://docs.google.com/spreadsheets/d/1Yj_ptqi66GCucihVvJfMjLAmec39IyEx_6qawtMGysU/edit?usp=sharing"",""สบก!O91"")"),590000)</f>
        <v>590000</v>
      </c>
      <c r="M49" s="101">
        <f ca="1">L49</f>
        <v>590000</v>
      </c>
      <c r="N49" s="91">
        <f ca="1">IFERROR(__xludf.DUMMYFUNCTION("IMPORTRANGE(""https://docs.google.com/spreadsheets/d/1Yj_ptqi66GCucihVvJfMjLAmec39IyEx_6qawtMGysU/edit?usp=sharing"",""สบก!S91"")"),588000)</f>
        <v>588000</v>
      </c>
      <c r="O49" s="101">
        <f ca="1">IF(L49&gt;0,N49*100/L49,0)</f>
        <v>99.66101694915254</v>
      </c>
      <c r="P49" s="101">
        <f ca="1">IF(M49&gt;0,N49*100/M49,0)</f>
        <v>99.66101694915254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0" t="s">
        <v>32</v>
      </c>
      <c r="C52" s="545"/>
      <c r="D52" s="545"/>
      <c r="E52" s="545"/>
      <c r="F52" s="545"/>
      <c r="G52" s="54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1" t="s">
        <v>17</v>
      </c>
      <c r="E53" s="545"/>
      <c r="F53" s="545"/>
      <c r="G53" s="545"/>
      <c r="H53" s="122" t="s">
        <v>12</v>
      </c>
      <c r="I53" s="123"/>
      <c r="J53" s="123"/>
      <c r="K53" s="124"/>
      <c r="L53" s="125">
        <f t="shared" ref="L53:N53" ca="1" si="39">L54+L55</f>
        <v>150000</v>
      </c>
      <c r="M53" s="125">
        <f t="shared" ca="1" si="39"/>
        <v>94946</v>
      </c>
      <c r="N53" s="125">
        <f t="shared" ca="1" si="39"/>
        <v>88946</v>
      </c>
      <c r="O53" s="124">
        <f t="shared" ref="O53:O55" ca="1" si="40">IF(L53&gt;0,N53*100/L53,0)</f>
        <v>59.297333333333334</v>
      </c>
      <c r="P53" s="124">
        <f t="shared" ref="P53:P55" ca="1" si="41">IF(M53&gt;0,N53*100/M53,0)</f>
        <v>93.680618456807025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150000</v>
      </c>
      <c r="M55" s="125">
        <f t="shared" ca="1" si="43"/>
        <v>94946</v>
      </c>
      <c r="N55" s="125">
        <f t="shared" ca="1" si="43"/>
        <v>88946</v>
      </c>
      <c r="O55" s="124">
        <f t="shared" ca="1" si="40"/>
        <v>59.297333333333334</v>
      </c>
      <c r="P55" s="124">
        <f t="shared" ca="1" si="41"/>
        <v>93.680618456807025</v>
      </c>
    </row>
    <row r="56" spans="1:16" ht="21.75" customHeight="1" x14ac:dyDescent="0.45">
      <c r="A56" s="80"/>
      <c r="B56" s="81"/>
      <c r="C56" s="82" t="s">
        <v>16</v>
      </c>
      <c r="D56" s="549" t="s">
        <v>20</v>
      </c>
      <c r="E56" s="545"/>
      <c r="F56" s="54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150000</v>
      </c>
      <c r="M57" s="91">
        <f ca="1">IFERROR(__xludf.DUMMYFUNCTION("IMPORTRANGE(""https://docs.google.com/spreadsheets/d/1Yj_ptqi66GCucihVvJfMjLAmec39IyEx_6qawtMGysU/edit?usp=sharing"",""สบก!Z91"")"),94946)</f>
        <v>94946</v>
      </c>
      <c r="N57" s="91">
        <f ca="1">IFERROR(__xludf.DUMMYFUNCTION("IMPORTRANGE(""https://docs.google.com/spreadsheets/d/1Yj_ptqi66GCucihVvJfMjLAmec39IyEx_6qawtMGysU/edit?usp=sharing"",""สบก!AA91"")"),88946)</f>
        <v>88946</v>
      </c>
      <c r="O57" s="92">
        <f ca="1">IF(L57&gt;0,N57*100/L57,0)</f>
        <v>59.297333333333334</v>
      </c>
      <c r="P57" s="92">
        <f ca="1">IF(M57&gt;0,N57*100/M57,0)</f>
        <v>93.680618456807025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IFERROR(__xludf.DUMMYFUNCTION("IMPORTRANGE(""https://docs.google.com/spreadsheets/d/1Yj_ptqi66GCucihVvJfMjLAmec39IyEx_6qawtMGysU/edit?usp=sharing"",""สบก!V91"")"),150000)</f>
        <v>150000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IFERROR(__xludf.DUMMYFUNCTION("IMPORTRANGE(""https://docs.google.com/spreadsheets/d/1Yj_ptqi66GCucihVvJfMjLAmec39IyEx_6qawtMGysU/edit?usp=sharing"",""สบก!W91"")"),0)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49" t="s">
        <v>23</v>
      </c>
      <c r="E60" s="54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IFERROR(__xludf.DUMMYFUNCTION("IMPORTRANGE(""https://docs.google.com/spreadsheets/d/1Yj_ptqi66GCucihVvJfMjLAmec39IyEx_6qawtMGysU/edit?usp=sharing"",""สบก!X91"")"),0)</f>
        <v>0</v>
      </c>
      <c r="M61" s="101"/>
      <c r="N61" s="91">
        <f ca="1">IFERROR(__xludf.DUMMYFUNCTION("IMPORTRANGE(""https://docs.google.com/spreadsheets/d/1Yj_ptqi66GCucihVvJfMjLAmec39IyEx_6qawtMGysU/edit?usp=sharing"",""สบก!AB91"")"),0)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IFERROR(__xludf.DUMMYFUNCTION("IMPORTRANGE(""https://docs.google.com/spreadsheets/d/1IYY_tgx_IHuhSq3AJ5eI5OnqOPBNLWSHKh2a30DoXe8/edit?usp=sharing"",""ระนอง!I9"")"),0)</f>
        <v>0</v>
      </c>
      <c r="J64" s="146">
        <f ca="1">IFERROR(__xludf.DUMMYFUNCTION("IMPORTRANGE(""https://docs.google.com/spreadsheets/d/1IYY_tgx_IHuhSq3AJ5eI5OnqOPBNLWSHKh2a30DoXe8/edit?usp=sharing"",""ระนอง!J9"")"),0)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IFERROR(__xludf.DUMMYFUNCTION("IMPORTRANGE(""https://docs.google.com/spreadsheets/d/1IYY_tgx_IHuhSq3AJ5eI5OnqOPBNLWSHKh2a30DoXe8/edit?usp=sharing"",""ระนอง!I10"")"),0)</f>
        <v>0</v>
      </c>
      <c r="J65" s="146">
        <f ca="1">IFERROR(__xludf.DUMMYFUNCTION("IMPORTRANGE(""https://docs.google.com/spreadsheets/d/1IYY_tgx_IHuhSq3AJ5eI5OnqOPBNLWSHKh2a30DoXe8/edit?usp=sharing"",""ระนอง!J10"")"),0)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52" t="s">
        <v>17</v>
      </c>
      <c r="E66" s="543"/>
      <c r="F66" s="543"/>
      <c r="G66" s="54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5">
      <c r="A69" s="162"/>
      <c r="B69" s="163"/>
      <c r="C69" s="163" t="s">
        <v>16</v>
      </c>
      <c r="D69" s="164" t="s">
        <v>38</v>
      </c>
      <c r="E69" s="165"/>
      <c r="F69" s="165"/>
      <c r="G69" s="166" t="s">
        <v>39</v>
      </c>
      <c r="H69" s="167" t="s">
        <v>12</v>
      </c>
      <c r="I69" s="168" t="s">
        <v>40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 x14ac:dyDescent="0.35">
      <c r="A70" s="162"/>
      <c r="B70" s="163"/>
      <c r="C70" s="163"/>
      <c r="D70" s="172"/>
      <c r="E70" s="165"/>
      <c r="F70" s="165" t="s">
        <v>40</v>
      </c>
      <c r="G70" s="166" t="s">
        <v>41</v>
      </c>
      <c r="H70" s="167" t="s">
        <v>12</v>
      </c>
      <c r="I70" s="168"/>
      <c r="J70" s="168"/>
      <c r="K70" s="169"/>
      <c r="L70" s="173">
        <f ca="1">L71+L72</f>
        <v>0</v>
      </c>
      <c r="M70" s="174">
        <f ca="1">IFERROR(__xludf.DUMMYFUNCTION("IMPORTRANGE(""https://docs.google.com/spreadsheets/d/1Yj_ptqi66GCucihVvJfMjLAmec39IyEx_6qawtMGysU/edit?usp=sharing"",""สบก!AI91"")"),0)</f>
        <v>0</v>
      </c>
      <c r="N70" s="175">
        <f ca="1">IFERROR(__xludf.DUMMYFUNCTION("IMPORTRANGE(""https://docs.google.com/spreadsheets/d/1Yj_ptqi66GCucihVvJfMjLAmec39IyEx_6qawtMGysU/edit?usp=sharing"",""สบก!AJ91"")"),0)</f>
        <v>0</v>
      </c>
      <c r="O70" s="176">
        <f ca="1">IF(L70&gt;0,N70*100/L70,0)</f>
        <v>0</v>
      </c>
      <c r="P70" s="176">
        <f ca="1">IF(M70&gt;0,N70*100/M70,0)</f>
        <v>0</v>
      </c>
    </row>
    <row r="71" spans="1:16" ht="21.75" customHeight="1" x14ac:dyDescent="0.35">
      <c r="A71" s="162"/>
      <c r="B71" s="163"/>
      <c r="C71" s="163"/>
      <c r="D71" s="172"/>
      <c r="E71" s="165"/>
      <c r="F71" s="165"/>
      <c r="G71" s="177" t="s">
        <v>42</v>
      </c>
      <c r="H71" s="167" t="s">
        <v>12</v>
      </c>
      <c r="I71" s="168"/>
      <c r="J71" s="168"/>
      <c r="K71" s="169"/>
      <c r="L71" s="174">
        <f ca="1">IFERROR(__xludf.DUMMYFUNCTION("IMPORTRANGE(""https://docs.google.com/spreadsheets/d/1Yj_ptqi66GCucihVvJfMjLAmec39IyEx_6qawtMGysU/edit?usp=sharing"",""สบก!AE91"")"),0)</f>
        <v>0</v>
      </c>
      <c r="M71" s="173"/>
      <c r="N71" s="173"/>
      <c r="O71" s="176"/>
      <c r="P71" s="176"/>
    </row>
    <row r="72" spans="1:16" ht="21.75" customHeight="1" x14ac:dyDescent="0.35">
      <c r="A72" s="162"/>
      <c r="B72" s="163"/>
      <c r="C72" s="163"/>
      <c r="D72" s="172"/>
      <c r="E72" s="165"/>
      <c r="F72" s="165"/>
      <c r="G72" s="177" t="s">
        <v>43</v>
      </c>
      <c r="H72" s="167" t="s">
        <v>12</v>
      </c>
      <c r="I72" s="168"/>
      <c r="J72" s="168"/>
      <c r="K72" s="169"/>
      <c r="L72" s="174">
        <f ca="1">IFERROR(__xludf.DUMMYFUNCTION("IMPORTRANGE(""https://docs.google.com/spreadsheets/d/1Yj_ptqi66GCucihVvJfMjLAmec39IyEx_6qawtMGysU/edit?usp=sharing"",""สบก!AF91"")"),0)</f>
        <v>0</v>
      </c>
      <c r="M72" s="173"/>
      <c r="N72" s="173"/>
      <c r="O72" s="176"/>
      <c r="P72" s="176"/>
    </row>
    <row r="73" spans="1:16" ht="21.75" customHeight="1" x14ac:dyDescent="0.45">
      <c r="A73" s="178"/>
      <c r="B73" s="81"/>
      <c r="C73" s="82" t="s">
        <v>16</v>
      </c>
      <c r="D73" s="549" t="s">
        <v>23</v>
      </c>
      <c r="E73" s="545"/>
      <c r="F73" s="89"/>
      <c r="G73" s="83" t="s">
        <v>18</v>
      </c>
      <c r="H73" s="179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80"/>
      <c r="B74" s="95"/>
      <c r="C74" s="95"/>
      <c r="D74" s="181"/>
      <c r="E74" s="96"/>
      <c r="F74" s="96"/>
      <c r="G74" s="97" t="s">
        <v>19</v>
      </c>
      <c r="H74" s="182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IFERROR(__xludf.DUMMYFUNCTION("IMPORTRANGE(""https://docs.google.com/spreadsheets/d/1Yj_ptqi66GCucihVvJfMjLAmec39IyEx_6qawtMGysU/edit?usp=sharing"",""สบก!AG91"")"),0)</f>
        <v>0</v>
      </c>
      <c r="M74" s="101"/>
      <c r="N74" s="91">
        <f ca="1">IFERROR(__xludf.DUMMYFUNCTION("IMPORTRANGE(""https://docs.google.com/spreadsheets/d/1Yj_ptqi66GCucihVvJfMjLAmec39IyEx_6qawtMGysU/edit?usp=sharing"",""สบก!AK91"")"),0)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3"/>
      <c r="B75" s="184"/>
      <c r="C75" s="163" t="s">
        <v>16</v>
      </c>
      <c r="D75" s="185" t="s">
        <v>44</v>
      </c>
      <c r="E75" s="186"/>
      <c r="F75" s="186"/>
      <c r="G75" s="187"/>
      <c r="H75" s="188"/>
      <c r="I75" s="168"/>
      <c r="J75" s="168"/>
      <c r="K75" s="169"/>
      <c r="L75" s="189"/>
      <c r="M75" s="189"/>
      <c r="N75" s="189"/>
      <c r="O75" s="189"/>
      <c r="P75" s="189"/>
    </row>
    <row r="76" spans="1:16" ht="21.75" customHeight="1" x14ac:dyDescent="0.35">
      <c r="A76" s="183"/>
      <c r="B76" s="184"/>
      <c r="C76" s="184"/>
      <c r="D76" s="190">
        <v>1</v>
      </c>
      <c r="E76" s="191" t="s">
        <v>45</v>
      </c>
      <c r="F76" s="192"/>
      <c r="G76" s="193"/>
      <c r="H76" s="194"/>
      <c r="I76" s="195"/>
      <c r="J76" s="196">
        <f ca="1">IFERROR(__xludf.DUMMYFUNCTION("IMPORTRANGE(""https://docs.google.com/spreadsheets/d/1IYY_tgx_IHuhSq3AJ5eI5OnqOPBNLWSHKh2a30DoXe8/edit?usp=sharing"",""ระนอง!J16"")"),0)</f>
        <v>0</v>
      </c>
      <c r="K76" s="169"/>
      <c r="L76" s="189"/>
      <c r="M76" s="189"/>
      <c r="N76" s="189"/>
      <c r="O76" s="189"/>
      <c r="P76" s="189"/>
    </row>
    <row r="77" spans="1:16" ht="21.75" customHeight="1" x14ac:dyDescent="0.35">
      <c r="A77" s="183"/>
      <c r="B77" s="184"/>
      <c r="C77" s="184"/>
      <c r="D77" s="197">
        <v>2</v>
      </c>
      <c r="E77" s="198" t="s">
        <v>46</v>
      </c>
      <c r="F77" s="199"/>
      <c r="G77" s="200"/>
      <c r="H77" s="194"/>
      <c r="I77" s="195"/>
      <c r="J77" s="196">
        <f ca="1">IFERROR(__xludf.DUMMYFUNCTION("IMPORTRANGE(""https://docs.google.com/spreadsheets/d/1IYY_tgx_IHuhSq3AJ5eI5OnqOPBNLWSHKh2a30DoXe8/edit?usp=sharing"",""ระนอง!J17"")"),0)</f>
        <v>0</v>
      </c>
      <c r="K77" s="169"/>
      <c r="L77" s="189" t="s">
        <v>40</v>
      </c>
      <c r="M77" s="189"/>
      <c r="N77" s="189" t="s">
        <v>40</v>
      </c>
      <c r="O77" s="189"/>
      <c r="P77" s="189"/>
    </row>
    <row r="78" spans="1:16" ht="21.75" customHeight="1" x14ac:dyDescent="0.35">
      <c r="A78" s="183"/>
      <c r="B78" s="184"/>
      <c r="C78" s="184"/>
      <c r="D78" s="201"/>
      <c r="E78" s="202" t="s">
        <v>47</v>
      </c>
      <c r="F78" s="203"/>
      <c r="G78" s="204"/>
      <c r="H78" s="194"/>
      <c r="I78" s="195"/>
      <c r="J78" s="196">
        <f ca="1">IFERROR(__xludf.DUMMYFUNCTION("IMPORTRANGE(""https://docs.google.com/spreadsheets/d/1IYY_tgx_IHuhSq3AJ5eI5OnqOPBNLWSHKh2a30DoXe8/edit?usp=sharing"",""ระนอง!J18"")"),0)</f>
        <v>0</v>
      </c>
      <c r="K78" s="169"/>
      <c r="L78" s="189"/>
      <c r="M78" s="189"/>
      <c r="N78" s="189"/>
      <c r="O78" s="189"/>
      <c r="P78" s="189"/>
    </row>
    <row r="79" spans="1:16" ht="21.75" customHeight="1" x14ac:dyDescent="0.35">
      <c r="A79" s="183"/>
      <c r="B79" s="184"/>
      <c r="C79" s="184"/>
      <c r="D79" s="201"/>
      <c r="E79" s="202" t="s">
        <v>48</v>
      </c>
      <c r="F79" s="203"/>
      <c r="G79" s="204"/>
      <c r="H79" s="194"/>
      <c r="I79" s="195"/>
      <c r="J79" s="205">
        <f ca="1">IFERROR(__xludf.DUMMYFUNCTION("IMPORTRANGE(""https://docs.google.com/spreadsheets/d/1IYY_tgx_IHuhSq3AJ5eI5OnqOPBNLWSHKh2a30DoXe8/edit?usp=sharing"",""ระนอง!J19"")"),0)</f>
        <v>0</v>
      </c>
      <c r="K79" s="169"/>
      <c r="L79" s="189"/>
      <c r="M79" s="189"/>
      <c r="N79" s="189"/>
      <c r="O79" s="189"/>
      <c r="P79" s="189"/>
    </row>
    <row r="80" spans="1:16" ht="21.75" customHeight="1" x14ac:dyDescent="0.35">
      <c r="A80" s="183"/>
      <c r="B80" s="184"/>
      <c r="C80" s="184"/>
      <c r="D80" s="201"/>
      <c r="E80" s="206"/>
      <c r="F80" s="202" t="s">
        <v>49</v>
      </c>
      <c r="G80" s="203"/>
      <c r="H80" s="207" t="s">
        <v>36</v>
      </c>
      <c r="I80" s="208">
        <f ca="1">IFERROR(__xludf.DUMMYFUNCTION("IMPORTRANGE(""https://docs.google.com/spreadsheets/d/1IYY_tgx_IHuhSq3AJ5eI5OnqOPBNLWSHKh2a30DoXe8/edit?usp=sharing"",""ระนอง!I20"")"),0)</f>
        <v>0</v>
      </c>
      <c r="J80" s="208">
        <f ca="1">IFERROR(__xludf.DUMMYFUNCTION("IMPORTRANGE(""https://docs.google.com/spreadsheets/d/1IYY_tgx_IHuhSq3AJ5eI5OnqOPBNLWSHKh2a30DoXe8/edit?usp=sharing"",""ระนอง!J20"")"),0)</f>
        <v>0</v>
      </c>
      <c r="K80" s="209">
        <f t="shared" ref="K80:K88" ca="1" si="50">IF(I80&gt;0,J80*100/I80,0)</f>
        <v>0</v>
      </c>
      <c r="L80" s="189"/>
      <c r="M80" s="189"/>
      <c r="N80" s="189"/>
      <c r="O80" s="189"/>
      <c r="P80" s="189"/>
    </row>
    <row r="81" spans="1:16" ht="21.75" customHeight="1" x14ac:dyDescent="0.35">
      <c r="A81" s="183"/>
      <c r="B81" s="184"/>
      <c r="C81" s="184"/>
      <c r="D81" s="201"/>
      <c r="E81" s="206"/>
      <c r="F81" s="203"/>
      <c r="G81" s="204"/>
      <c r="H81" s="207" t="s">
        <v>37</v>
      </c>
      <c r="I81" s="208">
        <f ca="1">IFERROR(__xludf.DUMMYFUNCTION("IMPORTRANGE(""https://docs.google.com/spreadsheets/d/1IYY_tgx_IHuhSq3AJ5eI5OnqOPBNLWSHKh2a30DoXe8/edit?usp=sharing"",""ระนอง!I21"")"),0)</f>
        <v>0</v>
      </c>
      <c r="J81" s="208">
        <f ca="1">IFERROR(__xludf.DUMMYFUNCTION("IMPORTRANGE(""https://docs.google.com/spreadsheets/d/1IYY_tgx_IHuhSq3AJ5eI5OnqOPBNLWSHKh2a30DoXe8/edit?usp=sharing"",""ระนอง!J21"")"),0)</f>
        <v>0</v>
      </c>
      <c r="K81" s="209">
        <f t="shared" ca="1" si="50"/>
        <v>0</v>
      </c>
      <c r="L81" s="189"/>
      <c r="M81" s="189"/>
      <c r="N81" s="189"/>
      <c r="O81" s="189"/>
      <c r="P81" s="189"/>
    </row>
    <row r="82" spans="1:16" ht="21.75" customHeight="1" x14ac:dyDescent="0.35">
      <c r="A82" s="183"/>
      <c r="B82" s="184"/>
      <c r="C82" s="184"/>
      <c r="D82" s="201"/>
      <c r="E82" s="206"/>
      <c r="F82" s="203"/>
      <c r="G82" s="203" t="s">
        <v>50</v>
      </c>
      <c r="H82" s="188" t="s">
        <v>36</v>
      </c>
      <c r="I82" s="210">
        <f ca="1">IFERROR(__xludf.DUMMYFUNCTION("IMPORTRANGE(""https://docs.google.com/spreadsheets/d/1IYY_tgx_IHuhSq3AJ5eI5OnqOPBNLWSHKh2a30DoXe8/edit?usp=sharing"",""ระนอง!I22"")"),0)</f>
        <v>0</v>
      </c>
      <c r="J82" s="211">
        <f ca="1">IFERROR(__xludf.DUMMYFUNCTION("IMPORTRANGE(""https://docs.google.com/spreadsheets/d/1IYY_tgx_IHuhSq3AJ5eI5OnqOPBNLWSHKh2a30DoXe8/edit?usp=sharing"",""ระนอง!J22"")"),0)</f>
        <v>0</v>
      </c>
      <c r="K82" s="169">
        <f t="shared" ca="1" si="50"/>
        <v>0</v>
      </c>
      <c r="L82" s="189"/>
      <c r="M82" s="189"/>
      <c r="N82" s="189"/>
      <c r="O82" s="189"/>
      <c r="P82" s="189"/>
    </row>
    <row r="83" spans="1:16" ht="21.75" customHeight="1" x14ac:dyDescent="0.35">
      <c r="A83" s="183"/>
      <c r="B83" s="184"/>
      <c r="C83" s="184"/>
      <c r="D83" s="201"/>
      <c r="E83" s="206"/>
      <c r="F83" s="203"/>
      <c r="G83" s="204"/>
      <c r="H83" s="188" t="s">
        <v>37</v>
      </c>
      <c r="I83" s="210">
        <f ca="1">IFERROR(__xludf.DUMMYFUNCTION("IMPORTRANGE(""https://docs.google.com/spreadsheets/d/1IYY_tgx_IHuhSq3AJ5eI5OnqOPBNLWSHKh2a30DoXe8/edit?usp=sharing"",""ระนอง!I23"")"),0)</f>
        <v>0</v>
      </c>
      <c r="J83" s="211">
        <f ca="1">IFERROR(__xludf.DUMMYFUNCTION("IMPORTRANGE(""https://docs.google.com/spreadsheets/d/1IYY_tgx_IHuhSq3AJ5eI5OnqOPBNLWSHKh2a30DoXe8/edit?usp=sharing"",""ระนอง!J23"")"),0)</f>
        <v>0</v>
      </c>
      <c r="K83" s="169">
        <f t="shared" ca="1" si="50"/>
        <v>0</v>
      </c>
      <c r="L83" s="189"/>
      <c r="M83" s="189"/>
      <c r="N83" s="189"/>
      <c r="O83" s="189"/>
      <c r="P83" s="189"/>
    </row>
    <row r="84" spans="1:16" ht="21.75" customHeight="1" x14ac:dyDescent="0.35">
      <c r="A84" s="183"/>
      <c r="B84" s="184"/>
      <c r="C84" s="184"/>
      <c r="D84" s="201"/>
      <c r="E84" s="206"/>
      <c r="F84" s="203"/>
      <c r="G84" s="203" t="s">
        <v>51</v>
      </c>
      <c r="H84" s="188" t="s">
        <v>36</v>
      </c>
      <c r="I84" s="210">
        <f ca="1">IFERROR(__xludf.DUMMYFUNCTION("IMPORTRANGE(""https://docs.google.com/spreadsheets/d/1IYY_tgx_IHuhSq3AJ5eI5OnqOPBNLWSHKh2a30DoXe8/edit?usp=sharing"",""ระนอง!I24"")"),0)</f>
        <v>0</v>
      </c>
      <c r="J84" s="196">
        <f ca="1">IFERROR(__xludf.DUMMYFUNCTION("IMPORTRANGE(""https://docs.google.com/spreadsheets/d/1IYY_tgx_IHuhSq3AJ5eI5OnqOPBNLWSHKh2a30DoXe8/edit?usp=sharing"",""ระนอง!J24"")"),0)</f>
        <v>0</v>
      </c>
      <c r="K84" s="169">
        <f t="shared" ca="1" si="50"/>
        <v>0</v>
      </c>
      <c r="L84" s="189"/>
      <c r="M84" s="189"/>
      <c r="N84" s="189"/>
      <c r="O84" s="189"/>
      <c r="P84" s="189"/>
    </row>
    <row r="85" spans="1:16" ht="21.75" customHeight="1" x14ac:dyDescent="0.35">
      <c r="A85" s="183"/>
      <c r="B85" s="184"/>
      <c r="C85" s="184"/>
      <c r="D85" s="201"/>
      <c r="E85" s="206"/>
      <c r="F85" s="203"/>
      <c r="G85" s="204"/>
      <c r="H85" s="188" t="s">
        <v>37</v>
      </c>
      <c r="I85" s="210">
        <f ca="1">IFERROR(__xludf.DUMMYFUNCTION("IMPORTRANGE(""https://docs.google.com/spreadsheets/d/1IYY_tgx_IHuhSq3AJ5eI5OnqOPBNLWSHKh2a30DoXe8/edit?usp=sharing"",""ระนอง!I25"")"),0)</f>
        <v>0</v>
      </c>
      <c r="J85" s="196">
        <f ca="1">IFERROR(__xludf.DUMMYFUNCTION("IMPORTRANGE(""https://docs.google.com/spreadsheets/d/1IYY_tgx_IHuhSq3AJ5eI5OnqOPBNLWSHKh2a30DoXe8/edit?usp=sharing"",""ระนอง!J25"")"),0)</f>
        <v>0</v>
      </c>
      <c r="K85" s="169">
        <f t="shared" ca="1" si="50"/>
        <v>0</v>
      </c>
      <c r="L85" s="189"/>
      <c r="M85" s="189"/>
      <c r="N85" s="189"/>
      <c r="O85" s="189"/>
      <c r="P85" s="189"/>
    </row>
    <row r="86" spans="1:16" ht="21.75" customHeight="1" x14ac:dyDescent="0.35">
      <c r="A86" s="183"/>
      <c r="B86" s="184"/>
      <c r="C86" s="184"/>
      <c r="D86" s="201"/>
      <c r="E86" s="206"/>
      <c r="F86" s="203"/>
      <c r="G86" s="203" t="s">
        <v>52</v>
      </c>
      <c r="H86" s="188" t="s">
        <v>36</v>
      </c>
      <c r="I86" s="210">
        <f ca="1">IFERROR(__xludf.DUMMYFUNCTION("IMPORTRANGE(""https://docs.google.com/spreadsheets/d/1IYY_tgx_IHuhSq3AJ5eI5OnqOPBNLWSHKh2a30DoXe8/edit?usp=sharing"",""ระนอง!I26"")"),0)</f>
        <v>0</v>
      </c>
      <c r="J86" s="211">
        <f ca="1">IFERROR(__xludf.DUMMYFUNCTION("IMPORTRANGE(""https://docs.google.com/spreadsheets/d/1IYY_tgx_IHuhSq3AJ5eI5OnqOPBNLWSHKh2a30DoXe8/edit?usp=sharing"",""ระนอง!J26"")"),0)</f>
        <v>0</v>
      </c>
      <c r="K86" s="169">
        <f t="shared" ca="1" si="50"/>
        <v>0</v>
      </c>
      <c r="L86" s="189"/>
      <c r="M86" s="189"/>
      <c r="N86" s="189"/>
      <c r="O86" s="189"/>
      <c r="P86" s="189"/>
    </row>
    <row r="87" spans="1:16" ht="21.75" customHeight="1" x14ac:dyDescent="0.35">
      <c r="A87" s="183"/>
      <c r="B87" s="184"/>
      <c r="C87" s="184"/>
      <c r="D87" s="201"/>
      <c r="E87" s="206"/>
      <c r="F87" s="203"/>
      <c r="G87" s="204"/>
      <c r="H87" s="188" t="s">
        <v>37</v>
      </c>
      <c r="I87" s="210">
        <f ca="1">IFERROR(__xludf.DUMMYFUNCTION("IMPORTRANGE(""https://docs.google.com/spreadsheets/d/1IYY_tgx_IHuhSq3AJ5eI5OnqOPBNLWSHKh2a30DoXe8/edit?usp=sharing"",""ระนอง!I27"")"),0)</f>
        <v>0</v>
      </c>
      <c r="J87" s="211">
        <f ca="1">IFERROR(__xludf.DUMMYFUNCTION("IMPORTRANGE(""https://docs.google.com/spreadsheets/d/1IYY_tgx_IHuhSq3AJ5eI5OnqOPBNLWSHKh2a30DoXe8/edit?usp=sharing"",""ระนอง!J27"")"),0)</f>
        <v>0</v>
      </c>
      <c r="K87" s="169">
        <f t="shared" ca="1" si="50"/>
        <v>0</v>
      </c>
      <c r="L87" s="189"/>
      <c r="M87" s="189"/>
      <c r="N87" s="189"/>
      <c r="O87" s="189"/>
      <c r="P87" s="189"/>
    </row>
    <row r="88" spans="1:16" ht="21.75" customHeight="1" x14ac:dyDescent="0.35">
      <c r="A88" s="183"/>
      <c r="B88" s="184"/>
      <c r="C88" s="184"/>
      <c r="D88" s="201"/>
      <c r="E88" s="206"/>
      <c r="F88" s="212" t="s">
        <v>53</v>
      </c>
      <c r="G88" s="203"/>
      <c r="H88" s="188" t="s">
        <v>37</v>
      </c>
      <c r="I88" s="210">
        <f ca="1">IFERROR(__xludf.DUMMYFUNCTION("IMPORTRANGE(""https://docs.google.com/spreadsheets/d/1IYY_tgx_IHuhSq3AJ5eI5OnqOPBNLWSHKh2a30DoXe8/edit?usp=sharing"",""ระนอง!I28"")"),0)</f>
        <v>0</v>
      </c>
      <c r="J88" s="211">
        <f ca="1">IFERROR(__xludf.DUMMYFUNCTION("IMPORTRANGE(""https://docs.google.com/spreadsheets/d/1IYY_tgx_IHuhSq3AJ5eI5OnqOPBNLWSHKh2a30DoXe8/edit?usp=sharing"",""ระนอง!J28"")"),0)</f>
        <v>0</v>
      </c>
      <c r="K88" s="169">
        <f t="shared" ca="1" si="50"/>
        <v>0</v>
      </c>
      <c r="L88" s="189"/>
      <c r="M88" s="189"/>
      <c r="N88" s="189"/>
      <c r="O88" s="189"/>
      <c r="P88" s="189"/>
    </row>
    <row r="89" spans="1:16" ht="21.75" customHeight="1" x14ac:dyDescent="0.35">
      <c r="A89" s="183"/>
      <c r="B89" s="184"/>
      <c r="C89" s="184"/>
      <c r="D89" s="201"/>
      <c r="E89" s="202" t="s">
        <v>54</v>
      </c>
      <c r="F89" s="203"/>
      <c r="G89" s="204"/>
      <c r="H89" s="194"/>
      <c r="I89" s="195"/>
      <c r="J89" s="205">
        <f ca="1">IFERROR(__xludf.DUMMYFUNCTION("IMPORTRANGE(""https://docs.google.com/spreadsheets/d/1IYY_tgx_IHuhSq3AJ5eI5OnqOPBNLWSHKh2a30DoXe8/edit?usp=sharing"",""ระนอง!J29"")"),0)</f>
        <v>0</v>
      </c>
      <c r="K89" s="169"/>
      <c r="L89" s="189"/>
      <c r="M89" s="189"/>
      <c r="N89" s="189"/>
      <c r="O89" s="189"/>
      <c r="P89" s="189"/>
    </row>
    <row r="90" spans="1:16" ht="21.75" customHeight="1" x14ac:dyDescent="0.35">
      <c r="A90" s="183"/>
      <c r="B90" s="184"/>
      <c r="C90" s="184"/>
      <c r="D90" s="213">
        <v>3</v>
      </c>
      <c r="E90" s="214" t="s">
        <v>55</v>
      </c>
      <c r="F90" s="215"/>
      <c r="G90" s="216"/>
      <c r="H90" s="194"/>
      <c r="I90" s="195"/>
      <c r="J90" s="217">
        <f ca="1">IFERROR(__xludf.DUMMYFUNCTION("IMPORTRANGE(""https://docs.google.com/spreadsheets/d/1IYY_tgx_IHuhSq3AJ5eI5OnqOPBNLWSHKh2a30DoXe8/edit?usp=sharing"",""ระนอง!J30"")"),0)</f>
        <v>0</v>
      </c>
      <c r="K90" s="169"/>
      <c r="L90" s="189"/>
      <c r="M90" s="189"/>
      <c r="N90" s="189"/>
      <c r="O90" s="189"/>
      <c r="P90" s="189"/>
    </row>
    <row r="91" spans="1:16" ht="21.75" customHeight="1" x14ac:dyDescent="0.35">
      <c r="A91" s="218" t="s">
        <v>56</v>
      </c>
      <c r="B91" s="219"/>
      <c r="C91" s="220"/>
      <c r="D91" s="219"/>
      <c r="E91" s="221"/>
      <c r="F91" s="221"/>
      <c r="G91" s="222"/>
      <c r="H91" s="223"/>
      <c r="I91" s="224"/>
      <c r="J91" s="224"/>
      <c r="K91" s="225"/>
      <c r="L91" s="226"/>
      <c r="M91" s="226"/>
      <c r="N91" s="226"/>
      <c r="O91" s="227"/>
      <c r="P91" s="227"/>
    </row>
    <row r="92" spans="1:16" ht="21.75" customHeight="1" x14ac:dyDescent="0.35">
      <c r="A92" s="142"/>
      <c r="B92" s="143" t="s">
        <v>57</v>
      </c>
      <c r="C92" s="143"/>
      <c r="D92" s="144"/>
      <c r="E92" s="143"/>
      <c r="F92" s="143"/>
      <c r="G92" s="228"/>
      <c r="H92" s="145" t="s">
        <v>37</v>
      </c>
      <c r="I92" s="146">
        <f ca="1">IFERROR(__xludf.DUMMYFUNCTION("IMPORTRANGE(""https://docs.google.com/spreadsheets/d/1IYY_tgx_IHuhSq3AJ5eI5OnqOPBNLWSHKh2a30DoXe8/edit?usp=sharing"",""ระนอง!I32"")"),4)</f>
        <v>4</v>
      </c>
      <c r="J92" s="146">
        <f ca="1">IFERROR(__xludf.DUMMYFUNCTION("IMPORTRANGE(""https://docs.google.com/spreadsheets/d/1IYY_tgx_IHuhSq3AJ5eI5OnqOPBNLWSHKh2a30DoXe8/edit?usp=sharing"",""ระนอง!J32"")"),0)</f>
        <v>0</v>
      </c>
      <c r="K92" s="147">
        <f t="shared" ref="K92:K93" ca="1" si="51">IF(I92&gt;0,J92*100/I92,0)</f>
        <v>0</v>
      </c>
      <c r="L92" s="229"/>
      <c r="M92" s="229"/>
      <c r="N92" s="230"/>
      <c r="O92" s="147"/>
      <c r="P92" s="147"/>
    </row>
    <row r="93" spans="1:16" ht="21.75" customHeight="1" x14ac:dyDescent="0.35">
      <c r="A93" s="142"/>
      <c r="B93" s="143"/>
      <c r="C93" s="143"/>
      <c r="D93" s="144" t="s">
        <v>58</v>
      </c>
      <c r="E93" s="143"/>
      <c r="F93" s="143"/>
      <c r="G93" s="228"/>
      <c r="H93" s="145" t="s">
        <v>59</v>
      </c>
      <c r="I93" s="146">
        <f ca="1">IFERROR(__xludf.DUMMYFUNCTION("IMPORTRANGE(""https://docs.google.com/spreadsheets/d/1IYY_tgx_IHuhSq3AJ5eI5OnqOPBNLWSHKh2a30DoXe8/edit?usp=sharing"",""ระนอง!I33"")"),1)</f>
        <v>1</v>
      </c>
      <c r="J93" s="146">
        <f ca="1">IFERROR(__xludf.DUMMYFUNCTION("IMPORTRANGE(""https://docs.google.com/spreadsheets/d/1IYY_tgx_IHuhSq3AJ5eI5OnqOPBNLWSHKh2a30DoXe8/edit?usp=sharing"",""ระนอง!J33"")"),0)</f>
        <v>0</v>
      </c>
      <c r="K93" s="147">
        <f t="shared" ca="1" si="51"/>
        <v>0</v>
      </c>
      <c r="L93" s="230"/>
      <c r="M93" s="230"/>
      <c r="N93" s="230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52" t="s">
        <v>17</v>
      </c>
      <c r="E94" s="543"/>
      <c r="F94" s="543"/>
      <c r="G94" s="543"/>
      <c r="H94" s="153" t="s">
        <v>12</v>
      </c>
      <c r="I94" s="168"/>
      <c r="J94" s="168"/>
      <c r="K94" s="169"/>
      <c r="L94" s="156">
        <f t="shared" ref="L94:N94" ca="1" si="52">L95+L96</f>
        <v>214500</v>
      </c>
      <c r="M94" s="156">
        <f t="shared" ca="1" si="52"/>
        <v>161130</v>
      </c>
      <c r="N94" s="156">
        <f t="shared" ca="1" si="52"/>
        <v>140105</v>
      </c>
      <c r="O94" s="155">
        <f t="shared" ref="O94:O96" ca="1" si="53">IF(L94&gt;0,N94*100/L94,0)</f>
        <v>65.317016317016311</v>
      </c>
      <c r="P94" s="155">
        <f t="shared" ref="P94:P96" ca="1" si="54">IF(M94&gt;0,N94*100/M94,0)</f>
        <v>86.951529820641724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8"/>
      <c r="J95" s="168"/>
      <c r="K95" s="169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8"/>
      <c r="J96" s="168"/>
      <c r="K96" s="169"/>
      <c r="L96" s="161">
        <f t="shared" ref="L96:N96" ca="1" si="56">L98+L102</f>
        <v>214500</v>
      </c>
      <c r="M96" s="161">
        <f t="shared" ca="1" si="56"/>
        <v>161130</v>
      </c>
      <c r="N96" s="161">
        <f t="shared" ca="1" si="56"/>
        <v>140105</v>
      </c>
      <c r="O96" s="160">
        <f t="shared" ca="1" si="53"/>
        <v>65.317016317016311</v>
      </c>
      <c r="P96" s="160">
        <f t="shared" ca="1" si="54"/>
        <v>86.951529820641724</v>
      </c>
    </row>
    <row r="97" spans="1:16" ht="21.75" customHeight="1" x14ac:dyDescent="0.35">
      <c r="A97" s="162"/>
      <c r="B97" s="163"/>
      <c r="C97" s="163" t="s">
        <v>16</v>
      </c>
      <c r="D97" s="164" t="s">
        <v>38</v>
      </c>
      <c r="E97" s="165"/>
      <c r="F97" s="165"/>
      <c r="G97" s="166" t="s">
        <v>39</v>
      </c>
      <c r="H97" s="167" t="s">
        <v>12</v>
      </c>
      <c r="I97" s="168" t="s">
        <v>40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 x14ac:dyDescent="0.35">
      <c r="A98" s="162"/>
      <c r="B98" s="163"/>
      <c r="C98" s="163"/>
      <c r="D98" s="172"/>
      <c r="E98" s="165"/>
      <c r="F98" s="165" t="s">
        <v>40</v>
      </c>
      <c r="G98" s="166" t="s">
        <v>41</v>
      </c>
      <c r="H98" s="167" t="s">
        <v>12</v>
      </c>
      <c r="I98" s="168"/>
      <c r="J98" s="168"/>
      <c r="K98" s="169"/>
      <c r="L98" s="173">
        <f ca="1">L99+L100</f>
        <v>122100</v>
      </c>
      <c r="M98" s="174">
        <f ca="1">IFERROR(__xludf.DUMMYFUNCTION("IMPORTRANGE(""https://docs.google.com/spreadsheets/d/1Yj_ptqi66GCucihVvJfMjLAmec39IyEx_6qawtMGysU/edit?usp=sharing"",""สบก!AR91"")"),68730)</f>
        <v>68730</v>
      </c>
      <c r="N98" s="175">
        <f ca="1">IFERROR(__xludf.DUMMYFUNCTION("IMPORTRANGE(""https://docs.google.com/spreadsheets/d/1Yj_ptqi66GCucihVvJfMjLAmec39IyEx_6qawtMGysU/edit?usp=sharing"",""สบก!AS91"")"),47705)</f>
        <v>47705</v>
      </c>
      <c r="O98" s="176">
        <f ca="1">IF(L98&gt;0,N98*100/L98,0)</f>
        <v>39.070434070434068</v>
      </c>
      <c r="P98" s="176">
        <f ca="1">IF(M98&gt;0,N98*100/M98,0)</f>
        <v>69.40928270042194</v>
      </c>
    </row>
    <row r="99" spans="1:16" ht="21.75" customHeight="1" x14ac:dyDescent="0.35">
      <c r="A99" s="162"/>
      <c r="B99" s="163"/>
      <c r="C99" s="163"/>
      <c r="D99" s="172"/>
      <c r="E99" s="165"/>
      <c r="F99" s="165"/>
      <c r="G99" s="177" t="s">
        <v>42</v>
      </c>
      <c r="H99" s="167" t="s">
        <v>12</v>
      </c>
      <c r="I99" s="168"/>
      <c r="J99" s="168"/>
      <c r="K99" s="169"/>
      <c r="L99" s="174">
        <f ca="1">IFERROR(__xludf.DUMMYFUNCTION("IMPORTRANGE(""https://docs.google.com/spreadsheets/d/1Yj_ptqi66GCucihVvJfMjLAmec39IyEx_6qawtMGysU/edit?usp=sharing"",""สบก!AN91"")"),0)</f>
        <v>0</v>
      </c>
      <c r="M99" s="173"/>
      <c r="N99" s="173"/>
      <c r="O99" s="176"/>
      <c r="P99" s="176"/>
    </row>
    <row r="100" spans="1:16" ht="21.75" customHeight="1" x14ac:dyDescent="0.35">
      <c r="A100" s="162"/>
      <c r="B100" s="163"/>
      <c r="C100" s="163"/>
      <c r="D100" s="172"/>
      <c r="E100" s="165"/>
      <c r="F100" s="165"/>
      <c r="G100" s="177" t="s">
        <v>43</v>
      </c>
      <c r="H100" s="167" t="s">
        <v>12</v>
      </c>
      <c r="I100" s="168"/>
      <c r="J100" s="195"/>
      <c r="K100" s="231"/>
      <c r="L100" s="174">
        <f ca="1">IFERROR(__xludf.DUMMYFUNCTION("IMPORTRANGE(""https://docs.google.com/spreadsheets/d/1Yj_ptqi66GCucihVvJfMjLAmec39IyEx_6qawtMGysU/edit?usp=sharing"",""สบก!AO91"")"),122100)</f>
        <v>122100</v>
      </c>
      <c r="M100" s="173"/>
      <c r="N100" s="173"/>
      <c r="O100" s="176"/>
      <c r="P100" s="176"/>
    </row>
    <row r="101" spans="1:16" ht="21.75" customHeight="1" x14ac:dyDescent="0.45">
      <c r="A101" s="178"/>
      <c r="B101" s="81"/>
      <c r="C101" s="82" t="s">
        <v>16</v>
      </c>
      <c r="D101" s="549" t="s">
        <v>23</v>
      </c>
      <c r="E101" s="545"/>
      <c r="F101" s="89"/>
      <c r="G101" s="83" t="s">
        <v>18</v>
      </c>
      <c r="H101" s="179" t="s">
        <v>12</v>
      </c>
      <c r="I101" s="195"/>
      <c r="J101" s="195"/>
      <c r="K101" s="231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80"/>
      <c r="B102" s="95"/>
      <c r="C102" s="95"/>
      <c r="D102" s="181"/>
      <c r="E102" s="96"/>
      <c r="F102" s="96"/>
      <c r="G102" s="97" t="s">
        <v>19</v>
      </c>
      <c r="H102" s="182" t="s">
        <v>12</v>
      </c>
      <c r="I102" s="195"/>
      <c r="J102" s="195"/>
      <c r="K102" s="231"/>
      <c r="L102" s="91">
        <f ca="1">IFERROR(__xludf.DUMMYFUNCTION("IMPORTRANGE(""https://docs.google.com/spreadsheets/d/1Yj_ptqi66GCucihVvJfMjLAmec39IyEx_6qawtMGysU/edit?usp=sharing"",""สบก!AP91"")"),92400)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IFERROR(__xludf.DUMMYFUNCTION("IMPORTRANGE(""https://docs.google.com/spreadsheets/d/1Yj_ptqi66GCucihVvJfMjLAmec39IyEx_6qawtMGysU/edit?usp=sharing"",""สบก!AT91"")"),92400)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3"/>
      <c r="B103" s="184"/>
      <c r="C103" s="163" t="s">
        <v>16</v>
      </c>
      <c r="D103" s="185" t="s">
        <v>44</v>
      </c>
      <c r="E103" s="186"/>
      <c r="F103" s="186"/>
      <c r="G103" s="187"/>
      <c r="H103" s="188"/>
      <c r="I103" s="168"/>
      <c r="J103" s="195"/>
      <c r="K103" s="231"/>
      <c r="L103" s="176"/>
      <c r="M103" s="176"/>
      <c r="N103" s="176"/>
      <c r="O103" s="189"/>
      <c r="P103" s="189"/>
    </row>
    <row r="104" spans="1:16" ht="21.75" customHeight="1" x14ac:dyDescent="0.35">
      <c r="A104" s="183"/>
      <c r="B104" s="184"/>
      <c r="C104" s="184"/>
      <c r="D104" s="190">
        <v>1</v>
      </c>
      <c r="E104" s="191" t="s">
        <v>45</v>
      </c>
      <c r="F104" s="192"/>
      <c r="G104" s="193"/>
      <c r="H104" s="194"/>
      <c r="I104" s="195"/>
      <c r="J104" s="195">
        <f ca="1">IFERROR(__xludf.DUMMYFUNCTION("IMPORTRANGE(""https://docs.google.com/spreadsheets/d/1IYY_tgx_IHuhSq3AJ5eI5OnqOPBNLWSHKh2a30DoXe8/edit?usp=sharing"",""ระนอง!J39"")"),0)</f>
        <v>0</v>
      </c>
      <c r="K104" s="231"/>
      <c r="L104" s="176"/>
      <c r="M104" s="176"/>
      <c r="N104" s="176"/>
      <c r="O104" s="189"/>
      <c r="P104" s="189"/>
    </row>
    <row r="105" spans="1:16" ht="21.75" customHeight="1" x14ac:dyDescent="0.35">
      <c r="A105" s="183"/>
      <c r="B105" s="184"/>
      <c r="C105" s="184"/>
      <c r="D105" s="197">
        <v>2</v>
      </c>
      <c r="E105" s="198" t="s">
        <v>46</v>
      </c>
      <c r="F105" s="199"/>
      <c r="G105" s="200"/>
      <c r="H105" s="194"/>
      <c r="I105" s="195"/>
      <c r="J105" s="195">
        <f ca="1">IFERROR(__xludf.DUMMYFUNCTION("IMPORTRANGE(""https://docs.google.com/spreadsheets/d/1IYY_tgx_IHuhSq3AJ5eI5OnqOPBNLWSHKh2a30DoXe8/edit?usp=sharing"",""ระนอง!J40"")"),1)</f>
        <v>1</v>
      </c>
      <c r="K105" s="231"/>
      <c r="L105" s="176" t="s">
        <v>40</v>
      </c>
      <c r="M105" s="176"/>
      <c r="N105" s="176" t="s">
        <v>40</v>
      </c>
      <c r="O105" s="189"/>
      <c r="P105" s="189"/>
    </row>
    <row r="106" spans="1:16" ht="21.75" customHeight="1" x14ac:dyDescent="0.35">
      <c r="A106" s="183"/>
      <c r="B106" s="184"/>
      <c r="C106" s="184"/>
      <c r="D106" s="201"/>
      <c r="E106" s="202" t="s">
        <v>47</v>
      </c>
      <c r="F106" s="203"/>
      <c r="G106" s="204"/>
      <c r="H106" s="194"/>
      <c r="I106" s="195"/>
      <c r="J106" s="195">
        <f ca="1">IFERROR(__xludf.DUMMYFUNCTION("IMPORTRANGE(""https://docs.google.com/spreadsheets/d/1IYY_tgx_IHuhSq3AJ5eI5OnqOPBNLWSHKh2a30DoXe8/edit?usp=sharing"",""ระนอง!J41"")"),1)</f>
        <v>1</v>
      </c>
      <c r="K106" s="231"/>
      <c r="L106" s="176"/>
      <c r="M106" s="176"/>
      <c r="N106" s="176"/>
      <c r="O106" s="189"/>
      <c r="P106" s="189"/>
    </row>
    <row r="107" spans="1:16" ht="21.75" customHeight="1" x14ac:dyDescent="0.35">
      <c r="A107" s="183"/>
      <c r="B107" s="184"/>
      <c r="C107" s="184"/>
      <c r="D107" s="201"/>
      <c r="E107" s="202" t="s">
        <v>48</v>
      </c>
      <c r="F107" s="203"/>
      <c r="G107" s="204"/>
      <c r="H107" s="194"/>
      <c r="I107" s="195"/>
      <c r="J107" s="195">
        <f ca="1">IFERROR(__xludf.DUMMYFUNCTION("IMPORTRANGE(""https://docs.google.com/spreadsheets/d/1IYY_tgx_IHuhSq3AJ5eI5OnqOPBNLWSHKh2a30DoXe8/edit?usp=sharing"",""ระนอง!J42"")"),1)</f>
        <v>1</v>
      </c>
      <c r="K107" s="231"/>
      <c r="L107" s="176"/>
      <c r="M107" s="176"/>
      <c r="N107" s="176"/>
      <c r="O107" s="189"/>
      <c r="P107" s="189"/>
    </row>
    <row r="108" spans="1:16" ht="21.75" customHeight="1" x14ac:dyDescent="0.35">
      <c r="A108" s="183"/>
      <c r="B108" s="184"/>
      <c r="C108" s="184"/>
      <c r="D108" s="201"/>
      <c r="E108" s="203"/>
      <c r="F108" s="203" t="s">
        <v>60</v>
      </c>
      <c r="G108" s="203"/>
      <c r="H108" s="188" t="s">
        <v>61</v>
      </c>
      <c r="I108" s="210">
        <f ca="1">IFERROR(__xludf.DUMMYFUNCTION("IMPORTRANGE(""https://docs.google.com/spreadsheets/d/1IYY_tgx_IHuhSq3AJ5eI5OnqOPBNLWSHKh2a30DoXe8/edit?usp=sharing"",""ระนอง!I43"")"),1)</f>
        <v>1</v>
      </c>
      <c r="J108" s="211">
        <f ca="1">IFERROR(__xludf.DUMMYFUNCTION("IMPORTRANGE(""https://docs.google.com/spreadsheets/d/1IYY_tgx_IHuhSq3AJ5eI5OnqOPBNLWSHKh2a30DoXe8/edit?usp=sharing"",""ระนอง!J43"")"),1)</f>
        <v>1</v>
      </c>
      <c r="K108" s="231">
        <f t="shared" ref="K108:K113" ca="1" si="57">IF(I108&gt;0,J108*100/I108,0)</f>
        <v>100</v>
      </c>
      <c r="L108" s="176"/>
      <c r="M108" s="176"/>
      <c r="N108" s="176"/>
      <c r="O108" s="189"/>
      <c r="P108" s="189"/>
    </row>
    <row r="109" spans="1:16" ht="21.75" customHeight="1" x14ac:dyDescent="0.35">
      <c r="A109" s="183"/>
      <c r="B109" s="184"/>
      <c r="C109" s="184"/>
      <c r="D109" s="201"/>
      <c r="E109" s="206"/>
      <c r="F109" s="202" t="s">
        <v>62</v>
      </c>
      <c r="G109" s="203"/>
      <c r="H109" s="188" t="s">
        <v>37</v>
      </c>
      <c r="I109" s="210">
        <f ca="1">IFERROR(__xludf.DUMMYFUNCTION("IMPORTRANGE(""https://docs.google.com/spreadsheets/d/1IYY_tgx_IHuhSq3AJ5eI5OnqOPBNLWSHKh2a30DoXe8/edit?usp=sharing"",""ระนอง!I44"")"),4)</f>
        <v>4</v>
      </c>
      <c r="J109" s="211">
        <f ca="1">IFERROR(__xludf.DUMMYFUNCTION("IMPORTRANGE(""https://docs.google.com/spreadsheets/d/1IYY_tgx_IHuhSq3AJ5eI5OnqOPBNLWSHKh2a30DoXe8/edit?usp=sharing"",""ระนอง!J44"")"),0)</f>
        <v>0</v>
      </c>
      <c r="K109" s="231">
        <f t="shared" ca="1" si="57"/>
        <v>0</v>
      </c>
      <c r="L109" s="176"/>
      <c r="M109" s="176"/>
      <c r="N109" s="176"/>
      <c r="O109" s="189"/>
      <c r="P109" s="189"/>
    </row>
    <row r="110" spans="1:16" ht="21.75" customHeight="1" x14ac:dyDescent="0.35">
      <c r="A110" s="183"/>
      <c r="B110" s="184"/>
      <c r="C110" s="184"/>
      <c r="D110" s="201"/>
      <c r="E110" s="206"/>
      <c r="F110" s="203"/>
      <c r="G110" s="232" t="s">
        <v>63</v>
      </c>
      <c r="H110" s="188" t="s">
        <v>37</v>
      </c>
      <c r="I110" s="210">
        <f ca="1">IFERROR(__xludf.DUMMYFUNCTION("IMPORTRANGE(""https://docs.google.com/spreadsheets/d/1IYY_tgx_IHuhSq3AJ5eI5OnqOPBNLWSHKh2a30DoXe8/edit?usp=sharing"",""ระนอง!I45"")"),4)</f>
        <v>4</v>
      </c>
      <c r="J110" s="211">
        <f ca="1">IFERROR(__xludf.DUMMYFUNCTION("IMPORTRANGE(""https://docs.google.com/spreadsheets/d/1IYY_tgx_IHuhSq3AJ5eI5OnqOPBNLWSHKh2a30DoXe8/edit?usp=sharing"",""ระนอง!J45"")"),4)</f>
        <v>4</v>
      </c>
      <c r="K110" s="231">
        <f t="shared" ca="1" si="57"/>
        <v>100</v>
      </c>
      <c r="L110" s="176"/>
      <c r="M110" s="176"/>
      <c r="N110" s="176"/>
      <c r="O110" s="189"/>
      <c r="P110" s="189"/>
    </row>
    <row r="111" spans="1:16" ht="21.75" customHeight="1" x14ac:dyDescent="0.35">
      <c r="A111" s="183"/>
      <c r="B111" s="184"/>
      <c r="C111" s="184"/>
      <c r="D111" s="201"/>
      <c r="E111" s="206"/>
      <c r="F111" s="203"/>
      <c r="G111" s="232" t="s">
        <v>64</v>
      </c>
      <c r="H111" s="188" t="s">
        <v>37</v>
      </c>
      <c r="I111" s="210">
        <f ca="1">IFERROR(__xludf.DUMMYFUNCTION("IMPORTRANGE(""https://docs.google.com/spreadsheets/d/1IYY_tgx_IHuhSq3AJ5eI5OnqOPBNLWSHKh2a30DoXe8/edit?usp=sharing"",""ระนอง!I46"")"),4)</f>
        <v>4</v>
      </c>
      <c r="J111" s="211">
        <f ca="1">IFERROR(__xludf.DUMMYFUNCTION("IMPORTRANGE(""https://docs.google.com/spreadsheets/d/1IYY_tgx_IHuhSq3AJ5eI5OnqOPBNLWSHKh2a30DoXe8/edit?usp=sharing"",""ระนอง!J46"")"),4)</f>
        <v>4</v>
      </c>
      <c r="K111" s="231">
        <f t="shared" ca="1" si="57"/>
        <v>100</v>
      </c>
      <c r="L111" s="176"/>
      <c r="M111" s="176"/>
      <c r="N111" s="176"/>
      <c r="O111" s="189"/>
      <c r="P111" s="189"/>
    </row>
    <row r="112" spans="1:16" ht="21.75" customHeight="1" x14ac:dyDescent="0.35">
      <c r="A112" s="183"/>
      <c r="B112" s="184"/>
      <c r="C112" s="184"/>
      <c r="D112" s="201"/>
      <c r="E112" s="206"/>
      <c r="F112" s="203"/>
      <c r="G112" s="233" t="s">
        <v>65</v>
      </c>
      <c r="H112" s="188" t="s">
        <v>37</v>
      </c>
      <c r="I112" s="210">
        <f ca="1">IFERROR(__xludf.DUMMYFUNCTION("IMPORTRANGE(""https://docs.google.com/spreadsheets/d/1IYY_tgx_IHuhSq3AJ5eI5OnqOPBNLWSHKh2a30DoXe8/edit?usp=sharing"",""ระนอง!I47"")"),4)</f>
        <v>4</v>
      </c>
      <c r="J112" s="211">
        <f ca="1">IFERROR(__xludf.DUMMYFUNCTION("IMPORTRANGE(""https://docs.google.com/spreadsheets/d/1IYY_tgx_IHuhSq3AJ5eI5OnqOPBNLWSHKh2a30DoXe8/edit?usp=sharing"",""ระนอง!J47"")"),0)</f>
        <v>0</v>
      </c>
      <c r="K112" s="231">
        <f t="shared" ca="1" si="57"/>
        <v>0</v>
      </c>
      <c r="L112" s="176"/>
      <c r="M112" s="176"/>
      <c r="N112" s="176"/>
      <c r="O112" s="189"/>
      <c r="P112" s="189"/>
    </row>
    <row r="113" spans="1:16" ht="21.75" customHeight="1" x14ac:dyDescent="0.35">
      <c r="A113" s="183"/>
      <c r="B113" s="184"/>
      <c r="C113" s="184"/>
      <c r="D113" s="201"/>
      <c r="E113" s="206"/>
      <c r="F113" s="203" t="s">
        <v>66</v>
      </c>
      <c r="G113" s="203"/>
      <c r="H113" s="188" t="s">
        <v>59</v>
      </c>
      <c r="I113" s="210">
        <f ca="1">IFERROR(__xludf.DUMMYFUNCTION("IMPORTRANGE(""https://docs.google.com/spreadsheets/d/1IYY_tgx_IHuhSq3AJ5eI5OnqOPBNLWSHKh2a30DoXe8/edit?usp=sharing"",""ระนอง!I48"")"),1)</f>
        <v>1</v>
      </c>
      <c r="J113" s="211">
        <f ca="1">IFERROR(__xludf.DUMMYFUNCTION("IMPORTRANGE(""https://docs.google.com/spreadsheets/d/1IYY_tgx_IHuhSq3AJ5eI5OnqOPBNLWSHKh2a30DoXe8/edit?usp=sharing"",""ระนอง!J48"")"),0)</f>
        <v>0</v>
      </c>
      <c r="K113" s="231">
        <f t="shared" ca="1" si="57"/>
        <v>0</v>
      </c>
      <c r="L113" s="176"/>
      <c r="M113" s="176"/>
      <c r="N113" s="176"/>
      <c r="O113" s="189"/>
      <c r="P113" s="189"/>
    </row>
    <row r="114" spans="1:16" ht="21.75" customHeight="1" x14ac:dyDescent="0.35">
      <c r="A114" s="183"/>
      <c r="B114" s="184"/>
      <c r="C114" s="184"/>
      <c r="D114" s="201"/>
      <c r="E114" s="202" t="s">
        <v>54</v>
      </c>
      <c r="F114" s="203"/>
      <c r="G114" s="204"/>
      <c r="H114" s="194"/>
      <c r="I114" s="195"/>
      <c r="J114" s="195">
        <f ca="1">IFERROR(__xludf.DUMMYFUNCTION("IMPORTRANGE(""https://docs.google.com/spreadsheets/d/1IYY_tgx_IHuhSq3AJ5eI5OnqOPBNLWSHKh2a30DoXe8/edit?usp=sharing"",""ระนอง!J49"")"),0)</f>
        <v>0</v>
      </c>
      <c r="K114" s="231"/>
      <c r="L114" s="176"/>
      <c r="M114" s="176"/>
      <c r="N114" s="176"/>
      <c r="O114" s="189"/>
      <c r="P114" s="189"/>
    </row>
    <row r="115" spans="1:16" ht="21.75" customHeight="1" x14ac:dyDescent="0.35">
      <c r="A115" s="183"/>
      <c r="B115" s="184"/>
      <c r="C115" s="184"/>
      <c r="D115" s="213">
        <v>3</v>
      </c>
      <c r="E115" s="214" t="s">
        <v>55</v>
      </c>
      <c r="F115" s="215"/>
      <c r="G115" s="216"/>
      <c r="H115" s="194"/>
      <c r="I115" s="195"/>
      <c r="J115" s="234">
        <f ca="1">IFERROR(__xludf.DUMMYFUNCTION("IMPORTRANGE(""https://docs.google.com/spreadsheets/d/1IYY_tgx_IHuhSq3AJ5eI5OnqOPBNLWSHKh2a30DoXe8/edit?usp=sharing"",""ระนอง!J50"")"),0)</f>
        <v>0</v>
      </c>
      <c r="K115" s="231"/>
      <c r="L115" s="176"/>
      <c r="M115" s="176"/>
      <c r="N115" s="176"/>
      <c r="O115" s="189"/>
      <c r="P115" s="189"/>
    </row>
    <row r="116" spans="1:16" ht="21.75" customHeight="1" x14ac:dyDescent="0.35">
      <c r="A116" s="218" t="s">
        <v>67</v>
      </c>
      <c r="B116" s="235"/>
      <c r="C116" s="236"/>
      <c r="D116" s="235"/>
      <c r="E116" s="237"/>
      <c r="F116" s="237"/>
      <c r="G116" s="238"/>
      <c r="H116" s="223"/>
      <c r="I116" s="224"/>
      <c r="J116" s="224"/>
      <c r="K116" s="225"/>
      <c r="L116" s="226"/>
      <c r="M116" s="226"/>
      <c r="N116" s="226"/>
      <c r="O116" s="227"/>
      <c r="P116" s="227"/>
    </row>
    <row r="117" spans="1:16" ht="21.75" customHeight="1" x14ac:dyDescent="0.35">
      <c r="A117" s="142"/>
      <c r="B117" s="143" t="s">
        <v>68</v>
      </c>
      <c r="C117" s="239"/>
      <c r="D117" s="144"/>
      <c r="E117" s="143"/>
      <c r="F117" s="143"/>
      <c r="G117" s="228"/>
      <c r="H117" s="145" t="s">
        <v>37</v>
      </c>
      <c r="I117" s="146">
        <f ca="1">IFERROR(__xludf.DUMMYFUNCTION("IMPORTRANGE(""https://docs.google.com/spreadsheets/d/1IYY_tgx_IHuhSq3AJ5eI5OnqOPBNLWSHKh2a30DoXe8/edit?usp=sharing"",""ระนอง!I52"")"),0)</f>
        <v>0</v>
      </c>
      <c r="J117" s="146">
        <f ca="1">IFERROR(__xludf.DUMMYFUNCTION("IMPORTRANGE(""https://docs.google.com/spreadsheets/d/1IYY_tgx_IHuhSq3AJ5eI5OnqOPBNLWSHKh2a30DoXe8/edit?usp=sharing"",""ระนอง!J52"")"),0)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52" t="s">
        <v>17</v>
      </c>
      <c r="E118" s="543"/>
      <c r="F118" s="543"/>
      <c r="G118" s="543"/>
      <c r="H118" s="153" t="s">
        <v>12</v>
      </c>
      <c r="I118" s="168"/>
      <c r="J118" s="168"/>
      <c r="K118" s="169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8"/>
      <c r="J119" s="168"/>
      <c r="K119" s="169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8"/>
      <c r="J120" s="168"/>
      <c r="K120" s="169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5">
      <c r="A121" s="162"/>
      <c r="B121" s="163"/>
      <c r="C121" s="163" t="s">
        <v>16</v>
      </c>
      <c r="D121" s="164" t="s">
        <v>38</v>
      </c>
      <c r="E121" s="165"/>
      <c r="F121" s="165"/>
      <c r="G121" s="166" t="s">
        <v>39</v>
      </c>
      <c r="H121" s="167" t="s">
        <v>12</v>
      </c>
      <c r="I121" s="168" t="s">
        <v>40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 x14ac:dyDescent="0.35">
      <c r="A122" s="162"/>
      <c r="B122" s="163"/>
      <c r="C122" s="163"/>
      <c r="D122" s="172"/>
      <c r="E122" s="165"/>
      <c r="F122" s="165" t="s">
        <v>40</v>
      </c>
      <c r="G122" s="166" t="s">
        <v>41</v>
      </c>
      <c r="H122" s="167" t="s">
        <v>12</v>
      </c>
      <c r="I122" s="168"/>
      <c r="J122" s="168"/>
      <c r="K122" s="169"/>
      <c r="L122" s="173">
        <f ca="1">L123+L124</f>
        <v>0</v>
      </c>
      <c r="M122" s="174">
        <f ca="1">IFERROR(__xludf.DUMMYFUNCTION("IMPORTRANGE(""https://docs.google.com/spreadsheets/d/1Yj_ptqi66GCucihVvJfMjLAmec39IyEx_6qawtMGysU/edit?usp=sharing"",""สบก!BA91"")"),0)</f>
        <v>0</v>
      </c>
      <c r="N122" s="175">
        <f ca="1">IFERROR(__xludf.DUMMYFUNCTION("IMPORTRANGE(""https://docs.google.com/spreadsheets/d/1Yj_ptqi66GCucihVvJfMjLAmec39IyEx_6qawtMGysU/edit?usp=sharing"",""สบก!BB91"")"),0)</f>
        <v>0</v>
      </c>
      <c r="O122" s="176">
        <f ca="1">IF(L122&gt;0,N122*100/L122,0)</f>
        <v>0</v>
      </c>
      <c r="P122" s="176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2"/>
      <c r="E123" s="165"/>
      <c r="F123" s="165"/>
      <c r="G123" s="177" t="s">
        <v>42</v>
      </c>
      <c r="H123" s="167" t="s">
        <v>12</v>
      </c>
      <c r="I123" s="168"/>
      <c r="J123" s="168"/>
      <c r="K123" s="169"/>
      <c r="L123" s="174">
        <f ca="1">IFERROR(__xludf.DUMMYFUNCTION("IMPORTRANGE(""https://docs.google.com/spreadsheets/d/1Yj_ptqi66GCucihVvJfMjLAmec39IyEx_6qawtMGysU/edit?usp=sharing"",""สบก!AW91"")"),0)</f>
        <v>0</v>
      </c>
      <c r="M123" s="173"/>
      <c r="N123" s="173"/>
      <c r="O123" s="176"/>
      <c r="P123" s="176"/>
    </row>
    <row r="124" spans="1:16" ht="21.75" customHeight="1" x14ac:dyDescent="0.35">
      <c r="A124" s="162"/>
      <c r="B124" s="163"/>
      <c r="C124" s="163"/>
      <c r="D124" s="172"/>
      <c r="E124" s="165"/>
      <c r="F124" s="165"/>
      <c r="G124" s="177" t="s">
        <v>43</v>
      </c>
      <c r="H124" s="167" t="s">
        <v>12</v>
      </c>
      <c r="I124" s="168"/>
      <c r="J124" s="195"/>
      <c r="K124" s="231"/>
      <c r="L124" s="174">
        <f ca="1">IFERROR(__xludf.DUMMYFUNCTION("IMPORTRANGE(""https://docs.google.com/spreadsheets/d/1Yj_ptqi66GCucihVvJfMjLAmec39IyEx_6qawtMGysU/edit?usp=sharing"",""สบก!AX91"")"),0)</f>
        <v>0</v>
      </c>
      <c r="M124" s="173"/>
      <c r="N124" s="173"/>
      <c r="O124" s="176"/>
      <c r="P124" s="176"/>
    </row>
    <row r="125" spans="1:16" ht="21.75" customHeight="1" x14ac:dyDescent="0.45">
      <c r="A125" s="178"/>
      <c r="B125" s="81"/>
      <c r="C125" s="82" t="s">
        <v>16</v>
      </c>
      <c r="D125" s="549" t="s">
        <v>23</v>
      </c>
      <c r="E125" s="545"/>
      <c r="F125" s="89"/>
      <c r="G125" s="83" t="s">
        <v>18</v>
      </c>
      <c r="H125" s="179" t="s">
        <v>12</v>
      </c>
      <c r="I125" s="195"/>
      <c r="J125" s="195"/>
      <c r="K125" s="231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80"/>
      <c r="B126" s="95"/>
      <c r="C126" s="95"/>
      <c r="D126" s="181"/>
      <c r="E126" s="96"/>
      <c r="F126" s="96"/>
      <c r="G126" s="97" t="s">
        <v>19</v>
      </c>
      <c r="H126" s="182" t="s">
        <v>12</v>
      </c>
      <c r="I126" s="195"/>
      <c r="J126" s="195"/>
      <c r="K126" s="231"/>
      <c r="L126" s="91">
        <f ca="1">IFERROR(__xludf.DUMMYFUNCTION("IMPORTRANGE(""https://docs.google.com/spreadsheets/d/1Yj_ptqi66GCucihVvJfMjLAmec39IyEx_6qawtMGysU/edit?usp=sharing"",""สบก!AY91"")"),0)</f>
        <v>0</v>
      </c>
      <c r="M126" s="101"/>
      <c r="N126" s="91">
        <f ca="1">IFERROR(__xludf.DUMMYFUNCTION("IMPORTRANGE(""https://docs.google.com/spreadsheets/d/1Yj_ptqi66GCucihVvJfMjLAmec39IyEx_6qawtMGysU/edit?usp=sharing"",""สบก!BC91"")"),0)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3"/>
      <c r="B127" s="184"/>
      <c r="C127" s="163" t="s">
        <v>16</v>
      </c>
      <c r="D127" s="240" t="s">
        <v>261</v>
      </c>
      <c r="E127" s="186"/>
      <c r="F127" s="186"/>
      <c r="G127" s="187"/>
      <c r="H127" s="188"/>
      <c r="I127" s="168"/>
      <c r="J127" s="195"/>
      <c r="K127" s="231"/>
      <c r="L127" s="176"/>
      <c r="M127" s="176"/>
      <c r="N127" s="176"/>
      <c r="O127" s="189"/>
      <c r="P127" s="189"/>
    </row>
    <row r="128" spans="1:16" ht="21.75" customHeight="1" x14ac:dyDescent="0.35">
      <c r="A128" s="183"/>
      <c r="B128" s="184"/>
      <c r="C128" s="184"/>
      <c r="D128" s="190">
        <v>1</v>
      </c>
      <c r="E128" s="191" t="s">
        <v>45</v>
      </c>
      <c r="F128" s="192"/>
      <c r="G128" s="193"/>
      <c r="H128" s="194"/>
      <c r="I128" s="195"/>
      <c r="J128" s="211">
        <f ca="1">IFERROR(__xludf.DUMMYFUNCTION("IMPORTRANGE(""https://docs.google.com/spreadsheets/d/1IYY_tgx_IHuhSq3AJ5eI5OnqOPBNLWSHKh2a30DoXe8/edit?usp=sharing"",""ระนอง!J58"")"),0)</f>
        <v>0</v>
      </c>
      <c r="K128" s="231"/>
      <c r="L128" s="176"/>
      <c r="M128" s="176"/>
      <c r="N128" s="176"/>
      <c r="O128" s="189"/>
      <c r="P128" s="189"/>
    </row>
    <row r="129" spans="1:16" ht="21.75" customHeight="1" x14ac:dyDescent="0.35">
      <c r="A129" s="183"/>
      <c r="B129" s="184"/>
      <c r="C129" s="184"/>
      <c r="D129" s="197">
        <v>2</v>
      </c>
      <c r="E129" s="198" t="s">
        <v>46</v>
      </c>
      <c r="F129" s="199"/>
      <c r="G129" s="200"/>
      <c r="H129" s="194"/>
      <c r="I129" s="195"/>
      <c r="J129" s="195">
        <f ca="1">IFERROR(__xludf.DUMMYFUNCTION("IMPORTRANGE(""https://docs.google.com/spreadsheets/d/1IYY_tgx_IHuhSq3AJ5eI5OnqOPBNLWSHKh2a30DoXe8/edit?usp=sharing"",""ระนอง!J59"")"),0)</f>
        <v>0</v>
      </c>
      <c r="K129" s="231"/>
      <c r="L129" s="176" t="s">
        <v>40</v>
      </c>
      <c r="M129" s="176"/>
      <c r="N129" s="176" t="s">
        <v>40</v>
      </c>
      <c r="O129" s="189"/>
      <c r="P129" s="189"/>
    </row>
    <row r="130" spans="1:16" ht="21.75" customHeight="1" x14ac:dyDescent="0.35">
      <c r="A130" s="183"/>
      <c r="B130" s="184"/>
      <c r="C130" s="184"/>
      <c r="D130" s="201"/>
      <c r="E130" s="202" t="s">
        <v>47</v>
      </c>
      <c r="F130" s="203"/>
      <c r="G130" s="204"/>
      <c r="H130" s="194"/>
      <c r="I130" s="195"/>
      <c r="J130" s="195">
        <f ca="1">IFERROR(__xludf.DUMMYFUNCTION("IMPORTRANGE(""https://docs.google.com/spreadsheets/d/1IYY_tgx_IHuhSq3AJ5eI5OnqOPBNLWSHKh2a30DoXe8/edit?usp=sharing"",""ระนอง!J60"")"),0)</f>
        <v>0</v>
      </c>
      <c r="K130" s="231"/>
      <c r="L130" s="176"/>
      <c r="M130" s="176"/>
      <c r="N130" s="176"/>
      <c r="O130" s="189"/>
      <c r="P130" s="189"/>
    </row>
    <row r="131" spans="1:16" ht="21.75" customHeight="1" x14ac:dyDescent="0.35">
      <c r="A131" s="183"/>
      <c r="B131" s="184"/>
      <c r="C131" s="184"/>
      <c r="D131" s="201"/>
      <c r="E131" s="202" t="s">
        <v>48</v>
      </c>
      <c r="F131" s="203"/>
      <c r="G131" s="204"/>
      <c r="H131" s="194"/>
      <c r="I131" s="195"/>
      <c r="J131" s="195">
        <f ca="1">IFERROR(__xludf.DUMMYFUNCTION("IMPORTRANGE(""https://docs.google.com/spreadsheets/d/1IYY_tgx_IHuhSq3AJ5eI5OnqOPBNLWSHKh2a30DoXe8/edit?usp=sharing"",""ระนอง!J61"")"),0)</f>
        <v>0</v>
      </c>
      <c r="K131" s="231"/>
      <c r="L131" s="176"/>
      <c r="M131" s="176"/>
      <c r="N131" s="176"/>
      <c r="O131" s="189"/>
      <c r="P131" s="189"/>
    </row>
    <row r="132" spans="1:16" ht="21.75" customHeight="1" x14ac:dyDescent="0.35">
      <c r="A132" s="183"/>
      <c r="B132" s="184"/>
      <c r="C132" s="184"/>
      <c r="D132" s="201"/>
      <c r="E132" s="206"/>
      <c r="F132" s="202" t="s">
        <v>70</v>
      </c>
      <c r="G132" s="204"/>
      <c r="H132" s="188" t="s">
        <v>37</v>
      </c>
      <c r="I132" s="195">
        <f ca="1">IFERROR(__xludf.DUMMYFUNCTION("IMPORTRANGE(""https://docs.google.com/spreadsheets/d/1IYY_tgx_IHuhSq3AJ5eI5OnqOPBNLWSHKh2a30DoXe8/edit?usp=sharing"",""ระนอง!I62"")"),0)</f>
        <v>0</v>
      </c>
      <c r="J132" s="211">
        <f ca="1">IFERROR(__xludf.DUMMYFUNCTION("IMPORTRANGE(""https://docs.google.com/spreadsheets/d/1IYY_tgx_IHuhSq3AJ5eI5OnqOPBNLWSHKh2a30DoXe8/edit?usp=sharing"",""ระนอง!J62"")"),0)</f>
        <v>0</v>
      </c>
      <c r="K132" s="231">
        <f t="shared" ref="K132:K133" ca="1" si="63">IF(I132&gt;0,J132*100/I132,0)</f>
        <v>0</v>
      </c>
      <c r="L132" s="176"/>
      <c r="M132" s="176"/>
      <c r="N132" s="176"/>
      <c r="O132" s="189"/>
      <c r="P132" s="189"/>
    </row>
    <row r="133" spans="1:16" ht="21.75" customHeight="1" x14ac:dyDescent="0.35">
      <c r="A133" s="183"/>
      <c r="B133" s="184"/>
      <c r="C133" s="184"/>
      <c r="D133" s="201"/>
      <c r="E133" s="206"/>
      <c r="F133" s="202" t="s">
        <v>71</v>
      </c>
      <c r="G133" s="204"/>
      <c r="H133" s="188" t="s">
        <v>37</v>
      </c>
      <c r="I133" s="195">
        <f ca="1">IFERROR(__xludf.DUMMYFUNCTION("IMPORTRANGE(""https://docs.google.com/spreadsheets/d/1IYY_tgx_IHuhSq3AJ5eI5OnqOPBNLWSHKh2a30DoXe8/edit?usp=sharing"",""ระนอง!I63"")"),0)</f>
        <v>0</v>
      </c>
      <c r="J133" s="211">
        <f ca="1">IFERROR(__xludf.DUMMYFUNCTION("IMPORTRANGE(""https://docs.google.com/spreadsheets/d/1IYY_tgx_IHuhSq3AJ5eI5OnqOPBNLWSHKh2a30DoXe8/edit?usp=sharing"",""ระนอง!J63"")"),0)</f>
        <v>0</v>
      </c>
      <c r="K133" s="231">
        <f t="shared" ca="1" si="63"/>
        <v>0</v>
      </c>
      <c r="L133" s="176"/>
      <c r="M133" s="176"/>
      <c r="N133" s="176"/>
      <c r="O133" s="189"/>
      <c r="P133" s="189"/>
    </row>
    <row r="134" spans="1:16" ht="21.75" customHeight="1" x14ac:dyDescent="0.35">
      <c r="A134" s="183"/>
      <c r="B134" s="184"/>
      <c r="C134" s="184"/>
      <c r="D134" s="201"/>
      <c r="E134" s="202" t="s">
        <v>54</v>
      </c>
      <c r="F134" s="203"/>
      <c r="G134" s="204"/>
      <c r="H134" s="194"/>
      <c r="I134" s="195"/>
      <c r="J134" s="195">
        <f ca="1">IFERROR(__xludf.DUMMYFUNCTION("IMPORTRANGE(""https://docs.google.com/spreadsheets/d/1IYY_tgx_IHuhSq3AJ5eI5OnqOPBNLWSHKh2a30DoXe8/edit?usp=sharing"",""ระนอง!J64"")"),0)</f>
        <v>0</v>
      </c>
      <c r="K134" s="231"/>
      <c r="L134" s="176"/>
      <c r="M134" s="176"/>
      <c r="N134" s="176"/>
      <c r="O134" s="189"/>
      <c r="P134" s="189"/>
    </row>
    <row r="135" spans="1:16" ht="21.75" customHeight="1" x14ac:dyDescent="0.35">
      <c r="A135" s="241"/>
      <c r="B135" s="242"/>
      <c r="C135" s="242"/>
      <c r="D135" s="243">
        <v>3</v>
      </c>
      <c r="E135" s="244" t="s">
        <v>55</v>
      </c>
      <c r="F135" s="245"/>
      <c r="G135" s="246"/>
      <c r="H135" s="247"/>
      <c r="I135" s="248"/>
      <c r="J135" s="249">
        <f ca="1">IFERROR(__xludf.DUMMYFUNCTION("IMPORTRANGE(""https://docs.google.com/spreadsheets/d/1IYY_tgx_IHuhSq3AJ5eI5OnqOPBNLWSHKh2a30DoXe8/edit?usp=sharing"",""ระนอง!J65"")"),0)</f>
        <v>0</v>
      </c>
      <c r="K135" s="250"/>
      <c r="L135" s="251"/>
      <c r="M135" s="251"/>
      <c r="N135" s="251"/>
      <c r="O135" s="252"/>
      <c r="P135" s="252"/>
    </row>
    <row r="136" spans="1:16" ht="21.75" customHeight="1" x14ac:dyDescent="0.35">
      <c r="A136" s="253" t="s">
        <v>72</v>
      </c>
      <c r="B136" s="254"/>
      <c r="C136" s="254"/>
      <c r="D136" s="254"/>
      <c r="E136" s="255"/>
      <c r="F136" s="255"/>
      <c r="G136" s="256"/>
      <c r="H136" s="257"/>
      <c r="I136" s="258"/>
      <c r="J136" s="258"/>
      <c r="K136" s="259"/>
      <c r="L136" s="260"/>
      <c r="M136" s="260"/>
      <c r="N136" s="260"/>
      <c r="O136" s="260"/>
      <c r="P136" s="260"/>
    </row>
    <row r="137" spans="1:16" ht="21.75" customHeight="1" x14ac:dyDescent="0.35">
      <c r="A137" s="261" t="s">
        <v>73</v>
      </c>
      <c r="B137" s="262"/>
      <c r="C137" s="262"/>
      <c r="D137" s="263"/>
      <c r="E137" s="263"/>
      <c r="F137" s="263"/>
      <c r="G137" s="264"/>
      <c r="H137" s="265"/>
      <c r="I137" s="266"/>
      <c r="J137" s="266"/>
      <c r="K137" s="267"/>
      <c r="L137" s="267"/>
      <c r="M137" s="267"/>
      <c r="N137" s="267"/>
      <c r="O137" s="268"/>
      <c r="P137" s="268"/>
    </row>
    <row r="138" spans="1:16" ht="21.75" customHeight="1" x14ac:dyDescent="0.35">
      <c r="A138" s="269"/>
      <c r="B138" s="270" t="s">
        <v>74</v>
      </c>
      <c r="C138" s="271"/>
      <c r="D138" s="270"/>
      <c r="E138" s="270"/>
      <c r="F138" s="270"/>
      <c r="G138" s="272"/>
      <c r="H138" s="273" t="s">
        <v>37</v>
      </c>
      <c r="I138" s="274">
        <f ca="1">IFERROR(__xludf.DUMMYFUNCTION("IMPORTRANGE(""https://docs.google.com/spreadsheets/d/1IYY_tgx_IHuhSq3AJ5eI5OnqOPBNLWSHKh2a30DoXe8/edit?usp=sharing"",""ระนอง!I68"")"),0)</f>
        <v>0</v>
      </c>
      <c r="J138" s="274">
        <f ca="1">IFERROR(__xludf.DUMMYFUNCTION("IMPORTRANGE(""https://docs.google.com/spreadsheets/d/1IYY_tgx_IHuhSq3AJ5eI5OnqOPBNLWSHKh2a30DoXe8/edit?usp=sharing"",""ระนอง!J68"")"),0)</f>
        <v>0</v>
      </c>
      <c r="K138" s="275">
        <f ca="1">IF(I138&gt;0,J138*100/I138,0)</f>
        <v>0</v>
      </c>
      <c r="L138" s="276"/>
      <c r="M138" s="276"/>
      <c r="N138" s="276"/>
      <c r="O138" s="275"/>
      <c r="P138" s="275"/>
    </row>
    <row r="139" spans="1:16" ht="21.75" customHeight="1" x14ac:dyDescent="0.35">
      <c r="A139" s="269"/>
      <c r="B139" s="270" t="s">
        <v>75</v>
      </c>
      <c r="C139" s="271"/>
      <c r="D139" s="270"/>
      <c r="E139" s="270"/>
      <c r="F139" s="270"/>
      <c r="G139" s="272"/>
      <c r="H139" s="273"/>
      <c r="I139" s="274"/>
      <c r="J139" s="274"/>
      <c r="K139" s="275"/>
      <c r="L139" s="276"/>
      <c r="M139" s="276"/>
      <c r="N139" s="276"/>
      <c r="O139" s="275"/>
      <c r="P139" s="275"/>
    </row>
    <row r="140" spans="1:16" ht="21.75" customHeight="1" x14ac:dyDescent="0.45">
      <c r="A140" s="150"/>
      <c r="B140" s="151"/>
      <c r="C140" s="152" t="s">
        <v>16</v>
      </c>
      <c r="D140" s="552" t="s">
        <v>17</v>
      </c>
      <c r="E140" s="543"/>
      <c r="F140" s="543"/>
      <c r="G140" s="543"/>
      <c r="H140" s="153" t="s">
        <v>12</v>
      </c>
      <c r="I140" s="168"/>
      <c r="J140" s="168"/>
      <c r="K140" s="169"/>
      <c r="L140" s="156">
        <f t="shared" ref="L140:N140" ca="1" si="64">L141+L142</f>
        <v>43600</v>
      </c>
      <c r="M140" s="156">
        <f t="shared" ca="1" si="64"/>
        <v>39750</v>
      </c>
      <c r="N140" s="156">
        <f t="shared" ca="1" si="64"/>
        <v>32500</v>
      </c>
      <c r="O140" s="155">
        <f t="shared" ref="O140:O142" ca="1" si="65">IF(L140&gt;0,N140*100/L140,0)</f>
        <v>74.541284403669721</v>
      </c>
      <c r="P140" s="155">
        <f t="shared" ref="P140:P142" ca="1" si="66">IF(M140&gt;0,N140*100/M140,0)</f>
        <v>81.76100628930817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8"/>
      <c r="J141" s="168"/>
      <c r="K141" s="169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8"/>
      <c r="J142" s="168"/>
      <c r="K142" s="169"/>
      <c r="L142" s="161">
        <f t="shared" ref="L142:N142" ca="1" si="68">L144+L148</f>
        <v>43600</v>
      </c>
      <c r="M142" s="161">
        <f t="shared" ca="1" si="68"/>
        <v>39750</v>
      </c>
      <c r="N142" s="161">
        <f t="shared" ca="1" si="68"/>
        <v>32500</v>
      </c>
      <c r="O142" s="160">
        <f t="shared" ca="1" si="65"/>
        <v>74.541284403669721</v>
      </c>
      <c r="P142" s="160">
        <f t="shared" ca="1" si="66"/>
        <v>81.76100628930817</v>
      </c>
    </row>
    <row r="143" spans="1:16" ht="21.75" customHeight="1" x14ac:dyDescent="0.35">
      <c r="A143" s="162"/>
      <c r="B143" s="163"/>
      <c r="C143" s="163" t="s">
        <v>16</v>
      </c>
      <c r="D143" s="164" t="s">
        <v>38</v>
      </c>
      <c r="E143" s="165"/>
      <c r="F143" s="165"/>
      <c r="G143" s="166" t="s">
        <v>39</v>
      </c>
      <c r="H143" s="167" t="s">
        <v>12</v>
      </c>
      <c r="I143" s="168" t="s">
        <v>40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 x14ac:dyDescent="0.35">
      <c r="A144" s="162"/>
      <c r="B144" s="163"/>
      <c r="C144" s="163"/>
      <c r="D144" s="172"/>
      <c r="E144" s="165"/>
      <c r="F144" s="165" t="s">
        <v>40</v>
      </c>
      <c r="G144" s="166" t="s">
        <v>41</v>
      </c>
      <c r="H144" s="167" t="s">
        <v>12</v>
      </c>
      <c r="I144" s="168"/>
      <c r="J144" s="168"/>
      <c r="K144" s="169"/>
      <c r="L144" s="173">
        <f ca="1">L145+L146</f>
        <v>43600</v>
      </c>
      <c r="M144" s="174">
        <f ca="1">IFERROR(__xludf.DUMMYFUNCTION("IMPORTRANGE(""https://docs.google.com/spreadsheets/d/1Yj_ptqi66GCucihVvJfMjLAmec39IyEx_6qawtMGysU/edit?usp=sharing"",""สบก!BJ91"")"),39750)</f>
        <v>39750</v>
      </c>
      <c r="N144" s="175">
        <f ca="1">IFERROR(__xludf.DUMMYFUNCTION("IMPORTRANGE(""https://docs.google.com/spreadsheets/d/1Yj_ptqi66GCucihVvJfMjLAmec39IyEx_6qawtMGysU/edit?usp=sharing"",""สบก!BK91"")"),32500)</f>
        <v>32500</v>
      </c>
      <c r="O144" s="176">
        <f ca="1">IF(L144&gt;0,N144*100/L144,0)</f>
        <v>74.541284403669721</v>
      </c>
      <c r="P144" s="176">
        <f ca="1">IF(M144&gt;0,N144*100/M144,0)</f>
        <v>81.76100628930817</v>
      </c>
    </row>
    <row r="145" spans="1:16" ht="21.75" customHeight="1" x14ac:dyDescent="0.35">
      <c r="A145" s="162"/>
      <c r="B145" s="163"/>
      <c r="C145" s="163"/>
      <c r="D145" s="172"/>
      <c r="E145" s="165"/>
      <c r="F145" s="165"/>
      <c r="G145" s="177" t="s">
        <v>42</v>
      </c>
      <c r="H145" s="167" t="s">
        <v>12</v>
      </c>
      <c r="I145" s="168"/>
      <c r="J145" s="168"/>
      <c r="K145" s="169"/>
      <c r="L145" s="174">
        <f ca="1">IFERROR(__xludf.DUMMYFUNCTION("IMPORTRANGE(""https://docs.google.com/spreadsheets/d/1Yj_ptqi66GCucihVvJfMjLAmec39IyEx_6qawtMGysU/edit?usp=sharing"",""สบก!BF91"")"),0)</f>
        <v>0</v>
      </c>
      <c r="M145" s="173"/>
      <c r="N145" s="173"/>
      <c r="O145" s="176"/>
      <c r="P145" s="176"/>
    </row>
    <row r="146" spans="1:16" ht="21.75" customHeight="1" x14ac:dyDescent="0.35">
      <c r="A146" s="162"/>
      <c r="B146" s="163"/>
      <c r="C146" s="163"/>
      <c r="D146" s="172"/>
      <c r="E146" s="165"/>
      <c r="F146" s="165"/>
      <c r="G146" s="177" t="s">
        <v>43</v>
      </c>
      <c r="H146" s="167" t="s">
        <v>12</v>
      </c>
      <c r="I146" s="168"/>
      <c r="J146" s="168"/>
      <c r="K146" s="169"/>
      <c r="L146" s="174">
        <f ca="1">IFERROR(__xludf.DUMMYFUNCTION("IMPORTRANGE(""https://docs.google.com/spreadsheets/d/1Yj_ptqi66GCucihVvJfMjLAmec39IyEx_6qawtMGysU/edit?usp=sharing"",""สบก!BG91"")"),43600)</f>
        <v>43600</v>
      </c>
      <c r="M146" s="173"/>
      <c r="N146" s="173"/>
      <c r="O146" s="176"/>
      <c r="P146" s="176"/>
    </row>
    <row r="147" spans="1:16" ht="21.75" customHeight="1" x14ac:dyDescent="0.45">
      <c r="A147" s="178"/>
      <c r="B147" s="81"/>
      <c r="C147" s="82" t="s">
        <v>16</v>
      </c>
      <c r="D147" s="549" t="s">
        <v>23</v>
      </c>
      <c r="E147" s="545"/>
      <c r="F147" s="89"/>
      <c r="G147" s="83" t="s">
        <v>18</v>
      </c>
      <c r="H147" s="179" t="s">
        <v>12</v>
      </c>
      <c r="I147" s="195"/>
      <c r="J147" s="195"/>
      <c r="K147" s="231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80"/>
      <c r="B148" s="95"/>
      <c r="C148" s="95"/>
      <c r="D148" s="181"/>
      <c r="E148" s="96"/>
      <c r="F148" s="96"/>
      <c r="G148" s="97" t="s">
        <v>19</v>
      </c>
      <c r="H148" s="182" t="s">
        <v>12</v>
      </c>
      <c r="I148" s="195"/>
      <c r="J148" s="195"/>
      <c r="K148" s="231"/>
      <c r="L148" s="91">
        <f ca="1">IFERROR(__xludf.DUMMYFUNCTION("IMPORTRANGE(""https://docs.google.com/spreadsheets/d/1Yj_ptqi66GCucihVvJfMjLAmec39IyEx_6qawtMGysU/edit?usp=sharing"",""สบก!BH91"")"),0)</f>
        <v>0</v>
      </c>
      <c r="M148" s="101"/>
      <c r="N148" s="91">
        <f ca="1">IFERROR(__xludf.DUMMYFUNCTION("IMPORTRANGE(""https://docs.google.com/spreadsheets/d/1Yj_ptqi66GCucihVvJfMjLAmec39IyEx_6qawtMGysU/edit?usp=sharing"",""สบก!BL91"")"),0)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7"/>
      <c r="B149" s="278"/>
      <c r="C149" s="279" t="s">
        <v>76</v>
      </c>
      <c r="D149" s="279"/>
      <c r="E149" s="279"/>
      <c r="F149" s="279"/>
      <c r="G149" s="280"/>
      <c r="H149" s="281" t="s">
        <v>77</v>
      </c>
      <c r="I149" s="282">
        <f ca="1">IFERROR(__xludf.DUMMYFUNCTION("IMPORTRANGE(""https://docs.google.com/spreadsheets/d/1IYY_tgx_IHuhSq3AJ5eI5OnqOPBNLWSHKh2a30DoXe8/edit?usp=sharing"",""ระนอง!I74"")"),4)</f>
        <v>4</v>
      </c>
      <c r="J149" s="282">
        <f ca="1">IFERROR(__xludf.DUMMYFUNCTION("IMPORTRANGE(""https://docs.google.com/spreadsheets/d/1IYY_tgx_IHuhSq3AJ5eI5OnqOPBNLWSHKh2a30DoXe8/edit?usp=sharing"",""ระนอง!J74"")"),0)</f>
        <v>0</v>
      </c>
      <c r="K149" s="283">
        <f ca="1">IF(I149&gt;0,J149*100/I149,0)</f>
        <v>0</v>
      </c>
      <c r="L149" s="284"/>
      <c r="M149" s="284"/>
      <c r="N149" s="284"/>
      <c r="O149" s="284"/>
      <c r="P149" s="284"/>
    </row>
    <row r="150" spans="1:16" ht="21.75" customHeight="1" x14ac:dyDescent="0.35">
      <c r="A150" s="162"/>
      <c r="B150" s="163"/>
      <c r="C150" s="163" t="s">
        <v>16</v>
      </c>
      <c r="D150" s="164" t="s">
        <v>38</v>
      </c>
      <c r="E150" s="165"/>
      <c r="F150" s="165"/>
      <c r="G150" s="166" t="s">
        <v>39</v>
      </c>
      <c r="H150" s="167" t="s">
        <v>12</v>
      </c>
      <c r="I150" s="168" t="s">
        <v>40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 x14ac:dyDescent="0.35">
      <c r="A151" s="162"/>
      <c r="B151" s="163"/>
      <c r="C151" s="163"/>
      <c r="D151" s="172"/>
      <c r="E151" s="165"/>
      <c r="F151" s="165" t="s">
        <v>40</v>
      </c>
      <c r="G151" s="166" t="s">
        <v>41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 x14ac:dyDescent="0.35">
      <c r="A152" s="162"/>
      <c r="B152" s="163"/>
      <c r="C152" s="163"/>
      <c r="D152" s="172"/>
      <c r="E152" s="165"/>
      <c r="F152" s="165"/>
      <c r="G152" s="177" t="s">
        <v>43</v>
      </c>
      <c r="H152" s="167" t="s">
        <v>12</v>
      </c>
      <c r="I152" s="168"/>
      <c r="J152" s="168"/>
      <c r="K152" s="169"/>
      <c r="L152" s="176"/>
      <c r="M152" s="176"/>
      <c r="N152" s="173"/>
      <c r="O152" s="176"/>
      <c r="P152" s="176"/>
    </row>
    <row r="153" spans="1:16" ht="21.75" customHeight="1" x14ac:dyDescent="0.35">
      <c r="A153" s="183"/>
      <c r="B153" s="184"/>
      <c r="C153" s="163" t="s">
        <v>16</v>
      </c>
      <c r="D153" s="185" t="s">
        <v>44</v>
      </c>
      <c r="E153" s="186"/>
      <c r="F153" s="186"/>
      <c r="G153" s="187"/>
      <c r="H153" s="188"/>
      <c r="I153" s="168"/>
      <c r="J153" s="168"/>
      <c r="K153" s="169"/>
      <c r="L153" s="189"/>
      <c r="M153" s="189"/>
      <c r="N153" s="189"/>
      <c r="O153" s="189"/>
      <c r="P153" s="189"/>
    </row>
    <row r="154" spans="1:16" ht="21.75" customHeight="1" x14ac:dyDescent="0.35">
      <c r="A154" s="183"/>
      <c r="B154" s="184"/>
      <c r="C154" s="184"/>
      <c r="D154" s="190">
        <v>1</v>
      </c>
      <c r="E154" s="191" t="s">
        <v>45</v>
      </c>
      <c r="F154" s="192"/>
      <c r="G154" s="193"/>
      <c r="H154" s="194"/>
      <c r="I154" s="195"/>
      <c r="J154" s="196">
        <f ca="1">IFERROR(__xludf.DUMMYFUNCTION("IMPORTRANGE(""https://docs.google.com/spreadsheets/d/1IYY_tgx_IHuhSq3AJ5eI5OnqOPBNLWSHKh2a30DoXe8/edit?usp=sharing"",""ระนอง!J79"")"),0)</f>
        <v>0</v>
      </c>
      <c r="K154" s="169"/>
      <c r="L154" s="189"/>
      <c r="M154" s="189"/>
      <c r="N154" s="189"/>
      <c r="O154" s="189"/>
      <c r="P154" s="189"/>
    </row>
    <row r="155" spans="1:16" ht="21.75" customHeight="1" x14ac:dyDescent="0.35">
      <c r="A155" s="183"/>
      <c r="B155" s="184"/>
      <c r="C155" s="184"/>
      <c r="D155" s="197">
        <v>2</v>
      </c>
      <c r="E155" s="198" t="s">
        <v>46</v>
      </c>
      <c r="F155" s="199"/>
      <c r="G155" s="200"/>
      <c r="H155" s="194"/>
      <c r="I155" s="195"/>
      <c r="J155" s="205">
        <f ca="1">IFERROR(__xludf.DUMMYFUNCTION("IMPORTRANGE(""https://docs.google.com/spreadsheets/d/1IYY_tgx_IHuhSq3AJ5eI5OnqOPBNLWSHKh2a30DoXe8/edit?usp=sharing"",""ระนอง!J80"")"),1)</f>
        <v>1</v>
      </c>
      <c r="K155" s="169"/>
      <c r="L155" s="189"/>
      <c r="M155" s="189"/>
      <c r="N155" s="189"/>
      <c r="O155" s="189"/>
      <c r="P155" s="189"/>
    </row>
    <row r="156" spans="1:16" ht="21.75" customHeight="1" x14ac:dyDescent="0.35">
      <c r="A156" s="183"/>
      <c r="B156" s="184"/>
      <c r="C156" s="184"/>
      <c r="D156" s="201"/>
      <c r="E156" s="202" t="s">
        <v>47</v>
      </c>
      <c r="F156" s="203"/>
      <c r="G156" s="204"/>
      <c r="H156" s="194"/>
      <c r="I156" s="195"/>
      <c r="J156" s="205">
        <f ca="1">IFERROR(__xludf.DUMMYFUNCTION("IMPORTRANGE(""https://docs.google.com/spreadsheets/d/1IYY_tgx_IHuhSq3AJ5eI5OnqOPBNLWSHKh2a30DoXe8/edit?usp=sharing"",""ระนอง!J81"")"),1)</f>
        <v>1</v>
      </c>
      <c r="K156" s="169"/>
      <c r="L156" s="189"/>
      <c r="M156" s="189"/>
      <c r="N156" s="189"/>
      <c r="O156" s="189"/>
      <c r="P156" s="189"/>
    </row>
    <row r="157" spans="1:16" ht="21.75" customHeight="1" x14ac:dyDescent="0.35">
      <c r="A157" s="183"/>
      <c r="B157" s="184"/>
      <c r="C157" s="184"/>
      <c r="D157" s="201"/>
      <c r="E157" s="202" t="s">
        <v>48</v>
      </c>
      <c r="F157" s="203"/>
      <c r="G157" s="204"/>
      <c r="H157" s="194"/>
      <c r="I157" s="195"/>
      <c r="J157" s="205">
        <f ca="1">IFERROR(__xludf.DUMMYFUNCTION("IMPORTRANGE(""https://docs.google.com/spreadsheets/d/1IYY_tgx_IHuhSq3AJ5eI5OnqOPBNLWSHKh2a30DoXe8/edit?usp=sharing"",""ระนอง!J82"")"),1)</f>
        <v>1</v>
      </c>
      <c r="K157" s="169"/>
      <c r="L157" s="189"/>
      <c r="M157" s="189"/>
      <c r="N157" s="189"/>
      <c r="O157" s="189"/>
      <c r="P157" s="189"/>
    </row>
    <row r="158" spans="1:16" ht="21.75" customHeight="1" x14ac:dyDescent="0.35">
      <c r="A158" s="183"/>
      <c r="B158" s="184"/>
      <c r="C158" s="184"/>
      <c r="D158" s="201"/>
      <c r="E158" s="206"/>
      <c r="F158" s="202" t="s">
        <v>78</v>
      </c>
      <c r="G158" s="204"/>
      <c r="H158" s="188" t="s">
        <v>77</v>
      </c>
      <c r="I158" s="195">
        <f ca="1">IFERROR(__xludf.DUMMYFUNCTION("IMPORTRANGE(""https://docs.google.com/spreadsheets/d/1IYY_tgx_IHuhSq3AJ5eI5OnqOPBNLWSHKh2a30DoXe8/edit?usp=sharing"",""ระนอง!I83"")"),4)</f>
        <v>4</v>
      </c>
      <c r="J158" s="196">
        <f ca="1">IFERROR(__xludf.DUMMYFUNCTION("IMPORTRANGE(""https://docs.google.com/spreadsheets/d/1IYY_tgx_IHuhSq3AJ5eI5OnqOPBNLWSHKh2a30DoXe8/edit?usp=sharing"",""ระนอง!J83"")"),0)</f>
        <v>0</v>
      </c>
      <c r="K158" s="169">
        <f ca="1">IF(I158&gt;0,J158*100/I158,0)</f>
        <v>0</v>
      </c>
      <c r="L158" s="189"/>
      <c r="M158" s="189"/>
      <c r="N158" s="189"/>
      <c r="O158" s="189"/>
      <c r="P158" s="189"/>
    </row>
    <row r="159" spans="1:16" ht="21.75" customHeight="1" x14ac:dyDescent="0.35">
      <c r="A159" s="183"/>
      <c r="B159" s="184"/>
      <c r="C159" s="184"/>
      <c r="D159" s="201"/>
      <c r="E159" s="203"/>
      <c r="F159" s="285" t="s">
        <v>79</v>
      </c>
      <c r="G159" s="204"/>
      <c r="H159" s="286" t="s">
        <v>37</v>
      </c>
      <c r="I159" s="195"/>
      <c r="J159" s="211">
        <f ca="1">IFERROR(__xludf.DUMMYFUNCTION("IMPORTRANGE(""https://docs.google.com/spreadsheets/d/1IYY_tgx_IHuhSq3AJ5eI5OnqOPBNLWSHKh2a30DoXe8/edit?usp=sharing"",""ระนอง!J84"")"),0)</f>
        <v>0</v>
      </c>
      <c r="K159" s="169"/>
      <c r="L159" s="189"/>
      <c r="M159" s="189"/>
      <c r="N159" s="189"/>
      <c r="O159" s="189"/>
      <c r="P159" s="189"/>
    </row>
    <row r="160" spans="1:16" ht="21.75" customHeight="1" x14ac:dyDescent="0.45">
      <c r="A160" s="183"/>
      <c r="B160" s="184"/>
      <c r="C160" s="184"/>
      <c r="D160" s="201"/>
      <c r="E160" s="203"/>
      <c r="F160" s="203"/>
      <c r="G160" s="287" t="s">
        <v>80</v>
      </c>
      <c r="H160" s="286" t="s">
        <v>37</v>
      </c>
      <c r="I160" s="195"/>
      <c r="J160" s="288">
        <f ca="1">IFERROR(__xludf.DUMMYFUNCTION("IMPORTRANGE(""https://docs.google.com/spreadsheets/d/1IYY_tgx_IHuhSq3AJ5eI5OnqOPBNLWSHKh2a30DoXe8/edit?usp=sharing"",""ระนอง!J85"")"),0)</f>
        <v>0</v>
      </c>
      <c r="K160" s="169"/>
      <c r="L160" s="189"/>
      <c r="M160" s="189"/>
      <c r="N160" s="189"/>
      <c r="O160" s="189"/>
      <c r="P160" s="189"/>
    </row>
    <row r="161" spans="1:16" ht="21.75" customHeight="1" x14ac:dyDescent="0.45">
      <c r="A161" s="183"/>
      <c r="B161" s="184"/>
      <c r="C161" s="184"/>
      <c r="D161" s="201"/>
      <c r="E161" s="203"/>
      <c r="F161" s="203"/>
      <c r="G161" s="287" t="s">
        <v>81</v>
      </c>
      <c r="H161" s="286" t="s">
        <v>37</v>
      </c>
      <c r="I161" s="195"/>
      <c r="J161" s="288">
        <f ca="1">IFERROR(__xludf.DUMMYFUNCTION("IMPORTRANGE(""https://docs.google.com/spreadsheets/d/1IYY_tgx_IHuhSq3AJ5eI5OnqOPBNLWSHKh2a30DoXe8/edit?usp=sharing"",""ระนอง!J86"")"),0)</f>
        <v>0</v>
      </c>
      <c r="K161" s="169"/>
      <c r="L161" s="189"/>
      <c r="M161" s="189"/>
      <c r="N161" s="189"/>
      <c r="O161" s="189"/>
      <c r="P161" s="189"/>
    </row>
    <row r="162" spans="1:16" ht="21.75" customHeight="1" x14ac:dyDescent="0.35">
      <c r="A162" s="183"/>
      <c r="B162" s="184"/>
      <c r="C162" s="184"/>
      <c r="D162" s="201"/>
      <c r="E162" s="202" t="s">
        <v>54</v>
      </c>
      <c r="F162" s="203"/>
      <c r="G162" s="204"/>
      <c r="H162" s="194"/>
      <c r="I162" s="195"/>
      <c r="J162" s="205">
        <f ca="1">IFERROR(__xludf.DUMMYFUNCTION("IMPORTRANGE(""https://docs.google.com/spreadsheets/d/1IYY_tgx_IHuhSq3AJ5eI5OnqOPBNLWSHKh2a30DoXe8/edit?usp=sharing"",""ระนอง!J87"")"),0)</f>
        <v>0</v>
      </c>
      <c r="K162" s="169"/>
      <c r="L162" s="189"/>
      <c r="M162" s="189"/>
      <c r="N162" s="189"/>
      <c r="O162" s="189"/>
      <c r="P162" s="189"/>
    </row>
    <row r="163" spans="1:16" ht="21.75" customHeight="1" x14ac:dyDescent="0.35">
      <c r="A163" s="183"/>
      <c r="B163" s="184"/>
      <c r="C163" s="184"/>
      <c r="D163" s="213">
        <v>3</v>
      </c>
      <c r="E163" s="214" t="s">
        <v>55</v>
      </c>
      <c r="F163" s="215"/>
      <c r="G163" s="216"/>
      <c r="H163" s="194"/>
      <c r="I163" s="195"/>
      <c r="J163" s="217">
        <f ca="1">IFERROR(__xludf.DUMMYFUNCTION("IMPORTRANGE(""https://docs.google.com/spreadsheets/d/1IYY_tgx_IHuhSq3AJ5eI5OnqOPBNLWSHKh2a30DoXe8/edit?usp=sharing"",""ระนอง!J88"")"),0)</f>
        <v>0</v>
      </c>
      <c r="K163" s="169"/>
      <c r="L163" s="189"/>
      <c r="M163" s="189"/>
      <c r="N163" s="189"/>
      <c r="O163" s="189"/>
      <c r="P163" s="189"/>
    </row>
    <row r="164" spans="1:16" ht="21.75" customHeight="1" x14ac:dyDescent="0.35">
      <c r="A164" s="277"/>
      <c r="B164" s="278"/>
      <c r="C164" s="279" t="s">
        <v>82</v>
      </c>
      <c r="D164" s="279"/>
      <c r="E164" s="279"/>
      <c r="F164" s="279"/>
      <c r="G164" s="280"/>
      <c r="H164" s="289" t="s">
        <v>83</v>
      </c>
      <c r="I164" s="290">
        <f ca="1">IFERROR(__xludf.DUMMYFUNCTION("IMPORTRANGE(""https://docs.google.com/spreadsheets/d/1IYY_tgx_IHuhSq3AJ5eI5OnqOPBNLWSHKh2a30DoXe8/edit?usp=sharing"",""ระนอง!I89"")"),2)</f>
        <v>2</v>
      </c>
      <c r="J164" s="290">
        <f ca="1">IFERROR(__xludf.DUMMYFUNCTION("IMPORTRANGE(""https://docs.google.com/spreadsheets/d/1IYY_tgx_IHuhSq3AJ5eI5OnqOPBNLWSHKh2a30DoXe8/edit?usp=sharing"",""ระนอง!J89"")"),2)</f>
        <v>2</v>
      </c>
      <c r="K164" s="291">
        <f ca="1">IF(I164&gt;0,J164*100/I164,0)</f>
        <v>100</v>
      </c>
      <c r="L164" s="284"/>
      <c r="M164" s="284"/>
      <c r="N164" s="284"/>
      <c r="O164" s="284"/>
      <c r="P164" s="284"/>
    </row>
    <row r="165" spans="1:16" ht="21.75" customHeight="1" x14ac:dyDescent="0.35">
      <c r="A165" s="162"/>
      <c r="B165" s="163"/>
      <c r="C165" s="163" t="s">
        <v>16</v>
      </c>
      <c r="D165" s="164" t="s">
        <v>38</v>
      </c>
      <c r="E165" s="165"/>
      <c r="F165" s="165"/>
      <c r="G165" s="166" t="s">
        <v>39</v>
      </c>
      <c r="H165" s="167" t="s">
        <v>12</v>
      </c>
      <c r="I165" s="168" t="s">
        <v>40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 x14ac:dyDescent="0.35">
      <c r="A166" s="162"/>
      <c r="B166" s="163"/>
      <c r="C166" s="163"/>
      <c r="D166" s="172"/>
      <c r="E166" s="165"/>
      <c r="F166" s="165" t="s">
        <v>40</v>
      </c>
      <c r="G166" s="166" t="s">
        <v>41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 x14ac:dyDescent="0.35">
      <c r="A167" s="162"/>
      <c r="B167" s="163"/>
      <c r="C167" s="163"/>
      <c r="D167" s="172"/>
      <c r="E167" s="165"/>
      <c r="F167" s="165"/>
      <c r="G167" s="177" t="s">
        <v>43</v>
      </c>
      <c r="H167" s="167" t="s">
        <v>12</v>
      </c>
      <c r="I167" s="168"/>
      <c r="J167" s="168"/>
      <c r="K167" s="169"/>
      <c r="L167" s="176"/>
      <c r="M167" s="176"/>
      <c r="N167" s="173"/>
      <c r="O167" s="176"/>
      <c r="P167" s="176"/>
    </row>
    <row r="168" spans="1:16" ht="21.75" customHeight="1" x14ac:dyDescent="0.35">
      <c r="A168" s="183"/>
      <c r="B168" s="184"/>
      <c r="C168" s="163" t="s">
        <v>16</v>
      </c>
      <c r="D168" s="185" t="s">
        <v>44</v>
      </c>
      <c r="E168" s="186"/>
      <c r="F168" s="186"/>
      <c r="G168" s="187"/>
      <c r="H168" s="188"/>
      <c r="I168" s="168"/>
      <c r="J168" s="168"/>
      <c r="K168" s="169"/>
      <c r="L168" s="189"/>
      <c r="M168" s="189"/>
      <c r="N168" s="189"/>
      <c r="O168" s="189"/>
      <c r="P168" s="189"/>
    </row>
    <row r="169" spans="1:16" ht="21.75" customHeight="1" x14ac:dyDescent="0.35">
      <c r="A169" s="183"/>
      <c r="B169" s="184"/>
      <c r="C169" s="184"/>
      <c r="D169" s="190">
        <v>1</v>
      </c>
      <c r="E169" s="191" t="s">
        <v>45</v>
      </c>
      <c r="F169" s="192"/>
      <c r="G169" s="193"/>
      <c r="H169" s="194"/>
      <c r="I169" s="195"/>
      <c r="J169" s="196">
        <f ca="1">IFERROR(__xludf.DUMMYFUNCTION("IMPORTRANGE(""https://docs.google.com/spreadsheets/d/1IYY_tgx_IHuhSq3AJ5eI5OnqOPBNLWSHKh2a30DoXe8/edit?usp=sharing"",""ระนอง!J94"")"),0)</f>
        <v>0</v>
      </c>
      <c r="K169" s="169"/>
      <c r="L169" s="189"/>
      <c r="M169" s="189"/>
      <c r="N169" s="189"/>
      <c r="O169" s="189"/>
      <c r="P169" s="189"/>
    </row>
    <row r="170" spans="1:16" ht="21.75" customHeight="1" x14ac:dyDescent="0.35">
      <c r="A170" s="183"/>
      <c r="B170" s="184"/>
      <c r="C170" s="184"/>
      <c r="D170" s="197">
        <v>2</v>
      </c>
      <c r="E170" s="198" t="s">
        <v>46</v>
      </c>
      <c r="F170" s="199"/>
      <c r="G170" s="200"/>
      <c r="H170" s="194"/>
      <c r="I170" s="195"/>
      <c r="J170" s="205">
        <f ca="1">IFERROR(__xludf.DUMMYFUNCTION("IMPORTRANGE(""https://docs.google.com/spreadsheets/d/1IYY_tgx_IHuhSq3AJ5eI5OnqOPBNLWSHKh2a30DoXe8/edit?usp=sharing"",""ระนอง!J95"")"),1)</f>
        <v>1</v>
      </c>
      <c r="K170" s="169"/>
      <c r="L170" s="189"/>
      <c r="M170" s="189"/>
      <c r="N170" s="189"/>
      <c r="O170" s="189"/>
      <c r="P170" s="189"/>
    </row>
    <row r="171" spans="1:16" ht="21.75" customHeight="1" x14ac:dyDescent="0.35">
      <c r="A171" s="183"/>
      <c r="B171" s="184"/>
      <c r="C171" s="184"/>
      <c r="D171" s="201"/>
      <c r="E171" s="202" t="s">
        <v>47</v>
      </c>
      <c r="F171" s="203"/>
      <c r="G171" s="204"/>
      <c r="H171" s="194"/>
      <c r="I171" s="195"/>
      <c r="J171" s="205">
        <f ca="1">IFERROR(__xludf.DUMMYFUNCTION("IMPORTRANGE(""https://docs.google.com/spreadsheets/d/1IYY_tgx_IHuhSq3AJ5eI5OnqOPBNLWSHKh2a30DoXe8/edit?usp=sharing"",""ระนอง!J96"")"),1)</f>
        <v>1</v>
      </c>
      <c r="K171" s="169"/>
      <c r="L171" s="189"/>
      <c r="M171" s="189"/>
      <c r="N171" s="189"/>
      <c r="O171" s="189"/>
      <c r="P171" s="189"/>
    </row>
    <row r="172" spans="1:16" ht="21.75" customHeight="1" x14ac:dyDescent="0.35">
      <c r="A172" s="183"/>
      <c r="B172" s="184"/>
      <c r="C172" s="184"/>
      <c r="D172" s="201"/>
      <c r="E172" s="202" t="s">
        <v>48</v>
      </c>
      <c r="F172" s="203"/>
      <c r="G172" s="204"/>
      <c r="H172" s="194"/>
      <c r="I172" s="195"/>
      <c r="J172" s="205">
        <f ca="1">IFERROR(__xludf.DUMMYFUNCTION("IMPORTRANGE(""https://docs.google.com/spreadsheets/d/1IYY_tgx_IHuhSq3AJ5eI5OnqOPBNLWSHKh2a30DoXe8/edit?usp=sharing"",""ระนอง!J97"")"),1)</f>
        <v>1</v>
      </c>
      <c r="K172" s="169"/>
      <c r="L172" s="189"/>
      <c r="M172" s="189"/>
      <c r="N172" s="189"/>
      <c r="O172" s="189"/>
      <c r="P172" s="189"/>
    </row>
    <row r="173" spans="1:16" ht="21.75" customHeight="1" x14ac:dyDescent="0.35">
      <c r="A173" s="183"/>
      <c r="B173" s="184"/>
      <c r="C173" s="184"/>
      <c r="D173" s="201"/>
      <c r="E173" s="206"/>
      <c r="F173" s="212" t="s">
        <v>84</v>
      </c>
      <c r="G173" s="204"/>
      <c r="H173" s="188" t="s">
        <v>83</v>
      </c>
      <c r="I173" s="195">
        <f ca="1">IFERROR(__xludf.DUMMYFUNCTION("IMPORTRANGE(""https://docs.google.com/spreadsheets/d/1IYY_tgx_IHuhSq3AJ5eI5OnqOPBNLWSHKh2a30DoXe8/edit?usp=sharing"",""ระนอง!I98"")"),2)</f>
        <v>2</v>
      </c>
      <c r="J173" s="196">
        <f ca="1">IFERROR(__xludf.DUMMYFUNCTION("IMPORTRANGE(""https://docs.google.com/spreadsheets/d/1IYY_tgx_IHuhSq3AJ5eI5OnqOPBNLWSHKh2a30DoXe8/edit?usp=sharing"",""ระนอง!J98"")"),2)</f>
        <v>2</v>
      </c>
      <c r="K173" s="169">
        <f ca="1">IF(I173&gt;0,J173*100/I173,0)</f>
        <v>100</v>
      </c>
      <c r="L173" s="176"/>
      <c r="M173" s="176"/>
      <c r="N173" s="173"/>
      <c r="O173" s="176"/>
      <c r="P173" s="176"/>
    </row>
    <row r="174" spans="1:16" ht="21.75" customHeight="1" x14ac:dyDescent="0.35">
      <c r="A174" s="183"/>
      <c r="B174" s="184"/>
      <c r="C174" s="184"/>
      <c r="D174" s="201"/>
      <c r="E174" s="202" t="s">
        <v>54</v>
      </c>
      <c r="F174" s="203"/>
      <c r="G174" s="204"/>
      <c r="H174" s="194"/>
      <c r="I174" s="195"/>
      <c r="J174" s="205">
        <f ca="1">IFERROR(__xludf.DUMMYFUNCTION("IMPORTRANGE(""https://docs.google.com/spreadsheets/d/1IYY_tgx_IHuhSq3AJ5eI5OnqOPBNLWSHKh2a30DoXe8/edit?usp=sharing"",""ระนอง!J99"")"),0)</f>
        <v>0</v>
      </c>
      <c r="K174" s="169"/>
      <c r="L174" s="189"/>
      <c r="M174" s="189"/>
      <c r="N174" s="189"/>
      <c r="O174" s="189"/>
      <c r="P174" s="189"/>
    </row>
    <row r="175" spans="1:16" ht="21.75" customHeight="1" x14ac:dyDescent="0.35">
      <c r="A175" s="183"/>
      <c r="B175" s="184"/>
      <c r="C175" s="184"/>
      <c r="D175" s="213">
        <v>3</v>
      </c>
      <c r="E175" s="214" t="s">
        <v>55</v>
      </c>
      <c r="F175" s="215"/>
      <c r="G175" s="216"/>
      <c r="H175" s="194"/>
      <c r="I175" s="195"/>
      <c r="J175" s="217">
        <f ca="1">IFERROR(__xludf.DUMMYFUNCTION("IMPORTRANGE(""https://docs.google.com/spreadsheets/d/1IYY_tgx_IHuhSq3AJ5eI5OnqOPBNLWSHKh2a30DoXe8/edit?usp=sharing"",""ระนอง!J100"")"),0)</f>
        <v>0</v>
      </c>
      <c r="K175" s="169"/>
      <c r="L175" s="189"/>
      <c r="M175" s="189"/>
      <c r="N175" s="189"/>
      <c r="O175" s="189"/>
      <c r="P175" s="189"/>
    </row>
    <row r="176" spans="1:16" ht="21.75" customHeight="1" x14ac:dyDescent="0.35">
      <c r="A176" s="277"/>
      <c r="B176" s="278"/>
      <c r="C176" s="279" t="s">
        <v>85</v>
      </c>
      <c r="D176" s="279"/>
      <c r="E176" s="279"/>
      <c r="F176" s="279"/>
      <c r="G176" s="280"/>
      <c r="H176" s="289" t="s">
        <v>83</v>
      </c>
      <c r="I176" s="290">
        <f ca="1">IFERROR(__xludf.DUMMYFUNCTION("IMPORTRANGE(""https://docs.google.com/spreadsheets/d/1IYY_tgx_IHuhSq3AJ5eI5OnqOPBNLWSHKh2a30DoXe8/edit?usp=sharing"",""ระนอง!I101"")"),0)</f>
        <v>0</v>
      </c>
      <c r="J176" s="290">
        <f ca="1">IFERROR(__xludf.DUMMYFUNCTION("IMPORTRANGE(""https://docs.google.com/spreadsheets/d/1IYY_tgx_IHuhSq3AJ5eI5OnqOPBNLWSHKh2a30DoXe8/edit?usp=sharing"",""ระนอง!J101"")"),0)</f>
        <v>0</v>
      </c>
      <c r="K176" s="291">
        <f ca="1">IF(I176&gt;0,J176*100/I176,0)</f>
        <v>0</v>
      </c>
      <c r="L176" s="284"/>
      <c r="M176" s="284"/>
      <c r="N176" s="284"/>
      <c r="O176" s="284"/>
      <c r="P176" s="284"/>
    </row>
    <row r="177" spans="1:16" ht="21.75" customHeight="1" x14ac:dyDescent="0.35">
      <c r="A177" s="162"/>
      <c r="B177" s="163"/>
      <c r="C177" s="163" t="s">
        <v>16</v>
      </c>
      <c r="D177" s="164" t="s">
        <v>38</v>
      </c>
      <c r="E177" s="165"/>
      <c r="F177" s="165"/>
      <c r="G177" s="166" t="s">
        <v>39</v>
      </c>
      <c r="H177" s="167" t="s">
        <v>12</v>
      </c>
      <c r="I177" s="168" t="s">
        <v>40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 x14ac:dyDescent="0.35">
      <c r="A178" s="162"/>
      <c r="B178" s="163"/>
      <c r="C178" s="163"/>
      <c r="D178" s="172"/>
      <c r="E178" s="165"/>
      <c r="F178" s="165" t="s">
        <v>40</v>
      </c>
      <c r="G178" s="166" t="s">
        <v>41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 x14ac:dyDescent="0.35">
      <c r="A179" s="162"/>
      <c r="B179" s="163"/>
      <c r="C179" s="163"/>
      <c r="D179" s="172"/>
      <c r="E179" s="165"/>
      <c r="F179" s="165"/>
      <c r="G179" s="177" t="s">
        <v>43</v>
      </c>
      <c r="H179" s="167" t="s">
        <v>12</v>
      </c>
      <c r="I179" s="168"/>
      <c r="J179" s="195"/>
      <c r="K179" s="231"/>
      <c r="L179" s="176"/>
      <c r="M179" s="176"/>
      <c r="N179" s="173"/>
      <c r="O179" s="176"/>
      <c r="P179" s="176"/>
    </row>
    <row r="180" spans="1:16" ht="21.75" customHeight="1" x14ac:dyDescent="0.35">
      <c r="A180" s="183"/>
      <c r="B180" s="184"/>
      <c r="C180" s="163" t="s">
        <v>16</v>
      </c>
      <c r="D180" s="185" t="s">
        <v>44</v>
      </c>
      <c r="E180" s="186"/>
      <c r="F180" s="186"/>
      <c r="G180" s="187"/>
      <c r="H180" s="188"/>
      <c r="I180" s="168"/>
      <c r="J180" s="195"/>
      <c r="K180" s="231"/>
      <c r="L180" s="176"/>
      <c r="M180" s="176"/>
      <c r="N180" s="176"/>
      <c r="O180" s="189"/>
      <c r="P180" s="189"/>
    </row>
    <row r="181" spans="1:16" ht="21.75" customHeight="1" x14ac:dyDescent="0.35">
      <c r="A181" s="183"/>
      <c r="B181" s="184"/>
      <c r="C181" s="184"/>
      <c r="D181" s="190">
        <v>1</v>
      </c>
      <c r="E181" s="191" t="s">
        <v>45</v>
      </c>
      <c r="F181" s="192"/>
      <c r="G181" s="193"/>
      <c r="H181" s="194"/>
      <c r="I181" s="195"/>
      <c r="J181" s="195">
        <f ca="1">IFERROR(__xludf.DUMMYFUNCTION("IMPORTRANGE(""https://docs.google.com/spreadsheets/d/1IYY_tgx_IHuhSq3AJ5eI5OnqOPBNLWSHKh2a30DoXe8/edit?usp=sharing"",""ระนอง!J106"")"),0)</f>
        <v>0</v>
      </c>
      <c r="K181" s="231"/>
      <c r="L181" s="176"/>
      <c r="M181" s="176"/>
      <c r="N181" s="176"/>
      <c r="O181" s="189"/>
      <c r="P181" s="189"/>
    </row>
    <row r="182" spans="1:16" ht="21.75" customHeight="1" x14ac:dyDescent="0.35">
      <c r="A182" s="183"/>
      <c r="B182" s="184"/>
      <c r="C182" s="184"/>
      <c r="D182" s="197">
        <v>2</v>
      </c>
      <c r="E182" s="198" t="s">
        <v>46</v>
      </c>
      <c r="F182" s="199"/>
      <c r="G182" s="200"/>
      <c r="H182" s="194"/>
      <c r="I182" s="195"/>
      <c r="J182" s="195">
        <f ca="1">IFERROR(__xludf.DUMMYFUNCTION("IMPORTRANGE(""https://docs.google.com/spreadsheets/d/1IYY_tgx_IHuhSq3AJ5eI5OnqOPBNLWSHKh2a30DoXe8/edit?usp=sharing"",""ระนอง!J107"")"),0)</f>
        <v>0</v>
      </c>
      <c r="K182" s="231"/>
      <c r="L182" s="176"/>
      <c r="M182" s="176"/>
      <c r="N182" s="176"/>
      <c r="O182" s="189"/>
      <c r="P182" s="189"/>
    </row>
    <row r="183" spans="1:16" ht="21.75" customHeight="1" x14ac:dyDescent="0.35">
      <c r="A183" s="183"/>
      <c r="B183" s="184"/>
      <c r="C183" s="184"/>
      <c r="D183" s="201"/>
      <c r="E183" s="202" t="s">
        <v>47</v>
      </c>
      <c r="F183" s="203"/>
      <c r="G183" s="204"/>
      <c r="H183" s="194"/>
      <c r="I183" s="195"/>
      <c r="J183" s="195">
        <f ca="1">IFERROR(__xludf.DUMMYFUNCTION("IMPORTRANGE(""https://docs.google.com/spreadsheets/d/1IYY_tgx_IHuhSq3AJ5eI5OnqOPBNLWSHKh2a30DoXe8/edit?usp=sharing"",""ระนอง!J108"")"),0)</f>
        <v>0</v>
      </c>
      <c r="K183" s="231"/>
      <c r="L183" s="176"/>
      <c r="M183" s="176"/>
      <c r="N183" s="176"/>
      <c r="O183" s="189"/>
      <c r="P183" s="189"/>
    </row>
    <row r="184" spans="1:16" ht="21.75" customHeight="1" x14ac:dyDescent="0.35">
      <c r="A184" s="183"/>
      <c r="B184" s="184"/>
      <c r="C184" s="184"/>
      <c r="D184" s="201"/>
      <c r="E184" s="202" t="s">
        <v>48</v>
      </c>
      <c r="F184" s="203"/>
      <c r="G184" s="204"/>
      <c r="H184" s="194"/>
      <c r="I184" s="195"/>
      <c r="J184" s="195">
        <f ca="1">IFERROR(__xludf.DUMMYFUNCTION("IMPORTRANGE(""https://docs.google.com/spreadsheets/d/1IYY_tgx_IHuhSq3AJ5eI5OnqOPBNLWSHKh2a30DoXe8/edit?usp=sharing"",""ระนอง!J109"")"),0)</f>
        <v>0</v>
      </c>
      <c r="K184" s="231"/>
      <c r="L184" s="176"/>
      <c r="M184" s="176"/>
      <c r="N184" s="176"/>
      <c r="O184" s="189"/>
      <c r="P184" s="189"/>
    </row>
    <row r="185" spans="1:16" ht="21.75" customHeight="1" x14ac:dyDescent="0.35">
      <c r="A185" s="183"/>
      <c r="B185" s="184"/>
      <c r="C185" s="184"/>
      <c r="D185" s="201"/>
      <c r="E185" s="206"/>
      <c r="F185" s="202" t="s">
        <v>86</v>
      </c>
      <c r="G185" s="204"/>
      <c r="H185" s="188" t="s">
        <v>83</v>
      </c>
      <c r="I185" s="195">
        <f ca="1">IFERROR(__xludf.DUMMYFUNCTION("IMPORTRANGE(""https://docs.google.com/spreadsheets/d/1IYY_tgx_IHuhSq3AJ5eI5OnqOPBNLWSHKh2a30DoXe8/edit?usp=sharing"",""ระนอง!I110"")"),0)</f>
        <v>0</v>
      </c>
      <c r="J185" s="211">
        <f ca="1">IFERROR(__xludf.DUMMYFUNCTION("IMPORTRANGE(""https://docs.google.com/spreadsheets/d/1IYY_tgx_IHuhSq3AJ5eI5OnqOPBNLWSHKh2a30DoXe8/edit?usp=sharing"",""ระนอง!J110"")"),0)</f>
        <v>0</v>
      </c>
      <c r="K185" s="231">
        <f t="shared" ref="K185:K186" ca="1" si="69">IF(I185&gt;0,J185*100/I185,0)</f>
        <v>0</v>
      </c>
      <c r="L185" s="176"/>
      <c r="M185" s="176"/>
      <c r="N185" s="173"/>
      <c r="O185" s="176"/>
      <c r="P185" s="176"/>
    </row>
    <row r="186" spans="1:16" ht="21.75" customHeight="1" x14ac:dyDescent="0.35">
      <c r="A186" s="183"/>
      <c r="B186" s="184"/>
      <c r="C186" s="184"/>
      <c r="D186" s="201"/>
      <c r="E186" s="206"/>
      <c r="F186" s="202" t="s">
        <v>87</v>
      </c>
      <c r="G186" s="204"/>
      <c r="H186" s="188" t="s">
        <v>83</v>
      </c>
      <c r="I186" s="195">
        <f ca="1">IFERROR(__xludf.DUMMYFUNCTION("IMPORTRANGE(""https://docs.google.com/spreadsheets/d/1IYY_tgx_IHuhSq3AJ5eI5OnqOPBNLWSHKh2a30DoXe8/edit?usp=sharing"",""ระนอง!I111"")"),0)</f>
        <v>0</v>
      </c>
      <c r="J186" s="211">
        <f ca="1">IFERROR(__xludf.DUMMYFUNCTION("IMPORTRANGE(""https://docs.google.com/spreadsheets/d/1IYY_tgx_IHuhSq3AJ5eI5OnqOPBNLWSHKh2a30DoXe8/edit?usp=sharing"",""ระนอง!J111"")"),0)</f>
        <v>0</v>
      </c>
      <c r="K186" s="231">
        <f t="shared" ca="1" si="69"/>
        <v>0</v>
      </c>
      <c r="L186" s="176"/>
      <c r="M186" s="176"/>
      <c r="N186" s="173"/>
      <c r="O186" s="176"/>
      <c r="P186" s="176"/>
    </row>
    <row r="187" spans="1:16" ht="21.75" customHeight="1" x14ac:dyDescent="0.35">
      <c r="A187" s="183"/>
      <c r="B187" s="184"/>
      <c r="C187" s="184"/>
      <c r="D187" s="201"/>
      <c r="E187" s="202" t="s">
        <v>54</v>
      </c>
      <c r="F187" s="203"/>
      <c r="G187" s="204"/>
      <c r="H187" s="194"/>
      <c r="I187" s="195"/>
      <c r="J187" s="195">
        <f ca="1">IFERROR(__xludf.DUMMYFUNCTION("IMPORTRANGE(""https://docs.google.com/spreadsheets/d/1IYY_tgx_IHuhSq3AJ5eI5OnqOPBNLWSHKh2a30DoXe8/edit?usp=sharing"",""ระนอง!J112"")"),0)</f>
        <v>0</v>
      </c>
      <c r="K187" s="231"/>
      <c r="L187" s="176"/>
      <c r="M187" s="176"/>
      <c r="N187" s="176"/>
      <c r="O187" s="189"/>
      <c r="P187" s="189"/>
    </row>
    <row r="188" spans="1:16" ht="21.75" customHeight="1" x14ac:dyDescent="0.35">
      <c r="A188" s="183"/>
      <c r="B188" s="184"/>
      <c r="C188" s="184"/>
      <c r="D188" s="213">
        <v>3</v>
      </c>
      <c r="E188" s="214" t="s">
        <v>55</v>
      </c>
      <c r="F188" s="215"/>
      <c r="G188" s="216"/>
      <c r="H188" s="194"/>
      <c r="I188" s="195"/>
      <c r="J188" s="234">
        <f ca="1">IFERROR(__xludf.DUMMYFUNCTION("IMPORTRANGE(""https://docs.google.com/spreadsheets/d/1IYY_tgx_IHuhSq3AJ5eI5OnqOPBNLWSHKh2a30DoXe8/edit?usp=sharing"",""ระนอง!J113"")"),0)</f>
        <v>0</v>
      </c>
      <c r="K188" s="231"/>
      <c r="L188" s="176"/>
      <c r="M188" s="176"/>
      <c r="N188" s="176"/>
      <c r="O188" s="189"/>
      <c r="P188" s="189"/>
    </row>
    <row r="189" spans="1:16" ht="21.75" customHeight="1" x14ac:dyDescent="0.35">
      <c r="A189" s="277"/>
      <c r="B189" s="278"/>
      <c r="C189" s="279" t="s">
        <v>88</v>
      </c>
      <c r="D189" s="279"/>
      <c r="E189" s="279"/>
      <c r="F189" s="279"/>
      <c r="G189" s="280"/>
      <c r="H189" s="292" t="s">
        <v>89</v>
      </c>
      <c r="I189" s="290">
        <f ca="1">IFERROR(__xludf.DUMMYFUNCTION("IMPORTRANGE(""https://docs.google.com/spreadsheets/d/1IYY_tgx_IHuhSq3AJ5eI5OnqOPBNLWSHKh2a30DoXe8/edit?usp=sharing"",""ระนอง!I114"")"),12800)</f>
        <v>12800</v>
      </c>
      <c r="J189" s="290">
        <f ca="1">IFERROR(__xludf.DUMMYFUNCTION("IMPORTRANGE(""https://docs.google.com/spreadsheets/d/1IYY_tgx_IHuhSq3AJ5eI5OnqOPBNLWSHKh2a30DoXe8/edit?usp=sharing"",""ระนอง!J114"")"),0)</f>
        <v>0</v>
      </c>
      <c r="K189" s="291">
        <f ca="1">IF(I189&gt;0,J189*100/I189,0)</f>
        <v>0</v>
      </c>
      <c r="L189" s="284"/>
      <c r="M189" s="284"/>
      <c r="N189" s="284"/>
      <c r="O189" s="284"/>
      <c r="P189" s="284"/>
    </row>
    <row r="190" spans="1:16" ht="21.75" customHeight="1" x14ac:dyDescent="0.35">
      <c r="A190" s="162"/>
      <c r="B190" s="163"/>
      <c r="C190" s="163" t="s">
        <v>16</v>
      </c>
      <c r="D190" s="164" t="s">
        <v>38</v>
      </c>
      <c r="E190" s="165"/>
      <c r="F190" s="165"/>
      <c r="G190" s="166" t="s">
        <v>39</v>
      </c>
      <c r="H190" s="167" t="s">
        <v>12</v>
      </c>
      <c r="I190" s="168" t="s">
        <v>40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 x14ac:dyDescent="0.35">
      <c r="A191" s="162"/>
      <c r="B191" s="163"/>
      <c r="C191" s="163"/>
      <c r="D191" s="172"/>
      <c r="E191" s="165"/>
      <c r="F191" s="165" t="s">
        <v>40</v>
      </c>
      <c r="G191" s="166" t="s">
        <v>41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 x14ac:dyDescent="0.35">
      <c r="A192" s="162"/>
      <c r="B192" s="163"/>
      <c r="C192" s="163"/>
      <c r="D192" s="172"/>
      <c r="E192" s="165"/>
      <c r="F192" s="165"/>
      <c r="G192" s="177" t="s">
        <v>43</v>
      </c>
      <c r="H192" s="167" t="s">
        <v>12</v>
      </c>
      <c r="I192" s="168"/>
      <c r="J192" s="168"/>
      <c r="K192" s="169"/>
      <c r="L192" s="176"/>
      <c r="M192" s="176"/>
      <c r="N192" s="173"/>
      <c r="O192" s="176"/>
      <c r="P192" s="176"/>
    </row>
    <row r="193" spans="1:16" ht="21.75" customHeight="1" x14ac:dyDescent="0.35">
      <c r="A193" s="183"/>
      <c r="B193" s="184"/>
      <c r="C193" s="163" t="s">
        <v>16</v>
      </c>
      <c r="D193" s="185" t="s">
        <v>44</v>
      </c>
      <c r="E193" s="186"/>
      <c r="F193" s="186"/>
      <c r="G193" s="187"/>
      <c r="H193" s="188"/>
      <c r="I193" s="168"/>
      <c r="J193" s="168"/>
      <c r="K193" s="169"/>
      <c r="L193" s="189"/>
      <c r="M193" s="189"/>
      <c r="N193" s="189"/>
      <c r="O193" s="189"/>
      <c r="P193" s="189"/>
    </row>
    <row r="194" spans="1:16" ht="21.75" customHeight="1" x14ac:dyDescent="0.35">
      <c r="A194" s="183"/>
      <c r="B194" s="184"/>
      <c r="C194" s="184"/>
      <c r="D194" s="190">
        <v>1</v>
      </c>
      <c r="E194" s="191" t="s">
        <v>45</v>
      </c>
      <c r="F194" s="192"/>
      <c r="G194" s="193"/>
      <c r="H194" s="194"/>
      <c r="I194" s="195"/>
      <c r="J194" s="205">
        <f ca="1">IFERROR(__xludf.DUMMYFUNCTION("IMPORTRANGE(""https://docs.google.com/spreadsheets/d/1IYY_tgx_IHuhSq3AJ5eI5OnqOPBNLWSHKh2a30DoXe8/edit?usp=sharing"",""ระนอง!J119"")"),0)</f>
        <v>0</v>
      </c>
      <c r="K194" s="169"/>
      <c r="L194" s="189"/>
      <c r="M194" s="189"/>
      <c r="N194" s="189"/>
      <c r="O194" s="189"/>
      <c r="P194" s="189"/>
    </row>
    <row r="195" spans="1:16" ht="21.75" customHeight="1" x14ac:dyDescent="0.35">
      <c r="A195" s="183"/>
      <c r="B195" s="184"/>
      <c r="C195" s="184"/>
      <c r="D195" s="197">
        <v>2</v>
      </c>
      <c r="E195" s="198" t="s">
        <v>46</v>
      </c>
      <c r="F195" s="199"/>
      <c r="G195" s="200"/>
      <c r="H195" s="194"/>
      <c r="I195" s="195"/>
      <c r="J195" s="196">
        <f ca="1">IFERROR(__xludf.DUMMYFUNCTION("IMPORTRANGE(""https://docs.google.com/spreadsheets/d/1IYY_tgx_IHuhSq3AJ5eI5OnqOPBNLWSHKh2a30DoXe8/edit?usp=sharing"",""ระนอง!J120"")"),1)</f>
        <v>1</v>
      </c>
      <c r="K195" s="169"/>
      <c r="L195" s="189"/>
      <c r="M195" s="189"/>
      <c r="N195" s="189"/>
      <c r="O195" s="189"/>
      <c r="P195" s="189"/>
    </row>
    <row r="196" spans="1:16" ht="21.75" customHeight="1" x14ac:dyDescent="0.35">
      <c r="A196" s="183"/>
      <c r="B196" s="184"/>
      <c r="C196" s="184"/>
      <c r="D196" s="201"/>
      <c r="E196" s="202" t="s">
        <v>47</v>
      </c>
      <c r="F196" s="203"/>
      <c r="G196" s="204"/>
      <c r="H196" s="194"/>
      <c r="I196" s="195"/>
      <c r="J196" s="196">
        <f ca="1">IFERROR(__xludf.DUMMYFUNCTION("IMPORTRANGE(""https://docs.google.com/spreadsheets/d/1IYY_tgx_IHuhSq3AJ5eI5OnqOPBNLWSHKh2a30DoXe8/edit?usp=sharing"",""ระนอง!J121"")"),0)</f>
        <v>0</v>
      </c>
      <c r="K196" s="169"/>
      <c r="L196" s="189"/>
      <c r="M196" s="189"/>
      <c r="N196" s="189"/>
      <c r="O196" s="189"/>
      <c r="P196" s="189"/>
    </row>
    <row r="197" spans="1:16" ht="21.75" customHeight="1" x14ac:dyDescent="0.35">
      <c r="A197" s="183"/>
      <c r="B197" s="184"/>
      <c r="C197" s="184"/>
      <c r="D197" s="201"/>
      <c r="E197" s="202" t="s">
        <v>48</v>
      </c>
      <c r="F197" s="203"/>
      <c r="G197" s="204"/>
      <c r="H197" s="194"/>
      <c r="I197" s="195"/>
      <c r="J197" s="205">
        <f ca="1">IFERROR(__xludf.DUMMYFUNCTION("IMPORTRANGE(""https://docs.google.com/spreadsheets/d/1IYY_tgx_IHuhSq3AJ5eI5OnqOPBNLWSHKh2a30DoXe8/edit?usp=sharing"",""ระนอง!J122"")"),0)</f>
        <v>0</v>
      </c>
      <c r="K197" s="169"/>
      <c r="L197" s="189"/>
      <c r="M197" s="189"/>
      <c r="N197" s="189"/>
      <c r="O197" s="189"/>
      <c r="P197" s="189"/>
    </row>
    <row r="198" spans="1:16" ht="21.75" customHeight="1" x14ac:dyDescent="0.35">
      <c r="A198" s="183"/>
      <c r="B198" s="184"/>
      <c r="C198" s="184"/>
      <c r="D198" s="201"/>
      <c r="E198" s="203"/>
      <c r="F198" s="203" t="s">
        <v>90</v>
      </c>
      <c r="G198" s="204"/>
      <c r="H198" s="188"/>
      <c r="I198" s="195"/>
      <c r="J198" s="195"/>
      <c r="K198" s="169"/>
      <c r="L198" s="189"/>
      <c r="M198" s="189"/>
      <c r="N198" s="189"/>
      <c r="O198" s="189"/>
      <c r="P198" s="189"/>
    </row>
    <row r="199" spans="1:16" ht="21.75" customHeight="1" x14ac:dyDescent="0.35">
      <c r="A199" s="183"/>
      <c r="B199" s="184"/>
      <c r="C199" s="184"/>
      <c r="D199" s="201"/>
      <c r="E199" s="206"/>
      <c r="F199" s="203"/>
      <c r="G199" s="202" t="s">
        <v>91</v>
      </c>
      <c r="H199" s="188" t="s">
        <v>89</v>
      </c>
      <c r="I199" s="195">
        <f ca="1">IFERROR(__xludf.DUMMYFUNCTION("IMPORTRANGE(""https://docs.google.com/spreadsheets/d/1IYY_tgx_IHuhSq3AJ5eI5OnqOPBNLWSHKh2a30DoXe8/edit?usp=sharing"",""ระนอง!I124"")"),12800)</f>
        <v>12800</v>
      </c>
      <c r="J199" s="196">
        <f ca="1">IFERROR(__xludf.DUMMYFUNCTION("IMPORTRANGE(""https://docs.google.com/spreadsheets/d/1IYY_tgx_IHuhSq3AJ5eI5OnqOPBNLWSHKh2a30DoXe8/edit?usp=sharing"",""ระนอง!J124"")"),0)</f>
        <v>0</v>
      </c>
      <c r="K199" s="169">
        <f t="shared" ref="K199:K201" ca="1" si="70">IF(I199&gt;0,J199*100/I199,0)</f>
        <v>0</v>
      </c>
      <c r="L199" s="189"/>
      <c r="M199" s="189"/>
      <c r="N199" s="189"/>
      <c r="O199" s="189"/>
      <c r="P199" s="189"/>
    </row>
    <row r="200" spans="1:16" ht="21.75" customHeight="1" x14ac:dyDescent="0.35">
      <c r="A200" s="183"/>
      <c r="B200" s="184"/>
      <c r="C200" s="184"/>
      <c r="D200" s="201"/>
      <c r="E200" s="206"/>
      <c r="F200" s="203"/>
      <c r="G200" s="202" t="s">
        <v>92</v>
      </c>
      <c r="H200" s="188" t="s">
        <v>89</v>
      </c>
      <c r="I200" s="195">
        <f ca="1">IFERROR(__xludf.DUMMYFUNCTION("IMPORTRANGE(""https://docs.google.com/spreadsheets/d/1IYY_tgx_IHuhSq3AJ5eI5OnqOPBNLWSHKh2a30DoXe8/edit?usp=sharing"",""ระนอง!I125"")"),12800)</f>
        <v>12800</v>
      </c>
      <c r="J200" s="196">
        <f ca="1">IFERROR(__xludf.DUMMYFUNCTION("IMPORTRANGE(""https://docs.google.com/spreadsheets/d/1IYY_tgx_IHuhSq3AJ5eI5OnqOPBNLWSHKh2a30DoXe8/edit?usp=sharing"",""ระนอง!J125"")"),0)</f>
        <v>0</v>
      </c>
      <c r="K200" s="169">
        <f t="shared" ca="1" si="70"/>
        <v>0</v>
      </c>
      <c r="L200" s="176"/>
      <c r="M200" s="176"/>
      <c r="N200" s="173"/>
      <c r="O200" s="176"/>
      <c r="P200" s="176"/>
    </row>
    <row r="201" spans="1:16" ht="21.75" customHeight="1" x14ac:dyDescent="0.35">
      <c r="A201" s="183"/>
      <c r="B201" s="184"/>
      <c r="C201" s="184"/>
      <c r="D201" s="201"/>
      <c r="E201" s="206"/>
      <c r="F201" s="203" t="s">
        <v>93</v>
      </c>
      <c r="G201" s="204"/>
      <c r="H201" s="188" t="s">
        <v>37</v>
      </c>
      <c r="I201" s="195">
        <f ca="1">IFERROR(__xludf.DUMMYFUNCTION("IMPORTRANGE(""https://docs.google.com/spreadsheets/d/1IYY_tgx_IHuhSq3AJ5eI5OnqOPBNLWSHKh2a30DoXe8/edit?usp=sharing"",""ระนอง!I126"")"),0)</f>
        <v>0</v>
      </c>
      <c r="J201" s="196">
        <f ca="1">IFERROR(__xludf.DUMMYFUNCTION("IMPORTRANGE(""https://docs.google.com/spreadsheets/d/1IYY_tgx_IHuhSq3AJ5eI5OnqOPBNLWSHKh2a30DoXe8/edit?usp=sharing"",""ระนอง!J126"")"),0)</f>
        <v>0</v>
      </c>
      <c r="K201" s="169">
        <f t="shared" ca="1" si="70"/>
        <v>0</v>
      </c>
      <c r="L201" s="176"/>
      <c r="M201" s="176"/>
      <c r="N201" s="173"/>
      <c r="O201" s="176"/>
      <c r="P201" s="176"/>
    </row>
    <row r="202" spans="1:16" ht="21.75" customHeight="1" x14ac:dyDescent="0.35">
      <c r="A202" s="183"/>
      <c r="B202" s="184"/>
      <c r="C202" s="184"/>
      <c r="D202" s="201"/>
      <c r="E202" s="202" t="s">
        <v>54</v>
      </c>
      <c r="F202" s="203"/>
      <c r="G202" s="204"/>
      <c r="H202" s="194"/>
      <c r="I202" s="195"/>
      <c r="J202" s="205">
        <f ca="1">IFERROR(__xludf.DUMMYFUNCTION("IMPORTRANGE(""https://docs.google.com/spreadsheets/d/1IYY_tgx_IHuhSq3AJ5eI5OnqOPBNLWSHKh2a30DoXe8/edit?usp=sharing"",""ระนอง!J127"")"),0)</f>
        <v>0</v>
      </c>
      <c r="K202" s="169"/>
      <c r="L202" s="189"/>
      <c r="M202" s="189"/>
      <c r="N202" s="189"/>
      <c r="O202" s="189"/>
      <c r="P202" s="189"/>
    </row>
    <row r="203" spans="1:16" ht="21.75" customHeight="1" x14ac:dyDescent="0.35">
      <c r="A203" s="241"/>
      <c r="B203" s="242"/>
      <c r="C203" s="242"/>
      <c r="D203" s="243">
        <v>3</v>
      </c>
      <c r="E203" s="244" t="s">
        <v>55</v>
      </c>
      <c r="F203" s="245"/>
      <c r="G203" s="246"/>
      <c r="H203" s="247"/>
      <c r="I203" s="248"/>
      <c r="J203" s="293">
        <f ca="1">IFERROR(__xludf.DUMMYFUNCTION("IMPORTRANGE(""https://docs.google.com/spreadsheets/d/1IYY_tgx_IHuhSq3AJ5eI5OnqOPBNLWSHKh2a30DoXe8/edit?usp=sharing"",""ระนอง!J128"")"),0)</f>
        <v>0</v>
      </c>
      <c r="K203" s="294"/>
      <c r="L203" s="252"/>
      <c r="M203" s="252"/>
      <c r="N203" s="252"/>
      <c r="O203" s="252"/>
      <c r="P203" s="252"/>
    </row>
    <row r="204" spans="1:16" ht="21.75" customHeight="1" x14ac:dyDescent="0.35">
      <c r="A204" s="277"/>
      <c r="B204" s="278"/>
      <c r="C204" s="295" t="s">
        <v>94</v>
      </c>
      <c r="D204" s="279"/>
      <c r="E204" s="279"/>
      <c r="F204" s="279"/>
      <c r="G204" s="280"/>
      <c r="H204" s="292" t="s">
        <v>37</v>
      </c>
      <c r="I204" s="290">
        <f ca="1">IFERROR(__xludf.DUMMYFUNCTION("IMPORTRANGE(""https://docs.google.com/spreadsheets/d/1IYY_tgx_IHuhSq3AJ5eI5OnqOPBNLWSHKh2a30DoXe8/edit?usp=sharing"",""ระนอง!I129"")"),0)</f>
        <v>0</v>
      </c>
      <c r="J204" s="290">
        <f ca="1">IFERROR(__xludf.DUMMYFUNCTION("IMPORTRANGE(""https://docs.google.com/spreadsheets/d/1IYY_tgx_IHuhSq3AJ5eI5OnqOPBNLWSHKh2a30DoXe8/edit?usp=sharing"",""ระนอง!J129"")"),0)</f>
        <v>0</v>
      </c>
      <c r="K204" s="291">
        <f ca="1">IF(I204&gt;0,J204*100/I204,0)</f>
        <v>0</v>
      </c>
      <c r="L204" s="284"/>
      <c r="M204" s="284"/>
      <c r="N204" s="284"/>
      <c r="O204" s="284"/>
      <c r="P204" s="284"/>
    </row>
    <row r="205" spans="1:16" ht="21.75" customHeight="1" x14ac:dyDescent="0.35">
      <c r="A205" s="162"/>
      <c r="B205" s="163"/>
      <c r="C205" s="163" t="s">
        <v>16</v>
      </c>
      <c r="D205" s="164" t="s">
        <v>38</v>
      </c>
      <c r="E205" s="165"/>
      <c r="F205" s="165"/>
      <c r="G205" s="166" t="s">
        <v>39</v>
      </c>
      <c r="H205" s="167" t="s">
        <v>12</v>
      </c>
      <c r="I205" s="168" t="s">
        <v>40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 x14ac:dyDescent="0.35">
      <c r="A206" s="162"/>
      <c r="B206" s="163"/>
      <c r="C206" s="163"/>
      <c r="D206" s="172"/>
      <c r="E206" s="165"/>
      <c r="F206" s="165" t="s">
        <v>40</v>
      </c>
      <c r="G206" s="166" t="s">
        <v>41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 x14ac:dyDescent="0.35">
      <c r="A207" s="162"/>
      <c r="B207" s="163"/>
      <c r="C207" s="163"/>
      <c r="D207" s="172"/>
      <c r="E207" s="165"/>
      <c r="F207" s="165"/>
      <c r="G207" s="177" t="s">
        <v>43</v>
      </c>
      <c r="H207" s="167" t="s">
        <v>12</v>
      </c>
      <c r="I207" s="168"/>
      <c r="J207" s="195"/>
      <c r="K207" s="231"/>
      <c r="L207" s="176"/>
      <c r="M207" s="176"/>
      <c r="N207" s="173"/>
      <c r="O207" s="176"/>
      <c r="P207" s="176"/>
    </row>
    <row r="208" spans="1:16" ht="21.75" customHeight="1" x14ac:dyDescent="0.35">
      <c r="A208" s="183"/>
      <c r="B208" s="184"/>
      <c r="C208" s="163" t="s">
        <v>16</v>
      </c>
      <c r="D208" s="185" t="s">
        <v>44</v>
      </c>
      <c r="E208" s="186"/>
      <c r="F208" s="186"/>
      <c r="G208" s="187"/>
      <c r="H208" s="188"/>
      <c r="I208" s="168"/>
      <c r="J208" s="195"/>
      <c r="K208" s="231"/>
      <c r="L208" s="176"/>
      <c r="M208" s="176"/>
      <c r="N208" s="176"/>
      <c r="O208" s="189"/>
      <c r="P208" s="189"/>
    </row>
    <row r="209" spans="1:16" ht="21.75" customHeight="1" x14ac:dyDescent="0.35">
      <c r="A209" s="183"/>
      <c r="B209" s="184"/>
      <c r="C209" s="184"/>
      <c r="D209" s="190">
        <v>1</v>
      </c>
      <c r="E209" s="191" t="s">
        <v>45</v>
      </c>
      <c r="F209" s="192"/>
      <c r="G209" s="193"/>
      <c r="H209" s="194"/>
      <c r="I209" s="195"/>
      <c r="J209" s="195">
        <f ca="1">IFERROR(__xludf.DUMMYFUNCTION("IMPORTRANGE(""https://docs.google.com/spreadsheets/d/1IYY_tgx_IHuhSq3AJ5eI5OnqOPBNLWSHKh2a30DoXe8/edit?usp=sharing"",""ระนอง!J134"")"),0)</f>
        <v>0</v>
      </c>
      <c r="K209" s="231"/>
      <c r="L209" s="176"/>
      <c r="M209" s="176"/>
      <c r="N209" s="176"/>
      <c r="O209" s="189"/>
      <c r="P209" s="189"/>
    </row>
    <row r="210" spans="1:16" ht="21.75" customHeight="1" x14ac:dyDescent="0.35">
      <c r="A210" s="183"/>
      <c r="B210" s="184"/>
      <c r="C210" s="184"/>
      <c r="D210" s="197">
        <v>2</v>
      </c>
      <c r="E210" s="198" t="s">
        <v>46</v>
      </c>
      <c r="F210" s="199"/>
      <c r="G210" s="200"/>
      <c r="H210" s="194"/>
      <c r="I210" s="195"/>
      <c r="J210" s="195">
        <f ca="1">IFERROR(__xludf.DUMMYFUNCTION("IMPORTRANGE(""https://docs.google.com/spreadsheets/d/1IYY_tgx_IHuhSq3AJ5eI5OnqOPBNLWSHKh2a30DoXe8/edit?usp=sharing"",""ระนอง!J135"")"),0)</f>
        <v>0</v>
      </c>
      <c r="K210" s="231"/>
      <c r="L210" s="176"/>
      <c r="M210" s="176"/>
      <c r="N210" s="176"/>
      <c r="O210" s="189"/>
      <c r="P210" s="189"/>
    </row>
    <row r="211" spans="1:16" ht="21.75" customHeight="1" x14ac:dyDescent="0.35">
      <c r="A211" s="183"/>
      <c r="B211" s="184"/>
      <c r="C211" s="184"/>
      <c r="D211" s="201"/>
      <c r="E211" s="202" t="s">
        <v>47</v>
      </c>
      <c r="F211" s="203"/>
      <c r="G211" s="204"/>
      <c r="H211" s="194"/>
      <c r="I211" s="195"/>
      <c r="J211" s="195">
        <f ca="1">IFERROR(__xludf.DUMMYFUNCTION("IMPORTRANGE(""https://docs.google.com/spreadsheets/d/1IYY_tgx_IHuhSq3AJ5eI5OnqOPBNLWSHKh2a30DoXe8/edit?usp=sharing"",""ระนอง!J136"")"),0)</f>
        <v>0</v>
      </c>
      <c r="K211" s="231"/>
      <c r="L211" s="176"/>
      <c r="M211" s="176"/>
      <c r="N211" s="176"/>
      <c r="O211" s="189"/>
      <c r="P211" s="189"/>
    </row>
    <row r="212" spans="1:16" ht="21.75" customHeight="1" x14ac:dyDescent="0.35">
      <c r="A212" s="183"/>
      <c r="B212" s="184"/>
      <c r="C212" s="184"/>
      <c r="D212" s="201"/>
      <c r="E212" s="202" t="s">
        <v>48</v>
      </c>
      <c r="F212" s="203"/>
      <c r="G212" s="204"/>
      <c r="H212" s="194"/>
      <c r="I212" s="195"/>
      <c r="J212" s="195">
        <f ca="1">IFERROR(__xludf.DUMMYFUNCTION("IMPORTRANGE(""https://docs.google.com/spreadsheets/d/1IYY_tgx_IHuhSq3AJ5eI5OnqOPBNLWSHKh2a30DoXe8/edit?usp=sharing"",""ระนอง!J137"")"),0)</f>
        <v>0</v>
      </c>
      <c r="K212" s="231"/>
      <c r="L212" s="176"/>
      <c r="M212" s="176"/>
      <c r="N212" s="176"/>
      <c r="O212" s="189"/>
      <c r="P212" s="189"/>
    </row>
    <row r="213" spans="1:16" ht="21.75" customHeight="1" x14ac:dyDescent="0.35">
      <c r="A213" s="183"/>
      <c r="B213" s="184"/>
      <c r="C213" s="184"/>
      <c r="D213" s="201"/>
      <c r="E213" s="206"/>
      <c r="F213" s="203" t="s">
        <v>95</v>
      </c>
      <c r="G213" s="204"/>
      <c r="H213" s="188" t="s">
        <v>37</v>
      </c>
      <c r="I213" s="195">
        <f ca="1">IFERROR(__xludf.DUMMYFUNCTION("IMPORTRANGE(""https://docs.google.com/spreadsheets/d/1IYY_tgx_IHuhSq3AJ5eI5OnqOPBNLWSHKh2a30DoXe8/edit?usp=sharing"",""ระนอง!I138"")"),0)</f>
        <v>0</v>
      </c>
      <c r="J213" s="211">
        <f ca="1">IFERROR(__xludf.DUMMYFUNCTION("IMPORTRANGE(""https://docs.google.com/spreadsheets/d/1IYY_tgx_IHuhSq3AJ5eI5OnqOPBNLWSHKh2a30DoXe8/edit?usp=sharing"",""ระนอง!J138"")"),0)</f>
        <v>0</v>
      </c>
      <c r="K213" s="231">
        <f ca="1">IF(I213&gt;0,J213*100/I213,0)</f>
        <v>0</v>
      </c>
      <c r="L213" s="176"/>
      <c r="M213" s="176"/>
      <c r="N213" s="173"/>
      <c r="O213" s="176"/>
      <c r="P213" s="176"/>
    </row>
    <row r="214" spans="1:16" ht="21.75" customHeight="1" x14ac:dyDescent="0.35">
      <c r="A214" s="183"/>
      <c r="B214" s="184"/>
      <c r="C214" s="184"/>
      <c r="D214" s="201"/>
      <c r="E214" s="206"/>
      <c r="F214" s="202" t="s">
        <v>53</v>
      </c>
      <c r="G214" s="204"/>
      <c r="H214" s="188"/>
      <c r="I214" s="195"/>
      <c r="J214" s="195"/>
      <c r="K214" s="231"/>
      <c r="L214" s="176"/>
      <c r="M214" s="176"/>
      <c r="N214" s="176"/>
      <c r="O214" s="189"/>
      <c r="P214" s="189"/>
    </row>
    <row r="215" spans="1:16" ht="21.75" customHeight="1" x14ac:dyDescent="0.35">
      <c r="A215" s="183"/>
      <c r="B215" s="184"/>
      <c r="C215" s="184"/>
      <c r="D215" s="201"/>
      <c r="E215" s="206"/>
      <c r="F215" s="203"/>
      <c r="G215" s="233" t="s">
        <v>96</v>
      </c>
      <c r="H215" s="188" t="s">
        <v>37</v>
      </c>
      <c r="I215" s="195">
        <f ca="1">IFERROR(__xludf.DUMMYFUNCTION("IMPORTRANGE(""https://docs.google.com/spreadsheets/d/1IYY_tgx_IHuhSq3AJ5eI5OnqOPBNLWSHKh2a30DoXe8/edit?usp=sharing"",""ระนอง!I140"")"),0)</f>
        <v>0</v>
      </c>
      <c r="J215" s="211">
        <f ca="1">IFERROR(__xludf.DUMMYFUNCTION("IMPORTRANGE(""https://docs.google.com/spreadsheets/d/1IYY_tgx_IHuhSq3AJ5eI5OnqOPBNLWSHKh2a30DoXe8/edit?usp=sharing"",""ระนอง!J140"")"),0)</f>
        <v>0</v>
      </c>
      <c r="K215" s="231">
        <f t="shared" ref="K215:K216" ca="1" si="71">IF(I215&gt;0,J215*100/I215,0)</f>
        <v>0</v>
      </c>
      <c r="L215" s="176"/>
      <c r="M215" s="176"/>
      <c r="N215" s="173"/>
      <c r="O215" s="176"/>
      <c r="P215" s="176"/>
    </row>
    <row r="216" spans="1:16" ht="21.75" customHeight="1" x14ac:dyDescent="0.35">
      <c r="A216" s="183"/>
      <c r="B216" s="184"/>
      <c r="C216" s="184"/>
      <c r="D216" s="201"/>
      <c r="E216" s="206"/>
      <c r="F216" s="203"/>
      <c r="G216" s="233" t="s">
        <v>97</v>
      </c>
      <c r="H216" s="188" t="s">
        <v>59</v>
      </c>
      <c r="I216" s="195">
        <f ca="1">IFERROR(__xludf.DUMMYFUNCTION("IMPORTRANGE(""https://docs.google.com/spreadsheets/d/1IYY_tgx_IHuhSq3AJ5eI5OnqOPBNLWSHKh2a30DoXe8/edit?usp=sharing"",""ระนอง!I141"")"),0)</f>
        <v>0</v>
      </c>
      <c r="J216" s="211">
        <f ca="1">IFERROR(__xludf.DUMMYFUNCTION("IMPORTRANGE(""https://docs.google.com/spreadsheets/d/1IYY_tgx_IHuhSq3AJ5eI5OnqOPBNLWSHKh2a30DoXe8/edit?usp=sharing"",""ระนอง!J141"")"),0)</f>
        <v>0</v>
      </c>
      <c r="K216" s="231">
        <f t="shared" ca="1" si="71"/>
        <v>0</v>
      </c>
      <c r="L216" s="176"/>
      <c r="M216" s="176"/>
      <c r="N216" s="173"/>
      <c r="O216" s="176"/>
      <c r="P216" s="176"/>
    </row>
    <row r="217" spans="1:16" ht="21.75" customHeight="1" x14ac:dyDescent="0.35">
      <c r="A217" s="183"/>
      <c r="B217" s="184"/>
      <c r="C217" s="184"/>
      <c r="D217" s="201"/>
      <c r="E217" s="202" t="s">
        <v>54</v>
      </c>
      <c r="F217" s="203"/>
      <c r="G217" s="204"/>
      <c r="H217" s="194"/>
      <c r="I217" s="195"/>
      <c r="J217" s="195">
        <f ca="1">IFERROR(__xludf.DUMMYFUNCTION("IMPORTRANGE(""https://docs.google.com/spreadsheets/d/1IYY_tgx_IHuhSq3AJ5eI5OnqOPBNLWSHKh2a30DoXe8/edit?usp=sharing"",""ระนอง!J142"")"),0)</f>
        <v>0</v>
      </c>
      <c r="K217" s="231"/>
      <c r="L217" s="176"/>
      <c r="M217" s="176"/>
      <c r="N217" s="176"/>
      <c r="O217" s="189"/>
      <c r="P217" s="189"/>
    </row>
    <row r="218" spans="1:16" ht="21.75" customHeight="1" x14ac:dyDescent="0.35">
      <c r="A218" s="241"/>
      <c r="B218" s="242"/>
      <c r="C218" s="242"/>
      <c r="D218" s="243">
        <v>3</v>
      </c>
      <c r="E218" s="244" t="s">
        <v>55</v>
      </c>
      <c r="F218" s="245"/>
      <c r="G218" s="246"/>
      <c r="H218" s="247"/>
      <c r="I218" s="248"/>
      <c r="J218" s="249">
        <f ca="1">IFERROR(__xludf.DUMMYFUNCTION("IMPORTRANGE(""https://docs.google.com/spreadsheets/d/1IYY_tgx_IHuhSq3AJ5eI5OnqOPBNLWSHKh2a30DoXe8/edit?usp=sharing"",""ระนอง!J143"")"),0)</f>
        <v>0</v>
      </c>
      <c r="K218" s="250"/>
      <c r="L218" s="251"/>
      <c r="M218" s="251"/>
      <c r="N218" s="251"/>
      <c r="O218" s="252"/>
      <c r="P218" s="252"/>
    </row>
    <row r="219" spans="1:16" ht="21.75" customHeight="1" x14ac:dyDescent="0.35">
      <c r="A219" s="269"/>
      <c r="B219" s="270" t="s">
        <v>98</v>
      </c>
      <c r="C219" s="271"/>
      <c r="D219" s="270"/>
      <c r="E219" s="270"/>
      <c r="F219" s="270"/>
      <c r="G219" s="272"/>
      <c r="H219" s="273" t="s">
        <v>37</v>
      </c>
      <c r="I219" s="274">
        <f ca="1">IFERROR(__xludf.DUMMYFUNCTION("IMPORTRANGE(""https://docs.google.com/spreadsheets/d/1IYY_tgx_IHuhSq3AJ5eI5OnqOPBNLWSHKh2a30DoXe8/edit?usp=sharing"",""ระนอง!I144"")"),13)</f>
        <v>13</v>
      </c>
      <c r="J219" s="274">
        <f ca="1">IFERROR(__xludf.DUMMYFUNCTION("IMPORTRANGE(""https://docs.google.com/spreadsheets/d/1IYY_tgx_IHuhSq3AJ5eI5OnqOPBNLWSHKh2a30DoXe8/edit?usp=sharing"",""ระนอง!J144"")"),13)</f>
        <v>13</v>
      </c>
      <c r="K219" s="275">
        <f ca="1">IF(I219&gt;0,J219*100/I219,0)</f>
        <v>100</v>
      </c>
      <c r="L219" s="276"/>
      <c r="M219" s="276"/>
      <c r="N219" s="276"/>
      <c r="O219" s="275"/>
      <c r="P219" s="275"/>
    </row>
    <row r="220" spans="1:16" ht="21.75" customHeight="1" x14ac:dyDescent="0.45">
      <c r="A220" s="150"/>
      <c r="B220" s="151"/>
      <c r="C220" s="152" t="s">
        <v>16</v>
      </c>
      <c r="D220" s="552" t="s">
        <v>17</v>
      </c>
      <c r="E220" s="543"/>
      <c r="F220" s="543"/>
      <c r="G220" s="543"/>
      <c r="H220" s="153" t="s">
        <v>12</v>
      </c>
      <c r="I220" s="168"/>
      <c r="J220" s="168"/>
      <c r="K220" s="169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8"/>
      <c r="J221" s="168"/>
      <c r="K221" s="169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8"/>
      <c r="J222" s="168"/>
      <c r="K222" s="169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5">
      <c r="A223" s="162"/>
      <c r="B223" s="163"/>
      <c r="C223" s="163" t="s">
        <v>16</v>
      </c>
      <c r="D223" s="164" t="s">
        <v>38</v>
      </c>
      <c r="E223" s="165"/>
      <c r="F223" s="165"/>
      <c r="G223" s="166" t="s">
        <v>39</v>
      </c>
      <c r="H223" s="167" t="s">
        <v>12</v>
      </c>
      <c r="I223" s="168" t="s">
        <v>40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 x14ac:dyDescent="0.35">
      <c r="A224" s="162"/>
      <c r="B224" s="163"/>
      <c r="C224" s="163"/>
      <c r="D224" s="172"/>
      <c r="E224" s="165"/>
      <c r="F224" s="165" t="s">
        <v>40</v>
      </c>
      <c r="G224" s="166" t="s">
        <v>41</v>
      </c>
      <c r="H224" s="167" t="s">
        <v>12</v>
      </c>
      <c r="I224" s="168"/>
      <c r="J224" s="168"/>
      <c r="K224" s="169"/>
      <c r="L224" s="173">
        <f ca="1">L225+L226</f>
        <v>19295</v>
      </c>
      <c r="M224" s="174">
        <f ca="1">IFERROR(__xludf.DUMMYFUNCTION("IMPORTRANGE(""https://docs.google.com/spreadsheets/d/1Yj_ptqi66GCucihVvJfMjLAmec39IyEx_6qawtMGysU/edit?usp=sharing"",""สบก!BS91"")"),19295)</f>
        <v>19295</v>
      </c>
      <c r="N224" s="175">
        <f ca="1">IFERROR(__xludf.DUMMYFUNCTION("IMPORTRANGE(""https://docs.google.com/spreadsheets/d/1Yj_ptqi66GCucihVvJfMjLAmec39IyEx_6qawtMGysU/edit?usp=sharing"",""สบก!BT91"")"),19295)</f>
        <v>19295</v>
      </c>
      <c r="O224" s="176">
        <f ca="1">IF(L224&gt;0,N224*100/L224,0)</f>
        <v>100</v>
      </c>
      <c r="P224" s="176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2"/>
      <c r="E225" s="165"/>
      <c r="F225" s="165"/>
      <c r="G225" s="177" t="s">
        <v>42</v>
      </c>
      <c r="H225" s="167" t="s">
        <v>12</v>
      </c>
      <c r="I225" s="168"/>
      <c r="J225" s="168"/>
      <c r="K225" s="169"/>
      <c r="L225" s="174">
        <f ca="1">IFERROR(__xludf.DUMMYFUNCTION("IMPORTRANGE(""https://docs.google.com/spreadsheets/d/1Yj_ptqi66GCucihVvJfMjLAmec39IyEx_6qawtMGysU/edit?usp=sharing"",""สบก!BO91"")"),0)</f>
        <v>0</v>
      </c>
      <c r="M225" s="173"/>
      <c r="N225" s="173"/>
      <c r="O225" s="176"/>
      <c r="P225" s="176"/>
    </row>
    <row r="226" spans="1:16" ht="21.75" customHeight="1" x14ac:dyDescent="0.35">
      <c r="A226" s="162"/>
      <c r="B226" s="163"/>
      <c r="C226" s="163"/>
      <c r="D226" s="172"/>
      <c r="E226" s="165"/>
      <c r="F226" s="165"/>
      <c r="G226" s="177" t="s">
        <v>43</v>
      </c>
      <c r="H226" s="167" t="s">
        <v>12</v>
      </c>
      <c r="I226" s="168"/>
      <c r="J226" s="168"/>
      <c r="K226" s="169"/>
      <c r="L226" s="174">
        <f ca="1">IFERROR(__xludf.DUMMYFUNCTION("IMPORTRANGE(""https://docs.google.com/spreadsheets/d/1Yj_ptqi66GCucihVvJfMjLAmec39IyEx_6qawtMGysU/edit?usp=sharing"",""สบก!BP91"")"),19295)</f>
        <v>19295</v>
      </c>
      <c r="M226" s="173"/>
      <c r="N226" s="173"/>
      <c r="O226" s="176"/>
      <c r="P226" s="176"/>
    </row>
    <row r="227" spans="1:16" ht="21.75" customHeight="1" x14ac:dyDescent="0.45">
      <c r="A227" s="178"/>
      <c r="B227" s="81"/>
      <c r="C227" s="82" t="s">
        <v>16</v>
      </c>
      <c r="D227" s="549" t="s">
        <v>23</v>
      </c>
      <c r="E227" s="545"/>
      <c r="F227" s="89"/>
      <c r="G227" s="83" t="s">
        <v>18</v>
      </c>
      <c r="H227" s="179" t="s">
        <v>12</v>
      </c>
      <c r="I227" s="208"/>
      <c r="J227" s="208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80"/>
      <c r="B228" s="95"/>
      <c r="C228" s="95"/>
      <c r="D228" s="181"/>
      <c r="E228" s="96"/>
      <c r="F228" s="96"/>
      <c r="G228" s="97" t="s">
        <v>19</v>
      </c>
      <c r="H228" s="182" t="s">
        <v>12</v>
      </c>
      <c r="I228" s="208"/>
      <c r="J228" s="208"/>
      <c r="K228" s="296"/>
      <c r="L228" s="91">
        <f ca="1">IFERROR(__xludf.DUMMYFUNCTION("IMPORTRANGE(""https://docs.google.com/spreadsheets/d/1Yj_ptqi66GCucihVvJfMjLAmec39IyEx_6qawtMGysU/edit?usp=sharing"",""สบก!BQ91"")"),0)</f>
        <v>0</v>
      </c>
      <c r="M228" s="101"/>
      <c r="N228" s="91">
        <f ca="1">IFERROR(__xludf.DUMMYFUNCTION("IMPORTRANGE(""https://docs.google.com/spreadsheets/d/1Yj_ptqi66GCucihVvJfMjLAmec39IyEx_6qawtMGysU/edit?usp=sharing"",""สบก!BU91"")"),0)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3"/>
      <c r="B229" s="297"/>
      <c r="C229" s="271" t="s">
        <v>99</v>
      </c>
      <c r="D229" s="270"/>
      <c r="E229" s="270"/>
      <c r="F229" s="270"/>
      <c r="G229" s="272"/>
      <c r="H229" s="273" t="s">
        <v>37</v>
      </c>
      <c r="I229" s="274">
        <f ca="1">IFERROR(__xludf.DUMMYFUNCTION("IMPORTRANGE(""https://docs.google.com/spreadsheets/d/1IYY_tgx_IHuhSq3AJ5eI5OnqOPBNLWSHKh2a30DoXe8/edit?usp=sharing"",""ระนอง!I149"")"),13)</f>
        <v>13</v>
      </c>
      <c r="J229" s="274">
        <f ca="1">IFERROR(__xludf.DUMMYFUNCTION("IMPORTRANGE(""https://docs.google.com/spreadsheets/d/1IYY_tgx_IHuhSq3AJ5eI5OnqOPBNLWSHKh2a30DoXe8/edit?usp=sharing"",""ระนอง!J149"")"),13)</f>
        <v>13</v>
      </c>
      <c r="K229" s="275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3"/>
      <c r="B230" s="184"/>
      <c r="C230" s="163" t="s">
        <v>16</v>
      </c>
      <c r="D230" s="185" t="s">
        <v>44</v>
      </c>
      <c r="E230" s="186"/>
      <c r="F230" s="186"/>
      <c r="G230" s="187"/>
      <c r="H230" s="188"/>
      <c r="I230" s="168"/>
      <c r="J230" s="168"/>
      <c r="K230" s="169"/>
      <c r="L230" s="189"/>
      <c r="M230" s="189"/>
      <c r="N230" s="189"/>
      <c r="O230" s="189"/>
      <c r="P230" s="189"/>
    </row>
    <row r="231" spans="1:16" ht="21.75" customHeight="1" x14ac:dyDescent="0.35">
      <c r="A231" s="183"/>
      <c r="B231" s="184"/>
      <c r="C231" s="184"/>
      <c r="D231" s="190">
        <v>1</v>
      </c>
      <c r="E231" s="191" t="s">
        <v>45</v>
      </c>
      <c r="F231" s="192"/>
      <c r="G231" s="193"/>
      <c r="H231" s="194"/>
      <c r="I231" s="195"/>
      <c r="J231" s="205">
        <f ca="1">IFERROR(__xludf.DUMMYFUNCTION("IMPORTRANGE(""https://docs.google.com/spreadsheets/d/1IYY_tgx_IHuhSq3AJ5eI5OnqOPBNLWSHKh2a30DoXe8/edit?usp=sharing"",""ระนอง!J151"")"),0)</f>
        <v>0</v>
      </c>
      <c r="K231" s="169"/>
      <c r="L231" s="189"/>
      <c r="M231" s="189"/>
      <c r="N231" s="189"/>
      <c r="O231" s="189"/>
      <c r="P231" s="189"/>
    </row>
    <row r="232" spans="1:16" ht="21.75" customHeight="1" x14ac:dyDescent="0.35">
      <c r="A232" s="183"/>
      <c r="B232" s="184"/>
      <c r="C232" s="184"/>
      <c r="D232" s="197">
        <v>2</v>
      </c>
      <c r="E232" s="198" t="s">
        <v>46</v>
      </c>
      <c r="F232" s="199"/>
      <c r="G232" s="200"/>
      <c r="H232" s="194"/>
      <c r="I232" s="195"/>
      <c r="J232" s="196">
        <f ca="1">IFERROR(__xludf.DUMMYFUNCTION("IMPORTRANGE(""https://docs.google.com/spreadsheets/d/1IYY_tgx_IHuhSq3AJ5eI5OnqOPBNLWSHKh2a30DoXe8/edit?usp=sharing"",""ระนอง!J152"")"),1)</f>
        <v>1</v>
      </c>
      <c r="K232" s="169"/>
      <c r="L232" s="189" t="s">
        <v>40</v>
      </c>
      <c r="M232" s="189"/>
      <c r="N232" s="189" t="s">
        <v>40</v>
      </c>
      <c r="O232" s="189"/>
      <c r="P232" s="189"/>
    </row>
    <row r="233" spans="1:16" ht="21.75" customHeight="1" x14ac:dyDescent="0.35">
      <c r="A233" s="183"/>
      <c r="B233" s="184"/>
      <c r="C233" s="184"/>
      <c r="D233" s="201"/>
      <c r="E233" s="202" t="s">
        <v>47</v>
      </c>
      <c r="F233" s="203"/>
      <c r="G233" s="204"/>
      <c r="H233" s="194"/>
      <c r="I233" s="195"/>
      <c r="J233" s="196">
        <f ca="1">IFERROR(__xludf.DUMMYFUNCTION("IMPORTRANGE(""https://docs.google.com/spreadsheets/d/1IYY_tgx_IHuhSq3AJ5eI5OnqOPBNLWSHKh2a30DoXe8/edit?usp=sharing"",""ระนอง!J153"")"),1)</f>
        <v>1</v>
      </c>
      <c r="K233" s="169"/>
      <c r="L233" s="189"/>
      <c r="M233" s="189"/>
      <c r="N233" s="189"/>
      <c r="O233" s="189"/>
      <c r="P233" s="189"/>
    </row>
    <row r="234" spans="1:16" ht="21.75" customHeight="1" x14ac:dyDescent="0.35">
      <c r="A234" s="183"/>
      <c r="B234" s="184"/>
      <c r="C234" s="184"/>
      <c r="D234" s="201"/>
      <c r="E234" s="202" t="s">
        <v>48</v>
      </c>
      <c r="F234" s="203"/>
      <c r="G234" s="204"/>
      <c r="H234" s="194"/>
      <c r="I234" s="195"/>
      <c r="J234" s="205">
        <f ca="1">IFERROR(__xludf.DUMMYFUNCTION("IMPORTRANGE(""https://docs.google.com/spreadsheets/d/1IYY_tgx_IHuhSq3AJ5eI5OnqOPBNLWSHKh2a30DoXe8/edit?usp=sharing"",""ระนอง!J154"")"),1)</f>
        <v>1</v>
      </c>
      <c r="K234" s="169"/>
      <c r="L234" s="189"/>
      <c r="M234" s="189"/>
      <c r="N234" s="189"/>
      <c r="O234" s="189"/>
      <c r="P234" s="189"/>
    </row>
    <row r="235" spans="1:16" ht="21.75" customHeight="1" x14ac:dyDescent="0.35">
      <c r="A235" s="183"/>
      <c r="B235" s="184"/>
      <c r="C235" s="184"/>
      <c r="D235" s="201"/>
      <c r="E235" s="206"/>
      <c r="F235" s="203"/>
      <c r="G235" s="299" t="s">
        <v>70</v>
      </c>
      <c r="H235" s="194" t="s">
        <v>37</v>
      </c>
      <c r="I235" s="195">
        <f ca="1">IFERROR(__xludf.DUMMYFUNCTION("IMPORTRANGE(""https://docs.google.com/spreadsheets/d/1IYY_tgx_IHuhSq3AJ5eI5OnqOPBNLWSHKh2a30DoXe8/edit?usp=sharing"",""ระนอง!I155"")"),13)</f>
        <v>13</v>
      </c>
      <c r="J235" s="196">
        <f ca="1">IFERROR(__xludf.DUMMYFUNCTION("IMPORTRANGE(""https://docs.google.com/spreadsheets/d/1IYY_tgx_IHuhSq3AJ5eI5OnqOPBNLWSHKh2a30DoXe8/edit?usp=sharing"",""ระนอง!J155"")"),13)</f>
        <v>13</v>
      </c>
      <c r="K235" s="169">
        <f ca="1">IF(I235&gt;0,J235*100/I235,0)</f>
        <v>100</v>
      </c>
      <c r="L235" s="189"/>
      <c r="M235" s="189"/>
      <c r="N235" s="189"/>
      <c r="O235" s="189"/>
      <c r="P235" s="189"/>
    </row>
    <row r="236" spans="1:16" ht="21.75" customHeight="1" x14ac:dyDescent="0.35">
      <c r="A236" s="183"/>
      <c r="B236" s="184"/>
      <c r="C236" s="184"/>
      <c r="D236" s="201"/>
      <c r="E236" s="202" t="s">
        <v>54</v>
      </c>
      <c r="F236" s="203"/>
      <c r="G236" s="204"/>
      <c r="H236" s="194"/>
      <c r="I236" s="195"/>
      <c r="J236" s="205">
        <f ca="1">IFERROR(__xludf.DUMMYFUNCTION("IMPORTRANGE(""https://docs.google.com/spreadsheets/d/1IYY_tgx_IHuhSq3AJ5eI5OnqOPBNLWSHKh2a30DoXe8/edit?usp=sharing"",""ระนอง!J156"")"),0)</f>
        <v>0</v>
      </c>
      <c r="K236" s="169"/>
      <c r="L236" s="189"/>
      <c r="M236" s="189"/>
      <c r="N236" s="189"/>
      <c r="O236" s="189"/>
      <c r="P236" s="189"/>
    </row>
    <row r="237" spans="1:16" ht="21.75" customHeight="1" x14ac:dyDescent="0.35">
      <c r="A237" s="183"/>
      <c r="B237" s="184"/>
      <c r="C237" s="184"/>
      <c r="D237" s="213">
        <v>3</v>
      </c>
      <c r="E237" s="214" t="s">
        <v>55</v>
      </c>
      <c r="F237" s="215"/>
      <c r="G237" s="216"/>
      <c r="H237" s="194"/>
      <c r="I237" s="195"/>
      <c r="J237" s="217">
        <f ca="1">IFERROR(__xludf.DUMMYFUNCTION("IMPORTRANGE(""https://docs.google.com/spreadsheets/d/1IYY_tgx_IHuhSq3AJ5eI5OnqOPBNLWSHKh2a30DoXe8/edit?usp=sharing"",""ระนอง!J157"")"),0)</f>
        <v>0</v>
      </c>
      <c r="K237" s="169"/>
      <c r="L237" s="189"/>
      <c r="M237" s="189"/>
      <c r="N237" s="189"/>
      <c r="O237" s="189"/>
      <c r="P237" s="189"/>
    </row>
    <row r="238" spans="1:16" ht="21.75" customHeight="1" x14ac:dyDescent="0.35">
      <c r="A238" s="183"/>
      <c r="B238" s="184"/>
      <c r="C238" s="271" t="s">
        <v>100</v>
      </c>
      <c r="D238" s="300"/>
      <c r="E238" s="270"/>
      <c r="F238" s="270"/>
      <c r="G238" s="272"/>
      <c r="H238" s="273" t="s">
        <v>37</v>
      </c>
      <c r="I238" s="274">
        <f ca="1">IFERROR(__xludf.DUMMYFUNCTION("IMPORTRANGE(""https://docs.google.com/spreadsheets/d/1IYY_tgx_IHuhSq3AJ5eI5OnqOPBNLWSHKh2a30DoXe8/edit?usp=sharing"",""ระนอง!I158"")"),0)</f>
        <v>0</v>
      </c>
      <c r="J238" s="274">
        <f ca="1">IFERROR(__xludf.DUMMYFUNCTION("IMPORTRANGE(""https://docs.google.com/spreadsheets/d/1IYY_tgx_IHuhSq3AJ5eI5OnqOPBNLWSHKh2a30DoXe8/edit?usp=sharing"",""ระนอง!J158"")"),0)</f>
        <v>0</v>
      </c>
      <c r="K238" s="275">
        <f ca="1">IF(I238&gt;0,J238*100/I238,0)</f>
        <v>0</v>
      </c>
      <c r="L238" s="189"/>
      <c r="M238" s="189"/>
      <c r="N238" s="189"/>
      <c r="O238" s="189"/>
      <c r="P238" s="189"/>
    </row>
    <row r="239" spans="1:16" ht="21.75" customHeight="1" x14ac:dyDescent="0.35">
      <c r="A239" s="183"/>
      <c r="B239" s="184"/>
      <c r="C239" s="163" t="s">
        <v>16</v>
      </c>
      <c r="D239" s="185" t="s">
        <v>44</v>
      </c>
      <c r="E239" s="186"/>
      <c r="F239" s="186"/>
      <c r="G239" s="187"/>
      <c r="H239" s="188"/>
      <c r="I239" s="168"/>
      <c r="J239" s="168"/>
      <c r="K239" s="169"/>
      <c r="L239" s="189"/>
      <c r="M239" s="189"/>
      <c r="N239" s="189"/>
      <c r="O239" s="189"/>
      <c r="P239" s="189"/>
    </row>
    <row r="240" spans="1:16" ht="21.75" customHeight="1" x14ac:dyDescent="0.35">
      <c r="A240" s="183"/>
      <c r="B240" s="184"/>
      <c r="C240" s="184"/>
      <c r="D240" s="190">
        <v>1</v>
      </c>
      <c r="E240" s="191" t="s">
        <v>45</v>
      </c>
      <c r="F240" s="192"/>
      <c r="G240" s="193"/>
      <c r="H240" s="194"/>
      <c r="I240" s="195"/>
      <c r="J240" s="195" t="str">
        <f ca="1">IFERROR(__xludf.DUMMYFUNCTION("IMPORTRANGE(""https://docs.google.com/spreadsheets/d/1IYY_tgx_IHuhSq3AJ5eI5OnqOPBNLWSHKh2a30DoXe8/edit?usp=sharing"",""ระนอง!J159"")"),"")</f>
        <v/>
      </c>
      <c r="K240" s="169"/>
      <c r="L240" s="189"/>
      <c r="M240" s="189"/>
      <c r="N240" s="189"/>
      <c r="O240" s="189"/>
      <c r="P240" s="189"/>
    </row>
    <row r="241" spans="1:16" ht="21.75" customHeight="1" x14ac:dyDescent="0.35">
      <c r="A241" s="183"/>
      <c r="B241" s="184"/>
      <c r="C241" s="184"/>
      <c r="D241" s="197">
        <v>2</v>
      </c>
      <c r="E241" s="198" t="s">
        <v>46</v>
      </c>
      <c r="F241" s="199"/>
      <c r="G241" s="200"/>
      <c r="H241" s="194"/>
      <c r="I241" s="195"/>
      <c r="J241" s="195">
        <f ca="1">IFERROR(__xludf.DUMMYFUNCTION("IMPORTRANGE(""https://docs.google.com/spreadsheets/d/1IYY_tgx_IHuhSq3AJ5eI5OnqOPBNLWSHKh2a30DoXe8/edit?usp=sharing"",""ระนอง!J161"")"),0)</f>
        <v>0</v>
      </c>
      <c r="K241" s="169"/>
      <c r="L241" s="189" t="s">
        <v>40</v>
      </c>
      <c r="M241" s="189"/>
      <c r="N241" s="189" t="s">
        <v>40</v>
      </c>
      <c r="O241" s="189"/>
      <c r="P241" s="189"/>
    </row>
    <row r="242" spans="1:16" ht="21.75" customHeight="1" x14ac:dyDescent="0.35">
      <c r="A242" s="183"/>
      <c r="B242" s="184"/>
      <c r="C242" s="184"/>
      <c r="D242" s="201"/>
      <c r="E242" s="202" t="s">
        <v>47</v>
      </c>
      <c r="F242" s="203"/>
      <c r="G242" s="204"/>
      <c r="H242" s="194"/>
      <c r="I242" s="195"/>
      <c r="J242" s="195">
        <f ca="1">IFERROR(__xludf.DUMMYFUNCTION("IMPORTRANGE(""https://docs.google.com/spreadsheets/d/1IYY_tgx_IHuhSq3AJ5eI5OnqOPBNLWSHKh2a30DoXe8/edit?usp=sharing"",""ระนอง!J162"")"),0)</f>
        <v>0</v>
      </c>
      <c r="K242" s="169"/>
      <c r="L242" s="189"/>
      <c r="M242" s="189"/>
      <c r="N242" s="189"/>
      <c r="O242" s="189"/>
      <c r="P242" s="189"/>
    </row>
    <row r="243" spans="1:16" ht="21.75" customHeight="1" x14ac:dyDescent="0.35">
      <c r="A243" s="183"/>
      <c r="B243" s="184"/>
      <c r="C243" s="184"/>
      <c r="D243" s="201"/>
      <c r="E243" s="202" t="s">
        <v>48</v>
      </c>
      <c r="F243" s="203"/>
      <c r="G243" s="204"/>
      <c r="H243" s="194"/>
      <c r="I243" s="195"/>
      <c r="J243" s="195">
        <f ca="1">IFERROR(__xludf.DUMMYFUNCTION("IMPORTRANGE(""https://docs.google.com/spreadsheets/d/1IYY_tgx_IHuhSq3AJ5eI5OnqOPBNLWSHKh2a30DoXe8/edit?usp=sharing"",""ระนอง!J163"")"),0)</f>
        <v>0</v>
      </c>
      <c r="K243" s="169"/>
      <c r="L243" s="189"/>
      <c r="M243" s="189"/>
      <c r="N243" s="189"/>
      <c r="O243" s="189"/>
      <c r="P243" s="189"/>
    </row>
    <row r="244" spans="1:16" ht="21.75" customHeight="1" x14ac:dyDescent="0.35">
      <c r="A244" s="183"/>
      <c r="B244" s="184"/>
      <c r="C244" s="184"/>
      <c r="D244" s="201"/>
      <c r="E244" s="203"/>
      <c r="F244" s="202" t="s">
        <v>101</v>
      </c>
      <c r="G244" s="203"/>
      <c r="H244" s="194" t="s">
        <v>37</v>
      </c>
      <c r="I244" s="211">
        <f ca="1">IFERROR(__xludf.DUMMYFUNCTION("IMPORTRANGE(""https://docs.google.com/spreadsheets/d/1IYY_tgx_IHuhSq3AJ5eI5OnqOPBNLWSHKh2a30DoXe8/edit?usp=sharing"",""ระนอง!I164"")"),0)</f>
        <v>0</v>
      </c>
      <c r="J244" s="195">
        <f ca="1">IFERROR(__xludf.DUMMYFUNCTION("IMPORTRANGE(""https://docs.google.com/spreadsheets/d/1IYY_tgx_IHuhSq3AJ5eI5OnqOPBNLWSHKh2a30DoXe8/edit?usp=sharing"",""ระนอง!J164"")"),0)</f>
        <v>0</v>
      </c>
      <c r="K244" s="169">
        <f ca="1">IF(I244&gt;0,J244*100/I244,0)</f>
        <v>0</v>
      </c>
      <c r="L244" s="189"/>
      <c r="M244" s="189"/>
      <c r="N244" s="189"/>
      <c r="O244" s="189"/>
      <c r="P244" s="189"/>
    </row>
    <row r="245" spans="1:16" ht="21.75" customHeight="1" x14ac:dyDescent="0.35">
      <c r="A245" s="183"/>
      <c r="B245" s="184"/>
      <c r="C245" s="184"/>
      <c r="D245" s="201"/>
      <c r="E245" s="202" t="s">
        <v>54</v>
      </c>
      <c r="F245" s="203"/>
      <c r="G245" s="204"/>
      <c r="H245" s="194"/>
      <c r="I245" s="195"/>
      <c r="J245" s="195">
        <f ca="1">IFERROR(__xludf.DUMMYFUNCTION("IMPORTRANGE(""https://docs.google.com/spreadsheets/d/1IYY_tgx_IHuhSq3AJ5eI5OnqOPBNLWSHKh2a30DoXe8/edit?usp=sharing"",""ระนอง!J165"")"),0)</f>
        <v>0</v>
      </c>
      <c r="K245" s="169"/>
      <c r="L245" s="189"/>
      <c r="M245" s="189"/>
      <c r="N245" s="189"/>
      <c r="O245" s="189"/>
      <c r="P245" s="189"/>
    </row>
    <row r="246" spans="1:16" ht="21.75" customHeight="1" x14ac:dyDescent="0.35">
      <c r="A246" s="241"/>
      <c r="B246" s="242"/>
      <c r="C246" s="242"/>
      <c r="D246" s="243">
        <v>3</v>
      </c>
      <c r="E246" s="244" t="s">
        <v>55</v>
      </c>
      <c r="F246" s="245"/>
      <c r="G246" s="246"/>
      <c r="H246" s="247"/>
      <c r="I246" s="248"/>
      <c r="J246" s="249">
        <f ca="1">IFERROR(__xludf.DUMMYFUNCTION("IMPORTRANGE(""https://docs.google.com/spreadsheets/d/1IYY_tgx_IHuhSq3AJ5eI5OnqOPBNLWSHKh2a30DoXe8/edit?usp=sharing"",""ระนอง!J166"")"),0)</f>
        <v>0</v>
      </c>
      <c r="K246" s="294"/>
      <c r="L246" s="252"/>
      <c r="M246" s="252"/>
      <c r="N246" s="252"/>
      <c r="O246" s="252"/>
      <c r="P246" s="252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IFERROR(__xludf.DUMMYFUNCTION("IMPORTRANGE(""https://docs.google.com/spreadsheets/d/1IYY_tgx_IHuhSq3AJ5eI5OnqOPBNLWSHKh2a30DoXe8/edit?usp=sharing"",""ระนอง!I169"")"),0)</f>
        <v>0</v>
      </c>
      <c r="J249" s="322">
        <f ca="1">IFERROR(__xludf.DUMMYFUNCTION("IMPORTRANGE(""https://docs.google.com/spreadsheets/d/1IYY_tgx_IHuhSq3AJ5eI5OnqOPBNLWSHKh2a30DoXe8/edit?usp=sharing"",""ระนอง!J169"")"),0)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52" t="s">
        <v>17</v>
      </c>
      <c r="E250" s="543"/>
      <c r="F250" s="543"/>
      <c r="G250" s="543"/>
      <c r="H250" s="153" t="s">
        <v>12</v>
      </c>
      <c r="I250" s="168"/>
      <c r="J250" s="168"/>
      <c r="K250" s="169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8"/>
      <c r="J251" s="168"/>
      <c r="K251" s="169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8"/>
      <c r="J252" s="168"/>
      <c r="K252" s="169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5">
      <c r="A253" s="162"/>
      <c r="B253" s="163"/>
      <c r="C253" s="163" t="s">
        <v>16</v>
      </c>
      <c r="D253" s="164" t="s">
        <v>38</v>
      </c>
      <c r="E253" s="165"/>
      <c r="F253" s="165"/>
      <c r="G253" s="166" t="s">
        <v>39</v>
      </c>
      <c r="H253" s="167" t="s">
        <v>12</v>
      </c>
      <c r="I253" s="168" t="s">
        <v>40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 x14ac:dyDescent="0.35">
      <c r="A254" s="162"/>
      <c r="B254" s="163"/>
      <c r="C254" s="163"/>
      <c r="D254" s="172"/>
      <c r="E254" s="165"/>
      <c r="F254" s="165" t="s">
        <v>40</v>
      </c>
      <c r="G254" s="166" t="s">
        <v>41</v>
      </c>
      <c r="H254" s="167" t="s">
        <v>12</v>
      </c>
      <c r="I254" s="168"/>
      <c r="J254" s="168"/>
      <c r="K254" s="169"/>
      <c r="L254" s="173">
        <f ca="1">L255+L256</f>
        <v>0</v>
      </c>
      <c r="M254" s="174">
        <f ca="1">IFERROR(__xludf.DUMMYFUNCTION("IMPORTRANGE(""https://docs.google.com/spreadsheets/d/1Yj_ptqi66GCucihVvJfMjLAmec39IyEx_6qawtMGysU/edit?usp=sharing"",""สบก!CB91"")"),0)</f>
        <v>0</v>
      </c>
      <c r="N254" s="175">
        <f ca="1">IFERROR(__xludf.DUMMYFUNCTION("IMPORTRANGE(""https://docs.google.com/spreadsheets/d/1Yj_ptqi66GCucihVvJfMjLAmec39IyEx_6qawtMGysU/edit?usp=sharing"",""สบก!CC91"")"),0)</f>
        <v>0</v>
      </c>
      <c r="O254" s="176">
        <f ca="1">IF(L254&gt;0,N254*100/L254,0)</f>
        <v>0</v>
      </c>
      <c r="P254" s="176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2"/>
      <c r="E255" s="165"/>
      <c r="F255" s="165"/>
      <c r="G255" s="177" t="s">
        <v>42</v>
      </c>
      <c r="H255" s="167" t="s">
        <v>12</v>
      </c>
      <c r="I255" s="168"/>
      <c r="J255" s="168"/>
      <c r="K255" s="169"/>
      <c r="L255" s="174">
        <f ca="1">IFERROR(__xludf.DUMMYFUNCTION("IMPORTRANGE(""https://docs.google.com/spreadsheets/d/1Yj_ptqi66GCucihVvJfMjLAmec39IyEx_6qawtMGysU/edit?usp=sharing"",""สบก!BX91"")"),0)</f>
        <v>0</v>
      </c>
      <c r="M255" s="173"/>
      <c r="N255" s="173"/>
      <c r="O255" s="176"/>
      <c r="P255" s="176"/>
    </row>
    <row r="256" spans="1:16" ht="21.75" customHeight="1" x14ac:dyDescent="0.35">
      <c r="A256" s="162"/>
      <c r="B256" s="163"/>
      <c r="C256" s="163"/>
      <c r="D256" s="172"/>
      <c r="E256" s="165"/>
      <c r="F256" s="165"/>
      <c r="G256" s="177" t="s">
        <v>43</v>
      </c>
      <c r="H256" s="167" t="s">
        <v>12</v>
      </c>
      <c r="I256" s="168"/>
      <c r="J256" s="168"/>
      <c r="K256" s="169"/>
      <c r="L256" s="174">
        <f ca="1">IFERROR(__xludf.DUMMYFUNCTION("IMPORTRANGE(""https://docs.google.com/spreadsheets/d/1Yj_ptqi66GCucihVvJfMjLAmec39IyEx_6qawtMGysU/edit?usp=sharing"",""สบก!BY91"")"),0)</f>
        <v>0</v>
      </c>
      <c r="M256" s="173"/>
      <c r="N256" s="173"/>
      <c r="O256" s="176"/>
      <c r="P256" s="176"/>
    </row>
    <row r="257" spans="1:16" ht="21.75" customHeight="1" x14ac:dyDescent="0.45">
      <c r="A257" s="178"/>
      <c r="B257" s="81"/>
      <c r="C257" s="82" t="s">
        <v>16</v>
      </c>
      <c r="D257" s="549" t="s">
        <v>23</v>
      </c>
      <c r="E257" s="545"/>
      <c r="F257" s="89"/>
      <c r="G257" s="83" t="s">
        <v>18</v>
      </c>
      <c r="H257" s="179" t="s">
        <v>12</v>
      </c>
      <c r="I257" s="168"/>
      <c r="J257" s="168"/>
      <c r="K257" s="169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80"/>
      <c r="B258" s="95"/>
      <c r="C258" s="95"/>
      <c r="D258" s="181"/>
      <c r="E258" s="96"/>
      <c r="F258" s="96"/>
      <c r="G258" s="97" t="s">
        <v>19</v>
      </c>
      <c r="H258" s="182" t="s">
        <v>12</v>
      </c>
      <c r="I258" s="168"/>
      <c r="J258" s="168"/>
      <c r="K258" s="169"/>
      <c r="L258" s="91">
        <f ca="1">IFERROR(__xludf.DUMMYFUNCTION("IMPORTRANGE(""https://docs.google.com/spreadsheets/d/1Yj_ptqi66GCucihVvJfMjLAmec39IyEx_6qawtMGysU/edit?usp=sharing"",""สบก!BZ91"")"),0)</f>
        <v>0</v>
      </c>
      <c r="M258" s="101"/>
      <c r="N258" s="91">
        <f ca="1">IFERROR(__xludf.DUMMYFUNCTION("IMPORTRANGE(""https://docs.google.com/spreadsheets/d/1Yj_ptqi66GCucihVvJfMjLAmec39IyEx_6qawtMGysU/edit?usp=sharing"",""สบก!CD91"")"),0)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3"/>
      <c r="B259" s="184"/>
      <c r="C259" s="163" t="s">
        <v>16</v>
      </c>
      <c r="D259" s="185" t="s">
        <v>44</v>
      </c>
      <c r="E259" s="186"/>
      <c r="F259" s="186"/>
      <c r="G259" s="187"/>
      <c r="H259" s="188"/>
      <c r="I259" s="168"/>
      <c r="J259" s="168"/>
      <c r="K259" s="169"/>
      <c r="L259" s="189"/>
      <c r="M259" s="189"/>
      <c r="N259" s="189"/>
      <c r="O259" s="189"/>
      <c r="P259" s="189"/>
    </row>
    <row r="260" spans="1:16" ht="21.75" customHeight="1" x14ac:dyDescent="0.35">
      <c r="A260" s="183"/>
      <c r="B260" s="184"/>
      <c r="C260" s="184"/>
      <c r="D260" s="190">
        <v>1</v>
      </c>
      <c r="E260" s="191" t="s">
        <v>45</v>
      </c>
      <c r="F260" s="192"/>
      <c r="G260" s="193"/>
      <c r="H260" s="194"/>
      <c r="I260" s="195"/>
      <c r="J260" s="196">
        <f ca="1">IFERROR(__xludf.DUMMYFUNCTION("IMPORTRANGE(""https://docs.google.com/spreadsheets/d/1IYY_tgx_IHuhSq3AJ5eI5OnqOPBNLWSHKh2a30DoXe8/edit?usp=sharing"",""ระนอง!J175"")"),0)</f>
        <v>0</v>
      </c>
      <c r="K260" s="169"/>
      <c r="L260" s="189"/>
      <c r="M260" s="189"/>
      <c r="N260" s="189"/>
      <c r="O260" s="189"/>
      <c r="P260" s="189"/>
    </row>
    <row r="261" spans="1:16" ht="21.75" customHeight="1" x14ac:dyDescent="0.35">
      <c r="A261" s="183"/>
      <c r="B261" s="184"/>
      <c r="C261" s="184"/>
      <c r="D261" s="197">
        <v>2</v>
      </c>
      <c r="E261" s="198" t="s">
        <v>46</v>
      </c>
      <c r="F261" s="199"/>
      <c r="G261" s="200"/>
      <c r="H261" s="194"/>
      <c r="I261" s="195"/>
      <c r="J261" s="205">
        <f ca="1">IFERROR(__xludf.DUMMYFUNCTION("IMPORTRANGE(""https://docs.google.com/spreadsheets/d/1IYY_tgx_IHuhSq3AJ5eI5OnqOPBNLWSHKh2a30DoXe8/edit?usp=sharing"",""ระนอง!J176"")"),0)</f>
        <v>0</v>
      </c>
      <c r="K261" s="169"/>
      <c r="L261" s="189" t="s">
        <v>40</v>
      </c>
      <c r="M261" s="189"/>
      <c r="N261" s="189" t="s">
        <v>40</v>
      </c>
      <c r="O261" s="189"/>
      <c r="P261" s="189"/>
    </row>
    <row r="262" spans="1:16" ht="21.75" customHeight="1" x14ac:dyDescent="0.35">
      <c r="A262" s="183"/>
      <c r="B262" s="184"/>
      <c r="C262" s="184"/>
      <c r="D262" s="201"/>
      <c r="E262" s="202" t="s">
        <v>47</v>
      </c>
      <c r="F262" s="203"/>
      <c r="G262" s="204"/>
      <c r="H262" s="194"/>
      <c r="I262" s="195"/>
      <c r="J262" s="205">
        <f ca="1">IFERROR(__xludf.DUMMYFUNCTION("IMPORTRANGE(""https://docs.google.com/spreadsheets/d/1IYY_tgx_IHuhSq3AJ5eI5OnqOPBNLWSHKh2a30DoXe8/edit?usp=sharing"",""ระนอง!J177"")"),0)</f>
        <v>0</v>
      </c>
      <c r="K262" s="169"/>
      <c r="L262" s="189"/>
      <c r="M262" s="189"/>
      <c r="N262" s="189"/>
      <c r="O262" s="189"/>
      <c r="P262" s="189"/>
    </row>
    <row r="263" spans="1:16" ht="21.75" customHeight="1" x14ac:dyDescent="0.35">
      <c r="A263" s="183"/>
      <c r="B263" s="184"/>
      <c r="C263" s="184"/>
      <c r="D263" s="201"/>
      <c r="E263" s="202" t="s">
        <v>48</v>
      </c>
      <c r="F263" s="203"/>
      <c r="G263" s="204"/>
      <c r="H263" s="194"/>
      <c r="I263" s="195"/>
      <c r="J263" s="205">
        <f ca="1">IFERROR(__xludf.DUMMYFUNCTION("IMPORTRANGE(""https://docs.google.com/spreadsheets/d/1IYY_tgx_IHuhSq3AJ5eI5OnqOPBNLWSHKh2a30DoXe8/edit?usp=sharing"",""ระนอง!J178"")"),0)</f>
        <v>0</v>
      </c>
      <c r="K263" s="169"/>
      <c r="L263" s="189"/>
      <c r="M263" s="189"/>
      <c r="N263" s="189"/>
      <c r="O263" s="189"/>
      <c r="P263" s="189"/>
    </row>
    <row r="264" spans="1:16" ht="21.75" customHeight="1" x14ac:dyDescent="0.35">
      <c r="A264" s="183"/>
      <c r="B264" s="184"/>
      <c r="C264" s="184"/>
      <c r="D264" s="201"/>
      <c r="E264" s="206"/>
      <c r="F264" s="202" t="s">
        <v>105</v>
      </c>
      <c r="G264" s="204"/>
      <c r="H264" s="188" t="s">
        <v>59</v>
      </c>
      <c r="I264" s="195">
        <f ca="1">IFERROR(__xludf.DUMMYFUNCTION("IMPORTRANGE(""https://docs.google.com/spreadsheets/d/1IYY_tgx_IHuhSq3AJ5eI5OnqOPBNLWSHKh2a30DoXe8/edit?usp=sharing"",""ระนอง!I179"")"),0)</f>
        <v>0</v>
      </c>
      <c r="J264" s="196">
        <f ca="1">IFERROR(__xludf.DUMMYFUNCTION("IMPORTRANGE(""https://docs.google.com/spreadsheets/d/1IYY_tgx_IHuhSq3AJ5eI5OnqOPBNLWSHKh2a30DoXe8/edit?usp=sharing"",""ระนอง!J179"")"),0)</f>
        <v>0</v>
      </c>
      <c r="K264" s="169">
        <f t="shared" ref="K264:K267" ca="1" si="82">IF(I264&gt;0,J264*100/I264,0)</f>
        <v>0</v>
      </c>
      <c r="L264" s="189"/>
      <c r="M264" s="189"/>
      <c r="N264" s="189"/>
      <c r="O264" s="189"/>
      <c r="P264" s="189"/>
    </row>
    <row r="265" spans="1:16" ht="21.75" customHeight="1" x14ac:dyDescent="0.35">
      <c r="A265" s="183"/>
      <c r="B265" s="184"/>
      <c r="C265" s="184"/>
      <c r="D265" s="201"/>
      <c r="E265" s="206"/>
      <c r="F265" s="202" t="s">
        <v>106</v>
      </c>
      <c r="G265" s="204"/>
      <c r="H265" s="188" t="s">
        <v>37</v>
      </c>
      <c r="I265" s="195">
        <f ca="1">IFERROR(__xludf.DUMMYFUNCTION("IMPORTRANGE(""https://docs.google.com/spreadsheets/d/1IYY_tgx_IHuhSq3AJ5eI5OnqOPBNLWSHKh2a30DoXe8/edit?usp=sharing"",""ระนอง!I180"")"),0)</f>
        <v>0</v>
      </c>
      <c r="J265" s="196">
        <f ca="1">IFERROR(__xludf.DUMMYFUNCTION("IMPORTRANGE(""https://docs.google.com/spreadsheets/d/1IYY_tgx_IHuhSq3AJ5eI5OnqOPBNLWSHKh2a30DoXe8/edit?usp=sharing"",""ระนอง!J180"")"),0)</f>
        <v>0</v>
      </c>
      <c r="K265" s="169">
        <f t="shared" ca="1" si="82"/>
        <v>0</v>
      </c>
      <c r="L265" s="189"/>
      <c r="M265" s="189"/>
      <c r="N265" s="189"/>
      <c r="O265" s="189"/>
      <c r="P265" s="189"/>
    </row>
    <row r="266" spans="1:16" ht="21.75" customHeight="1" x14ac:dyDescent="0.35">
      <c r="A266" s="183"/>
      <c r="B266" s="184"/>
      <c r="C266" s="184"/>
      <c r="D266" s="201"/>
      <c r="E266" s="206"/>
      <c r="F266" s="202" t="s">
        <v>107</v>
      </c>
      <c r="G266" s="204"/>
      <c r="H266" s="188" t="s">
        <v>37</v>
      </c>
      <c r="I266" s="195">
        <f ca="1">IFERROR(__xludf.DUMMYFUNCTION("IMPORTRANGE(""https://docs.google.com/spreadsheets/d/1IYY_tgx_IHuhSq3AJ5eI5OnqOPBNLWSHKh2a30DoXe8/edit?usp=sharing"",""ระนอง!I181"")"),0)</f>
        <v>0</v>
      </c>
      <c r="J266" s="196">
        <f ca="1">IFERROR(__xludf.DUMMYFUNCTION("IMPORTRANGE(""https://docs.google.com/spreadsheets/d/1IYY_tgx_IHuhSq3AJ5eI5OnqOPBNLWSHKh2a30DoXe8/edit?usp=sharing"",""ระนอง!J181"")"),0)</f>
        <v>0</v>
      </c>
      <c r="K266" s="169">
        <f t="shared" ca="1" si="82"/>
        <v>0</v>
      </c>
      <c r="L266" s="189"/>
      <c r="M266" s="189"/>
      <c r="N266" s="189"/>
      <c r="O266" s="189"/>
      <c r="P266" s="189"/>
    </row>
    <row r="267" spans="1:16" ht="21.75" customHeight="1" x14ac:dyDescent="0.35">
      <c r="A267" s="183"/>
      <c r="B267" s="184"/>
      <c r="C267" s="184"/>
      <c r="D267" s="201"/>
      <c r="E267" s="206"/>
      <c r="F267" s="202" t="s">
        <v>108</v>
      </c>
      <c r="G267" s="204"/>
      <c r="H267" s="188" t="s">
        <v>37</v>
      </c>
      <c r="I267" s="195">
        <f ca="1">IFERROR(__xludf.DUMMYFUNCTION("IMPORTRANGE(""https://docs.google.com/spreadsheets/d/1IYY_tgx_IHuhSq3AJ5eI5OnqOPBNLWSHKh2a30DoXe8/edit?usp=sharing"",""ระนอง!I182"")"),0)</f>
        <v>0</v>
      </c>
      <c r="J267" s="196">
        <f ca="1">IFERROR(__xludf.DUMMYFUNCTION("IMPORTRANGE(""https://docs.google.com/spreadsheets/d/1IYY_tgx_IHuhSq3AJ5eI5OnqOPBNLWSHKh2a30DoXe8/edit?usp=sharing"",""ระนอง!J182"")"),0)</f>
        <v>0</v>
      </c>
      <c r="K267" s="169">
        <f t="shared" ca="1" si="82"/>
        <v>0</v>
      </c>
      <c r="L267" s="189"/>
      <c r="M267" s="189"/>
      <c r="N267" s="189"/>
      <c r="O267" s="189"/>
      <c r="P267" s="189"/>
    </row>
    <row r="268" spans="1:16" ht="21.75" customHeight="1" x14ac:dyDescent="0.35">
      <c r="A268" s="183"/>
      <c r="B268" s="184"/>
      <c r="C268" s="184"/>
      <c r="D268" s="201"/>
      <c r="E268" s="202" t="s">
        <v>54</v>
      </c>
      <c r="F268" s="203"/>
      <c r="G268" s="204"/>
      <c r="H268" s="194"/>
      <c r="I268" s="195"/>
      <c r="J268" s="205">
        <f ca="1">IFERROR(__xludf.DUMMYFUNCTION("IMPORTRANGE(""https://docs.google.com/spreadsheets/d/1IYY_tgx_IHuhSq3AJ5eI5OnqOPBNLWSHKh2a30DoXe8/edit?usp=sharing"",""ระนอง!J183"")"),0)</f>
        <v>0</v>
      </c>
      <c r="K268" s="169"/>
      <c r="L268" s="189"/>
      <c r="M268" s="189"/>
      <c r="N268" s="189"/>
      <c r="O268" s="189"/>
      <c r="P268" s="189"/>
    </row>
    <row r="269" spans="1:16" ht="21.75" customHeight="1" x14ac:dyDescent="0.35">
      <c r="A269" s="241"/>
      <c r="B269" s="242"/>
      <c r="C269" s="242"/>
      <c r="D269" s="243">
        <v>3</v>
      </c>
      <c r="E269" s="244" t="s">
        <v>55</v>
      </c>
      <c r="F269" s="245"/>
      <c r="G269" s="246"/>
      <c r="H269" s="247"/>
      <c r="I269" s="248"/>
      <c r="J269" s="293">
        <f ca="1">IFERROR(__xludf.DUMMYFUNCTION("IMPORTRANGE(""https://docs.google.com/spreadsheets/d/1IYY_tgx_IHuhSq3AJ5eI5OnqOPBNLWSHKh2a30DoXe8/edit?usp=sharing"",""ระนอง!J184"")"),0)</f>
        <v>0</v>
      </c>
      <c r="K269" s="294"/>
      <c r="L269" s="252"/>
      <c r="M269" s="252"/>
      <c r="N269" s="252"/>
      <c r="O269" s="252"/>
      <c r="P269" s="252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IFERROR(__xludf.DUMMYFUNCTION("IMPORTRANGE(""https://docs.google.com/spreadsheets/d/1IYY_tgx_IHuhSq3AJ5eI5OnqOPBNLWSHKh2a30DoXe8/edit?usp=sharing"",""ระนอง!I185"")"),0)</f>
        <v>0</v>
      </c>
      <c r="J270" s="322">
        <f ca="1">IFERROR(__xludf.DUMMYFUNCTION("IMPORTRANGE(""https://docs.google.com/spreadsheets/d/1IYY_tgx_IHuhSq3AJ5eI5OnqOPBNLWSHKh2a30DoXe8/edit?usp=sharing"",""ระนอง!J185"")"),0)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52" t="s">
        <v>17</v>
      </c>
      <c r="E271" s="543"/>
      <c r="F271" s="543"/>
      <c r="G271" s="543"/>
      <c r="H271" s="153" t="s">
        <v>12</v>
      </c>
      <c r="I271" s="168"/>
      <c r="J271" s="168"/>
      <c r="K271" s="169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8"/>
      <c r="J272" s="168"/>
      <c r="K272" s="169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8"/>
      <c r="J273" s="168"/>
      <c r="K273" s="169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5">
      <c r="A274" s="162"/>
      <c r="B274" s="163"/>
      <c r="C274" s="163" t="s">
        <v>16</v>
      </c>
      <c r="D274" s="164" t="s">
        <v>38</v>
      </c>
      <c r="E274" s="165"/>
      <c r="F274" s="165"/>
      <c r="G274" s="166" t="s">
        <v>39</v>
      </c>
      <c r="H274" s="167" t="s">
        <v>12</v>
      </c>
      <c r="I274" s="168" t="s">
        <v>40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 x14ac:dyDescent="0.35">
      <c r="A275" s="162"/>
      <c r="B275" s="163"/>
      <c r="C275" s="163"/>
      <c r="D275" s="172"/>
      <c r="E275" s="165"/>
      <c r="F275" s="165" t="s">
        <v>40</v>
      </c>
      <c r="G275" s="166" t="s">
        <v>41</v>
      </c>
      <c r="H275" s="167" t="s">
        <v>12</v>
      </c>
      <c r="I275" s="168"/>
      <c r="J275" s="168"/>
      <c r="K275" s="169"/>
      <c r="L275" s="173">
        <f ca="1">L276+L277</f>
        <v>0</v>
      </c>
      <c r="M275" s="174">
        <f ca="1">IFERROR(__xludf.DUMMYFUNCTION("IMPORTRANGE(""https://docs.google.com/spreadsheets/d/1Yj_ptqi66GCucihVvJfMjLAmec39IyEx_6qawtMGysU/edit?usp=sharing"",""สบก!CK91"")"),0)</f>
        <v>0</v>
      </c>
      <c r="N275" s="175">
        <f ca="1">IFERROR(__xludf.DUMMYFUNCTION("IMPORTRANGE(""https://docs.google.com/spreadsheets/d/1Yj_ptqi66GCucihVvJfMjLAmec39IyEx_6qawtMGysU/edit?usp=sharing"",""สบก!CL91"")"),0)</f>
        <v>0</v>
      </c>
      <c r="O275" s="176">
        <f ca="1">IF(L275&gt;0,N275*100/L275,0)</f>
        <v>0</v>
      </c>
      <c r="P275" s="176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2"/>
      <c r="E276" s="165"/>
      <c r="F276" s="165"/>
      <c r="G276" s="177" t="s">
        <v>42</v>
      </c>
      <c r="H276" s="167" t="s">
        <v>12</v>
      </c>
      <c r="I276" s="168"/>
      <c r="J276" s="168"/>
      <c r="K276" s="169"/>
      <c r="L276" s="174">
        <f ca="1">IFERROR(__xludf.DUMMYFUNCTION("IMPORTRANGE(""https://docs.google.com/spreadsheets/d/1Yj_ptqi66GCucihVvJfMjLAmec39IyEx_6qawtMGysU/edit?usp=sharing"",""สบก!CG91"")"),0)</f>
        <v>0</v>
      </c>
      <c r="M276" s="173"/>
      <c r="N276" s="173"/>
      <c r="O276" s="176"/>
      <c r="P276" s="176"/>
    </row>
    <row r="277" spans="1:16" ht="21.75" customHeight="1" x14ac:dyDescent="0.35">
      <c r="A277" s="162"/>
      <c r="B277" s="163"/>
      <c r="C277" s="163"/>
      <c r="D277" s="172"/>
      <c r="E277" s="165"/>
      <c r="F277" s="165"/>
      <c r="G277" s="177" t="s">
        <v>43</v>
      </c>
      <c r="H277" s="167" t="s">
        <v>12</v>
      </c>
      <c r="I277" s="168"/>
      <c r="J277" s="168"/>
      <c r="K277" s="169"/>
      <c r="L277" s="174">
        <f ca="1">IFERROR(__xludf.DUMMYFUNCTION("IMPORTRANGE(""https://docs.google.com/spreadsheets/d/1Yj_ptqi66GCucihVvJfMjLAmec39IyEx_6qawtMGysU/edit?usp=sharing"",""สบก!CH91"")"),0)</f>
        <v>0</v>
      </c>
      <c r="M277" s="173"/>
      <c r="N277" s="173"/>
      <c r="O277" s="176"/>
      <c r="P277" s="176"/>
    </row>
    <row r="278" spans="1:16" ht="21.75" customHeight="1" x14ac:dyDescent="0.45">
      <c r="A278" s="178"/>
      <c r="B278" s="81"/>
      <c r="C278" s="82" t="s">
        <v>16</v>
      </c>
      <c r="D278" s="549" t="s">
        <v>23</v>
      </c>
      <c r="E278" s="545"/>
      <c r="F278" s="89"/>
      <c r="G278" s="83" t="s">
        <v>18</v>
      </c>
      <c r="H278" s="179" t="s">
        <v>12</v>
      </c>
      <c r="I278" s="168"/>
      <c r="J278" s="168"/>
      <c r="K278" s="169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80"/>
      <c r="B279" s="95"/>
      <c r="C279" s="95"/>
      <c r="D279" s="181"/>
      <c r="E279" s="96"/>
      <c r="F279" s="96"/>
      <c r="G279" s="97" t="s">
        <v>19</v>
      </c>
      <c r="H279" s="182" t="s">
        <v>12</v>
      </c>
      <c r="I279" s="168"/>
      <c r="J279" s="168"/>
      <c r="K279" s="169"/>
      <c r="L279" s="91">
        <f ca="1">IFERROR(__xludf.DUMMYFUNCTION("IMPORTRANGE(""https://docs.google.com/spreadsheets/d/1Yj_ptqi66GCucihVvJfMjLAmec39IyEx_6qawtMGysU/edit?usp=sharing"",""สบก!CI91"")"),0)</f>
        <v>0</v>
      </c>
      <c r="M279" s="101"/>
      <c r="N279" s="91">
        <f ca="1">IFERROR(__xludf.DUMMYFUNCTION("IMPORTRANGE(""https://docs.google.com/spreadsheets/d/1Yj_ptqi66GCucihVvJfMjLAmec39IyEx_6qawtMGysU/edit?usp=sharing"",""สบก!CM91"")"),0)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3"/>
      <c r="B280" s="184"/>
      <c r="C280" s="163" t="s">
        <v>16</v>
      </c>
      <c r="D280" s="185" t="s">
        <v>44</v>
      </c>
      <c r="E280" s="186"/>
      <c r="F280" s="186"/>
      <c r="G280" s="187"/>
      <c r="H280" s="188"/>
      <c r="I280" s="168"/>
      <c r="J280" s="168"/>
      <c r="K280" s="169"/>
      <c r="L280" s="189"/>
      <c r="M280" s="189"/>
      <c r="N280" s="189"/>
      <c r="O280" s="189"/>
      <c r="P280" s="189"/>
    </row>
    <row r="281" spans="1:16" ht="21.75" customHeight="1" x14ac:dyDescent="0.35">
      <c r="A281" s="183"/>
      <c r="B281" s="184"/>
      <c r="C281" s="184"/>
      <c r="D281" s="190">
        <v>1</v>
      </c>
      <c r="E281" s="191" t="s">
        <v>45</v>
      </c>
      <c r="F281" s="192"/>
      <c r="G281" s="193"/>
      <c r="H281" s="194"/>
      <c r="I281" s="195"/>
      <c r="J281" s="196">
        <f ca="1">IFERROR(__xludf.DUMMYFUNCTION("IMPORTRANGE(""https://docs.google.com/spreadsheets/d/1IYY_tgx_IHuhSq3AJ5eI5OnqOPBNLWSHKh2a30DoXe8/edit?usp=sharing"",""ระนอง!J191"")"),0)</f>
        <v>0</v>
      </c>
      <c r="K281" s="169"/>
      <c r="L281" s="189"/>
      <c r="M281" s="189"/>
      <c r="N281" s="189"/>
      <c r="O281" s="189"/>
      <c r="P281" s="189"/>
    </row>
    <row r="282" spans="1:16" ht="21.75" customHeight="1" x14ac:dyDescent="0.35">
      <c r="A282" s="183"/>
      <c r="B282" s="184"/>
      <c r="C282" s="184"/>
      <c r="D282" s="197">
        <v>2</v>
      </c>
      <c r="E282" s="198" t="s">
        <v>46</v>
      </c>
      <c r="F282" s="199"/>
      <c r="G282" s="200"/>
      <c r="H282" s="194"/>
      <c r="I282" s="195"/>
      <c r="J282" s="205">
        <f ca="1">IFERROR(__xludf.DUMMYFUNCTION("IMPORTRANGE(""https://docs.google.com/spreadsheets/d/1IYY_tgx_IHuhSq3AJ5eI5OnqOPBNLWSHKh2a30DoXe8/edit?usp=sharing"",""ระนอง!J192"")"),0)</f>
        <v>0</v>
      </c>
      <c r="K282" s="169"/>
      <c r="L282" s="189"/>
      <c r="M282" s="189"/>
      <c r="N282" s="189"/>
      <c r="O282" s="189"/>
      <c r="P282" s="189"/>
    </row>
    <row r="283" spans="1:16" ht="21.75" customHeight="1" x14ac:dyDescent="0.35">
      <c r="A283" s="183"/>
      <c r="B283" s="184"/>
      <c r="C283" s="184"/>
      <c r="D283" s="201"/>
      <c r="E283" s="202" t="s">
        <v>47</v>
      </c>
      <c r="F283" s="203"/>
      <c r="G283" s="204"/>
      <c r="H283" s="194"/>
      <c r="I283" s="195"/>
      <c r="J283" s="205">
        <f ca="1">IFERROR(__xludf.DUMMYFUNCTION("IMPORTRANGE(""https://docs.google.com/spreadsheets/d/1IYY_tgx_IHuhSq3AJ5eI5OnqOPBNLWSHKh2a30DoXe8/edit?usp=sharing"",""ระนอง!J193"")"),0)</f>
        <v>0</v>
      </c>
      <c r="K283" s="169"/>
      <c r="L283" s="189"/>
      <c r="M283" s="189"/>
      <c r="N283" s="189"/>
      <c r="O283" s="189"/>
      <c r="P283" s="189"/>
    </row>
    <row r="284" spans="1:16" ht="21.75" customHeight="1" x14ac:dyDescent="0.35">
      <c r="A284" s="183"/>
      <c r="B284" s="184"/>
      <c r="C284" s="184"/>
      <c r="D284" s="201"/>
      <c r="E284" s="202" t="s">
        <v>48</v>
      </c>
      <c r="F284" s="203"/>
      <c r="G284" s="204"/>
      <c r="H284" s="194"/>
      <c r="I284" s="195"/>
      <c r="J284" s="205">
        <f ca="1">IFERROR(__xludf.DUMMYFUNCTION("IMPORTRANGE(""https://docs.google.com/spreadsheets/d/1IYY_tgx_IHuhSq3AJ5eI5OnqOPBNLWSHKh2a30DoXe8/edit?usp=sharing"",""ระนอง!J194"")"),0)</f>
        <v>0</v>
      </c>
      <c r="K284" s="169"/>
      <c r="L284" s="189"/>
      <c r="M284" s="189"/>
      <c r="N284" s="189"/>
      <c r="O284" s="189"/>
      <c r="P284" s="189"/>
    </row>
    <row r="285" spans="1:16" ht="21.75" customHeight="1" x14ac:dyDescent="0.35">
      <c r="A285" s="183"/>
      <c r="B285" s="184"/>
      <c r="C285" s="184"/>
      <c r="D285" s="201"/>
      <c r="E285" s="203"/>
      <c r="F285" s="202" t="s">
        <v>110</v>
      </c>
      <c r="G285" s="204"/>
      <c r="H285" s="194" t="s">
        <v>37</v>
      </c>
      <c r="I285" s="195">
        <f ca="1">IFERROR(__xludf.DUMMYFUNCTION("IMPORTRANGE(""https://docs.google.com/spreadsheets/d/1IYY_tgx_IHuhSq3AJ5eI5OnqOPBNLWSHKh2a30DoXe8/edit?usp=sharing"",""ระนอง!I195"")"),0)</f>
        <v>0</v>
      </c>
      <c r="J285" s="196">
        <f ca="1">IFERROR(__xludf.DUMMYFUNCTION("IMPORTRANGE(""https://docs.google.com/spreadsheets/d/1IYY_tgx_IHuhSq3AJ5eI5OnqOPBNLWSHKh2a30DoXe8/edit?usp=sharing"",""ระนอง!J195"")"),0)</f>
        <v>0</v>
      </c>
      <c r="K285" s="169">
        <f ca="1">IF(I285&gt;0,J285*100/I285,0)</f>
        <v>0</v>
      </c>
      <c r="L285" s="189"/>
      <c r="M285" s="189"/>
      <c r="N285" s="189"/>
      <c r="O285" s="189"/>
      <c r="P285" s="189"/>
    </row>
    <row r="286" spans="1:16" ht="21.75" customHeight="1" x14ac:dyDescent="0.35">
      <c r="A286" s="183"/>
      <c r="B286" s="184"/>
      <c r="C286" s="184"/>
      <c r="D286" s="201"/>
      <c r="E286" s="202" t="s">
        <v>54</v>
      </c>
      <c r="F286" s="203"/>
      <c r="G286" s="204"/>
      <c r="H286" s="194"/>
      <c r="I286" s="195"/>
      <c r="J286" s="205">
        <f ca="1">IFERROR(__xludf.DUMMYFUNCTION("IMPORTRANGE(""https://docs.google.com/spreadsheets/d/1IYY_tgx_IHuhSq3AJ5eI5OnqOPBNLWSHKh2a30DoXe8/edit?usp=sharing"",""ระนอง!J196"")"),0)</f>
        <v>0</v>
      </c>
      <c r="K286" s="169"/>
      <c r="L286" s="189"/>
      <c r="M286" s="189"/>
      <c r="N286" s="189"/>
      <c r="O286" s="189"/>
      <c r="P286" s="189"/>
    </row>
    <row r="287" spans="1:16" ht="21.75" customHeight="1" x14ac:dyDescent="0.35">
      <c r="A287" s="183"/>
      <c r="B287" s="184"/>
      <c r="C287" s="184"/>
      <c r="D287" s="213">
        <v>3</v>
      </c>
      <c r="E287" s="214" t="s">
        <v>55</v>
      </c>
      <c r="F287" s="215"/>
      <c r="G287" s="216"/>
      <c r="H287" s="194"/>
      <c r="I287" s="195"/>
      <c r="J287" s="217">
        <f ca="1">IFERROR(__xludf.DUMMYFUNCTION("IMPORTRANGE(""https://docs.google.com/spreadsheets/d/1IYY_tgx_IHuhSq3AJ5eI5OnqOPBNLWSHKh2a30DoXe8/edit?usp=sharing"",""ระนอง!J197"")"),0)</f>
        <v>0</v>
      </c>
      <c r="K287" s="169"/>
      <c r="L287" s="189"/>
      <c r="M287" s="189"/>
      <c r="N287" s="189"/>
      <c r="O287" s="189"/>
      <c r="P287" s="189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IFERROR(__xludf.DUMMYFUNCTION("IMPORTRANGE(""https://docs.google.com/spreadsheets/d/1IYY_tgx_IHuhSq3AJ5eI5OnqOPBNLWSHKh2a30DoXe8/edit?usp=sharing"",""ระนอง!I199"")"),0)</f>
        <v>0</v>
      </c>
      <c r="J289" s="322">
        <f ca="1">IFERROR(__xludf.DUMMYFUNCTION("IMPORTRANGE(""https://docs.google.com/spreadsheets/d/1IYY_tgx_IHuhSq3AJ5eI5OnqOPBNLWSHKh2a30DoXe8/edit?usp=sharing"",""ระนอง!J199"")"),0)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52" t="s">
        <v>17</v>
      </c>
      <c r="E290" s="543"/>
      <c r="F290" s="543"/>
      <c r="G290" s="543"/>
      <c r="H290" s="153" t="s">
        <v>12</v>
      </c>
      <c r="I290" s="195"/>
      <c r="J290" s="195"/>
      <c r="K290" s="231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5"/>
      <c r="J291" s="195"/>
      <c r="K291" s="231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5"/>
      <c r="J292" s="195"/>
      <c r="K292" s="231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5">
      <c r="A293" s="162"/>
      <c r="B293" s="163"/>
      <c r="C293" s="163" t="s">
        <v>16</v>
      </c>
      <c r="D293" s="164" t="s">
        <v>38</v>
      </c>
      <c r="E293" s="165"/>
      <c r="F293" s="165"/>
      <c r="G293" s="166" t="s">
        <v>39</v>
      </c>
      <c r="H293" s="167" t="s">
        <v>12</v>
      </c>
      <c r="I293" s="195" t="s">
        <v>40</v>
      </c>
      <c r="J293" s="195"/>
      <c r="K293" s="231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 x14ac:dyDescent="0.35">
      <c r="A294" s="162"/>
      <c r="B294" s="163"/>
      <c r="C294" s="163"/>
      <c r="D294" s="172"/>
      <c r="E294" s="165"/>
      <c r="F294" s="165" t="s">
        <v>40</v>
      </c>
      <c r="G294" s="166" t="s">
        <v>41</v>
      </c>
      <c r="H294" s="167" t="s">
        <v>12</v>
      </c>
      <c r="I294" s="195"/>
      <c r="J294" s="195"/>
      <c r="K294" s="231"/>
      <c r="L294" s="173">
        <f ca="1">L295+L296</f>
        <v>0</v>
      </c>
      <c r="M294" s="174">
        <f ca="1">IFERROR(__xludf.DUMMYFUNCTION("IMPORTRANGE(""https://docs.google.com/spreadsheets/d/1Yj_ptqi66GCucihVvJfMjLAmec39IyEx_6qawtMGysU/edit?usp=sharing"",""สบก!CT91"")"),0)</f>
        <v>0</v>
      </c>
      <c r="N294" s="175">
        <f ca="1">IFERROR(__xludf.DUMMYFUNCTION("IMPORTRANGE(""https://docs.google.com/spreadsheets/d/1Yj_ptqi66GCucihVvJfMjLAmec39IyEx_6qawtMGysU/edit?usp=sharing"",""สบก!CU91"")"),0)</f>
        <v>0</v>
      </c>
      <c r="O294" s="176">
        <f ca="1">IF(L294&gt;0,N294*100/L294,0)</f>
        <v>0</v>
      </c>
      <c r="P294" s="176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2"/>
      <c r="E295" s="165"/>
      <c r="F295" s="165"/>
      <c r="G295" s="177" t="s">
        <v>42</v>
      </c>
      <c r="H295" s="167" t="s">
        <v>12</v>
      </c>
      <c r="I295" s="195"/>
      <c r="J295" s="195"/>
      <c r="K295" s="231"/>
      <c r="L295" s="174">
        <f ca="1">IFERROR(__xludf.DUMMYFUNCTION("IMPORTRANGE(""https://docs.google.com/spreadsheets/d/1Yj_ptqi66GCucihVvJfMjLAmec39IyEx_6qawtMGysU/edit?usp=sharing"",""สบก!CP91"")"),0)</f>
        <v>0</v>
      </c>
      <c r="M295" s="173"/>
      <c r="N295" s="173"/>
      <c r="O295" s="176"/>
      <c r="P295" s="176"/>
    </row>
    <row r="296" spans="1:16" ht="21.75" customHeight="1" x14ac:dyDescent="0.35">
      <c r="A296" s="162"/>
      <c r="B296" s="163"/>
      <c r="C296" s="163"/>
      <c r="D296" s="172"/>
      <c r="E296" s="165"/>
      <c r="F296" s="165"/>
      <c r="G296" s="177" t="s">
        <v>43</v>
      </c>
      <c r="H296" s="167" t="s">
        <v>12</v>
      </c>
      <c r="I296" s="195"/>
      <c r="J296" s="195"/>
      <c r="K296" s="231"/>
      <c r="L296" s="174">
        <f ca="1">IFERROR(__xludf.DUMMYFUNCTION("IMPORTRANGE(""https://docs.google.com/spreadsheets/d/1Yj_ptqi66GCucihVvJfMjLAmec39IyEx_6qawtMGysU/edit?usp=sharing"",""สบก!CQ91"")"),0)</f>
        <v>0</v>
      </c>
      <c r="M296" s="173"/>
      <c r="N296" s="173"/>
      <c r="O296" s="176"/>
      <c r="P296" s="176"/>
    </row>
    <row r="297" spans="1:16" ht="21.75" customHeight="1" x14ac:dyDescent="0.45">
      <c r="A297" s="178"/>
      <c r="B297" s="81"/>
      <c r="C297" s="82" t="s">
        <v>16</v>
      </c>
      <c r="D297" s="549" t="s">
        <v>23</v>
      </c>
      <c r="E297" s="545"/>
      <c r="F297" s="89"/>
      <c r="G297" s="83" t="s">
        <v>18</v>
      </c>
      <c r="H297" s="179" t="s">
        <v>12</v>
      </c>
      <c r="I297" s="195"/>
      <c r="J297" s="195"/>
      <c r="K297" s="231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80"/>
      <c r="B298" s="95"/>
      <c r="C298" s="95"/>
      <c r="D298" s="181"/>
      <c r="E298" s="96"/>
      <c r="F298" s="96"/>
      <c r="G298" s="97" t="s">
        <v>19</v>
      </c>
      <c r="H298" s="182" t="s">
        <v>12</v>
      </c>
      <c r="I298" s="195"/>
      <c r="J298" s="195"/>
      <c r="K298" s="231"/>
      <c r="L298" s="91">
        <f ca="1">IFERROR(__xludf.DUMMYFUNCTION("IMPORTRANGE(""https://docs.google.com/spreadsheets/d/1Yj_ptqi66GCucihVvJfMjLAmec39IyEx_6qawtMGysU/edit?usp=sharing"",""สบก!CR91"")"),0)</f>
        <v>0</v>
      </c>
      <c r="M298" s="101"/>
      <c r="N298" s="91">
        <f ca="1">IFERROR(__xludf.DUMMYFUNCTION("IMPORTRANGE(""https://docs.google.com/spreadsheets/d/1Yj_ptqi66GCucihVvJfMjLAmec39IyEx_6qawtMGysU/edit?usp=sharing"",""สบก!CV91"")"),0)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3"/>
      <c r="B299" s="184"/>
      <c r="C299" s="163" t="s">
        <v>16</v>
      </c>
      <c r="D299" s="185" t="s">
        <v>44</v>
      </c>
      <c r="E299" s="186"/>
      <c r="F299" s="186"/>
      <c r="G299" s="187"/>
      <c r="H299" s="188"/>
      <c r="I299" s="195"/>
      <c r="J299" s="195"/>
      <c r="K299" s="231"/>
      <c r="L299" s="176"/>
      <c r="M299" s="176"/>
      <c r="N299" s="176"/>
      <c r="O299" s="189"/>
      <c r="P299" s="189"/>
    </row>
    <row r="300" spans="1:16" ht="21.75" customHeight="1" x14ac:dyDescent="0.35">
      <c r="A300" s="183"/>
      <c r="B300" s="184"/>
      <c r="C300" s="184"/>
      <c r="D300" s="190">
        <v>1</v>
      </c>
      <c r="E300" s="191" t="s">
        <v>45</v>
      </c>
      <c r="F300" s="192"/>
      <c r="G300" s="193"/>
      <c r="H300" s="194"/>
      <c r="I300" s="195"/>
      <c r="J300" s="195">
        <f ca="1">IFERROR(__xludf.DUMMYFUNCTION("IMPORTRANGE(""https://docs.google.com/spreadsheets/d/1IYY_tgx_IHuhSq3AJ5eI5OnqOPBNLWSHKh2a30DoXe8/edit?usp=sharing"",""ระนอง!J205"")"),0)</f>
        <v>0</v>
      </c>
      <c r="K300" s="231"/>
      <c r="L300" s="176"/>
      <c r="M300" s="176"/>
      <c r="N300" s="176"/>
      <c r="O300" s="189"/>
      <c r="P300" s="189"/>
    </row>
    <row r="301" spans="1:16" ht="21.75" customHeight="1" x14ac:dyDescent="0.35">
      <c r="A301" s="183"/>
      <c r="B301" s="184"/>
      <c r="C301" s="184"/>
      <c r="D301" s="197">
        <v>2</v>
      </c>
      <c r="E301" s="198" t="s">
        <v>46</v>
      </c>
      <c r="F301" s="199"/>
      <c r="G301" s="200"/>
      <c r="H301" s="194"/>
      <c r="I301" s="195"/>
      <c r="J301" s="195">
        <f ca="1">IFERROR(__xludf.DUMMYFUNCTION("IMPORTRANGE(""https://docs.google.com/spreadsheets/d/1IYY_tgx_IHuhSq3AJ5eI5OnqOPBNLWSHKh2a30DoXe8/edit?usp=sharing"",""ระนอง!J206"")"),0)</f>
        <v>0</v>
      </c>
      <c r="K301" s="231"/>
      <c r="L301" s="176" t="s">
        <v>40</v>
      </c>
      <c r="M301" s="176"/>
      <c r="N301" s="176" t="s">
        <v>40</v>
      </c>
      <c r="O301" s="189"/>
      <c r="P301" s="189"/>
    </row>
    <row r="302" spans="1:16" ht="21.75" customHeight="1" x14ac:dyDescent="0.35">
      <c r="A302" s="183"/>
      <c r="B302" s="184"/>
      <c r="C302" s="184"/>
      <c r="D302" s="201"/>
      <c r="E302" s="202" t="s">
        <v>47</v>
      </c>
      <c r="F302" s="203"/>
      <c r="G302" s="204"/>
      <c r="H302" s="194"/>
      <c r="I302" s="195"/>
      <c r="J302" s="195">
        <f ca="1">IFERROR(__xludf.DUMMYFUNCTION("IMPORTRANGE(""https://docs.google.com/spreadsheets/d/1IYY_tgx_IHuhSq3AJ5eI5OnqOPBNLWSHKh2a30DoXe8/edit?usp=sharing"",""ระนอง!J207"")"),0)</f>
        <v>0</v>
      </c>
      <c r="K302" s="231"/>
      <c r="L302" s="176"/>
      <c r="M302" s="176"/>
      <c r="N302" s="176"/>
      <c r="O302" s="189"/>
      <c r="P302" s="189"/>
    </row>
    <row r="303" spans="1:16" ht="21.75" customHeight="1" x14ac:dyDescent="0.35">
      <c r="A303" s="183"/>
      <c r="B303" s="184"/>
      <c r="C303" s="184"/>
      <c r="D303" s="201"/>
      <c r="E303" s="202" t="s">
        <v>48</v>
      </c>
      <c r="F303" s="203"/>
      <c r="G303" s="204"/>
      <c r="H303" s="194"/>
      <c r="I303" s="195"/>
      <c r="J303" s="195">
        <f ca="1">IFERROR(__xludf.DUMMYFUNCTION("IMPORTRANGE(""https://docs.google.com/spreadsheets/d/1IYY_tgx_IHuhSq3AJ5eI5OnqOPBNLWSHKh2a30DoXe8/edit?usp=sharing"",""ระนอง!J208"")"),0)</f>
        <v>0</v>
      </c>
      <c r="K303" s="231"/>
      <c r="L303" s="176"/>
      <c r="M303" s="176"/>
      <c r="N303" s="176"/>
      <c r="O303" s="189"/>
      <c r="P303" s="189"/>
    </row>
    <row r="304" spans="1:16" ht="21.75" customHeight="1" x14ac:dyDescent="0.35">
      <c r="A304" s="183"/>
      <c r="B304" s="184"/>
      <c r="C304" s="184"/>
      <c r="D304" s="201"/>
      <c r="E304" s="206"/>
      <c r="F304" s="202" t="s">
        <v>113</v>
      </c>
      <c r="G304" s="204"/>
      <c r="H304" s="188" t="s">
        <v>37</v>
      </c>
      <c r="I304" s="195">
        <f ca="1">IFERROR(__xludf.DUMMYFUNCTION("IMPORTRANGE(""https://docs.google.com/spreadsheets/d/1IYY_tgx_IHuhSq3AJ5eI5OnqOPBNLWSHKh2a30DoXe8/edit?usp=sharing"",""ระนอง!I209"")"),0)</f>
        <v>0</v>
      </c>
      <c r="J304" s="211">
        <f ca="1">IFERROR(__xludf.DUMMYFUNCTION("IMPORTRANGE(""https://docs.google.com/spreadsheets/d/1IYY_tgx_IHuhSq3AJ5eI5OnqOPBNLWSHKh2a30DoXe8/edit?usp=sharing"",""ระนอง!J209"")"),0)</f>
        <v>0</v>
      </c>
      <c r="K304" s="231">
        <f ca="1">IF(I304&gt;0,J304*100/I304,0)</f>
        <v>0</v>
      </c>
      <c r="L304" s="176"/>
      <c r="M304" s="176"/>
      <c r="N304" s="176"/>
      <c r="O304" s="189"/>
      <c r="P304" s="189"/>
    </row>
    <row r="305" spans="1:16" ht="21.75" customHeight="1" x14ac:dyDescent="0.35">
      <c r="A305" s="183"/>
      <c r="B305" s="184"/>
      <c r="C305" s="184"/>
      <c r="D305" s="201"/>
      <c r="E305" s="206"/>
      <c r="F305" s="202" t="s">
        <v>114</v>
      </c>
      <c r="G305" s="204"/>
      <c r="H305" s="188"/>
      <c r="I305" s="195"/>
      <c r="J305" s="195"/>
      <c r="K305" s="231"/>
      <c r="L305" s="176"/>
      <c r="M305" s="176"/>
      <c r="N305" s="176"/>
      <c r="O305" s="189"/>
      <c r="P305" s="189"/>
    </row>
    <row r="306" spans="1:16" ht="21.75" customHeight="1" x14ac:dyDescent="0.35">
      <c r="A306" s="183"/>
      <c r="B306" s="184"/>
      <c r="C306" s="184"/>
      <c r="D306" s="201"/>
      <c r="E306" s="206"/>
      <c r="F306" s="203" t="s">
        <v>53</v>
      </c>
      <c r="G306" s="204"/>
      <c r="H306" s="188" t="s">
        <v>37</v>
      </c>
      <c r="I306" s="195">
        <f ca="1">IFERROR(__xludf.DUMMYFUNCTION("IMPORTRANGE(""https://docs.google.com/spreadsheets/d/1IYY_tgx_IHuhSq3AJ5eI5OnqOPBNLWSHKh2a30DoXe8/edit?usp=sharing"",""ระนอง!I211"")"),0)</f>
        <v>0</v>
      </c>
      <c r="J306" s="211">
        <f ca="1">IFERROR(__xludf.DUMMYFUNCTION("IMPORTRANGE(""https://docs.google.com/spreadsheets/d/1IYY_tgx_IHuhSq3AJ5eI5OnqOPBNLWSHKh2a30DoXe8/edit?usp=sharing"",""ระนอง!J211"")"),0)</f>
        <v>0</v>
      </c>
      <c r="K306" s="231">
        <f ca="1">IF(I306&gt;0,J306*100/I306,0)</f>
        <v>0</v>
      </c>
      <c r="L306" s="176"/>
      <c r="M306" s="176"/>
      <c r="N306" s="176"/>
      <c r="O306" s="189"/>
      <c r="P306" s="189"/>
    </row>
    <row r="307" spans="1:16" ht="21.75" customHeight="1" x14ac:dyDescent="0.35">
      <c r="A307" s="183"/>
      <c r="B307" s="184"/>
      <c r="C307" s="184"/>
      <c r="D307" s="201"/>
      <c r="E307" s="202" t="s">
        <v>54</v>
      </c>
      <c r="F307" s="203"/>
      <c r="G307" s="204"/>
      <c r="H307" s="194"/>
      <c r="I307" s="195"/>
      <c r="J307" s="195">
        <f ca="1">IFERROR(__xludf.DUMMYFUNCTION("IMPORTRANGE(""https://docs.google.com/spreadsheets/d/1IYY_tgx_IHuhSq3AJ5eI5OnqOPBNLWSHKh2a30DoXe8/edit?usp=sharing"",""ระนอง!J212"")"),0)</f>
        <v>0</v>
      </c>
      <c r="K307" s="231"/>
      <c r="L307" s="176"/>
      <c r="M307" s="176"/>
      <c r="N307" s="176"/>
      <c r="O307" s="189"/>
      <c r="P307" s="189"/>
    </row>
    <row r="308" spans="1:16" ht="21.75" customHeight="1" x14ac:dyDescent="0.35">
      <c r="A308" s="183"/>
      <c r="B308" s="184"/>
      <c r="C308" s="184"/>
      <c r="D308" s="213">
        <v>3</v>
      </c>
      <c r="E308" s="214" t="s">
        <v>55</v>
      </c>
      <c r="F308" s="215"/>
      <c r="G308" s="216"/>
      <c r="H308" s="194"/>
      <c r="I308" s="195"/>
      <c r="J308" s="332">
        <f ca="1">IFERROR(__xludf.DUMMYFUNCTION("IMPORTRANGE(""https://docs.google.com/spreadsheets/d/1IYY_tgx_IHuhSq3AJ5eI5OnqOPBNLWSHKh2a30DoXe8/edit?usp=sharing"",""ระนอง!J213"")"),0)</f>
        <v>0</v>
      </c>
      <c r="K308" s="231"/>
      <c r="L308" s="176"/>
      <c r="M308" s="176"/>
      <c r="N308" s="176"/>
      <c r="O308" s="189"/>
      <c r="P308" s="189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IFERROR(__xludf.DUMMYFUNCTION("IMPORTRANGE(""https://docs.google.com/spreadsheets/d/1IYY_tgx_IHuhSq3AJ5eI5OnqOPBNLWSHKh2a30DoXe8/edit?usp=sharing"",""ระนอง!I214"")"),0)</f>
        <v>0</v>
      </c>
      <c r="J309" s="339">
        <f ca="1">IFERROR(__xludf.DUMMYFUNCTION("IMPORTRANGE(""https://docs.google.com/spreadsheets/d/1IYY_tgx_IHuhSq3AJ5eI5OnqOPBNLWSHKh2a30DoXe8/edit?usp=sharing"",""ระนอง!J214"")"),0)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52" t="s">
        <v>17</v>
      </c>
      <c r="E310" s="543"/>
      <c r="F310" s="543"/>
      <c r="G310" s="54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5">
      <c r="A313" s="162"/>
      <c r="B313" s="163"/>
      <c r="C313" s="163" t="s">
        <v>16</v>
      </c>
      <c r="D313" s="164" t="s">
        <v>38</v>
      </c>
      <c r="E313" s="165"/>
      <c r="F313" s="165"/>
      <c r="G313" s="166" t="s">
        <v>39</v>
      </c>
      <c r="H313" s="167" t="s">
        <v>12</v>
      </c>
      <c r="I313" s="168" t="s">
        <v>40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 x14ac:dyDescent="0.35">
      <c r="A314" s="162"/>
      <c r="B314" s="163"/>
      <c r="C314" s="163"/>
      <c r="D314" s="172"/>
      <c r="E314" s="165"/>
      <c r="F314" s="165" t="s">
        <v>40</v>
      </c>
      <c r="G314" s="166" t="s">
        <v>41</v>
      </c>
      <c r="H314" s="167" t="s">
        <v>12</v>
      </c>
      <c r="I314" s="168"/>
      <c r="J314" s="168"/>
      <c r="K314" s="169"/>
      <c r="L314" s="173">
        <f ca="1">L315+L316</f>
        <v>0</v>
      </c>
      <c r="M314" s="174">
        <f ca="1">IFERROR(__xludf.DUMMYFUNCTION("IMPORTRANGE(""https://docs.google.com/spreadsheets/d/1Yj_ptqi66GCucihVvJfMjLAmec39IyEx_6qawtMGysU/edit?usp=sharing"",""สบก!DC91"")"),0)</f>
        <v>0</v>
      </c>
      <c r="N314" s="175">
        <f ca="1">IFERROR(__xludf.DUMMYFUNCTION("IMPORTRANGE(""https://docs.google.com/spreadsheets/d/1Yj_ptqi66GCucihVvJfMjLAmec39IyEx_6qawtMGysU/edit?usp=sharing"",""สบก!DD91"")"),0)</f>
        <v>0</v>
      </c>
      <c r="O314" s="176">
        <f ca="1">IF(L314&gt;0,N314*100/L314,0)</f>
        <v>0</v>
      </c>
      <c r="P314" s="176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2"/>
      <c r="E315" s="165"/>
      <c r="F315" s="165"/>
      <c r="G315" s="177" t="s">
        <v>42</v>
      </c>
      <c r="H315" s="167" t="s">
        <v>12</v>
      </c>
      <c r="I315" s="168"/>
      <c r="J315" s="168"/>
      <c r="K315" s="169"/>
      <c r="L315" s="174">
        <f ca="1">IFERROR(__xludf.DUMMYFUNCTION("IMPORTRANGE(""https://docs.google.com/spreadsheets/d/1Yj_ptqi66GCucihVvJfMjLAmec39IyEx_6qawtMGysU/edit?usp=sharing"",""สบก!CY91"")"),0)</f>
        <v>0</v>
      </c>
      <c r="M315" s="173"/>
      <c r="N315" s="173"/>
      <c r="O315" s="176"/>
      <c r="P315" s="176"/>
    </row>
    <row r="316" spans="1:16" ht="21.75" customHeight="1" x14ac:dyDescent="0.35">
      <c r="A316" s="162"/>
      <c r="B316" s="163"/>
      <c r="C316" s="163"/>
      <c r="D316" s="172"/>
      <c r="E316" s="165"/>
      <c r="F316" s="165"/>
      <c r="G316" s="177" t="s">
        <v>43</v>
      </c>
      <c r="H316" s="167" t="s">
        <v>12</v>
      </c>
      <c r="I316" s="168"/>
      <c r="J316" s="195"/>
      <c r="K316" s="231"/>
      <c r="L316" s="174">
        <f ca="1">IFERROR(__xludf.DUMMYFUNCTION("IMPORTRANGE(""https://docs.google.com/spreadsheets/d/1Yj_ptqi66GCucihVvJfMjLAmec39IyEx_6qawtMGysU/edit?usp=sharing"",""สบก!CZ91"")"),0)</f>
        <v>0</v>
      </c>
      <c r="M316" s="173"/>
      <c r="N316" s="173"/>
      <c r="O316" s="176"/>
      <c r="P316" s="176"/>
    </row>
    <row r="317" spans="1:16" ht="21.75" customHeight="1" x14ac:dyDescent="0.45">
      <c r="A317" s="178"/>
      <c r="B317" s="81"/>
      <c r="C317" s="82" t="s">
        <v>16</v>
      </c>
      <c r="D317" s="549" t="s">
        <v>23</v>
      </c>
      <c r="E317" s="545"/>
      <c r="F317" s="89"/>
      <c r="G317" s="83" t="s">
        <v>18</v>
      </c>
      <c r="H317" s="179" t="s">
        <v>12</v>
      </c>
      <c r="I317" s="168"/>
      <c r="J317" s="195"/>
      <c r="K317" s="231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80"/>
      <c r="B318" s="95"/>
      <c r="C318" s="95"/>
      <c r="D318" s="181"/>
      <c r="E318" s="96"/>
      <c r="F318" s="96"/>
      <c r="G318" s="97" t="s">
        <v>19</v>
      </c>
      <c r="H318" s="182" t="s">
        <v>12</v>
      </c>
      <c r="I318" s="168"/>
      <c r="J318" s="195"/>
      <c r="K318" s="231"/>
      <c r="L318" s="91">
        <f ca="1">IFERROR(__xludf.DUMMYFUNCTION("IMPORTRANGE(""https://docs.google.com/spreadsheets/d/1Yj_ptqi66GCucihVvJfMjLAmec39IyEx_6qawtMGysU/edit?usp=sharing"",""สบก!DA91"")"),0)</f>
        <v>0</v>
      </c>
      <c r="M318" s="101"/>
      <c r="N318" s="91">
        <f ca="1">IFERROR(__xludf.DUMMYFUNCTION("IMPORTRANGE(""https://docs.google.com/spreadsheets/d/1Yj_ptqi66GCucihVvJfMjLAmec39IyEx_6qawtMGysU/edit?usp=sharing"",""สบก!DE91"")"),0)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3"/>
      <c r="B319" s="184"/>
      <c r="C319" s="163" t="s">
        <v>16</v>
      </c>
      <c r="D319" s="185" t="s">
        <v>44</v>
      </c>
      <c r="E319" s="186"/>
      <c r="F319" s="186"/>
      <c r="G319" s="187"/>
      <c r="H319" s="188"/>
      <c r="I319" s="168"/>
      <c r="J319" s="195"/>
      <c r="K319" s="231"/>
      <c r="L319" s="176"/>
      <c r="M319" s="176"/>
      <c r="N319" s="176"/>
      <c r="O319" s="189"/>
      <c r="P319" s="189"/>
    </row>
    <row r="320" spans="1:16" ht="21.75" customHeight="1" x14ac:dyDescent="0.35">
      <c r="A320" s="183"/>
      <c r="B320" s="184"/>
      <c r="C320" s="184"/>
      <c r="D320" s="190">
        <v>1</v>
      </c>
      <c r="E320" s="191" t="s">
        <v>45</v>
      </c>
      <c r="F320" s="192"/>
      <c r="G320" s="193"/>
      <c r="H320" s="194"/>
      <c r="I320" s="195"/>
      <c r="J320" s="195">
        <f ca="1">IFERROR(__xludf.DUMMYFUNCTION("IMPORTRANGE(""https://docs.google.com/spreadsheets/d/1IYY_tgx_IHuhSq3AJ5eI5OnqOPBNLWSHKh2a30DoXe8/edit?usp=sharing"",""ระนอง!J220"")"),0)</f>
        <v>0</v>
      </c>
      <c r="K320" s="231"/>
      <c r="L320" s="176"/>
      <c r="M320" s="176"/>
      <c r="N320" s="176"/>
      <c r="O320" s="189"/>
      <c r="P320" s="189"/>
    </row>
    <row r="321" spans="1:16" ht="21.75" customHeight="1" x14ac:dyDescent="0.35">
      <c r="A321" s="183"/>
      <c r="B321" s="184"/>
      <c r="C321" s="184"/>
      <c r="D321" s="197">
        <v>2</v>
      </c>
      <c r="E321" s="198" t="s">
        <v>46</v>
      </c>
      <c r="F321" s="199"/>
      <c r="G321" s="200"/>
      <c r="H321" s="194"/>
      <c r="I321" s="195"/>
      <c r="J321" s="195">
        <f ca="1">IFERROR(__xludf.DUMMYFUNCTION("IMPORTRANGE(""https://docs.google.com/spreadsheets/d/1IYY_tgx_IHuhSq3AJ5eI5OnqOPBNLWSHKh2a30DoXe8/edit?usp=sharing"",""ระนอง!J221"")"),0)</f>
        <v>0</v>
      </c>
      <c r="K321" s="231"/>
      <c r="L321" s="176" t="s">
        <v>40</v>
      </c>
      <c r="M321" s="176"/>
      <c r="N321" s="176" t="s">
        <v>40</v>
      </c>
      <c r="O321" s="189"/>
      <c r="P321" s="189"/>
    </row>
    <row r="322" spans="1:16" ht="21.75" customHeight="1" x14ac:dyDescent="0.35">
      <c r="A322" s="183"/>
      <c r="B322" s="184"/>
      <c r="C322" s="184"/>
      <c r="D322" s="201"/>
      <c r="E322" s="202" t="s">
        <v>47</v>
      </c>
      <c r="F322" s="203"/>
      <c r="G322" s="204"/>
      <c r="H322" s="194"/>
      <c r="I322" s="195"/>
      <c r="J322" s="195">
        <f ca="1">IFERROR(__xludf.DUMMYFUNCTION("IMPORTRANGE(""https://docs.google.com/spreadsheets/d/1IYY_tgx_IHuhSq3AJ5eI5OnqOPBNLWSHKh2a30DoXe8/edit?usp=sharing"",""ระนอง!J222"")"),0)</f>
        <v>0</v>
      </c>
      <c r="K322" s="231"/>
      <c r="L322" s="176"/>
      <c r="M322" s="176"/>
      <c r="N322" s="176"/>
      <c r="O322" s="189"/>
      <c r="P322" s="189"/>
    </row>
    <row r="323" spans="1:16" ht="21.75" customHeight="1" x14ac:dyDescent="0.35">
      <c r="A323" s="183"/>
      <c r="B323" s="184"/>
      <c r="C323" s="184"/>
      <c r="D323" s="201"/>
      <c r="E323" s="202" t="s">
        <v>48</v>
      </c>
      <c r="F323" s="203"/>
      <c r="G323" s="204"/>
      <c r="H323" s="194"/>
      <c r="I323" s="195"/>
      <c r="J323" s="195">
        <f ca="1">IFERROR(__xludf.DUMMYFUNCTION("IMPORTRANGE(""https://docs.google.com/spreadsheets/d/1IYY_tgx_IHuhSq3AJ5eI5OnqOPBNLWSHKh2a30DoXe8/edit?usp=sharing"",""ระนอง!J223"")"),0)</f>
        <v>0</v>
      </c>
      <c r="K323" s="231"/>
      <c r="L323" s="176"/>
      <c r="M323" s="176"/>
      <c r="N323" s="176"/>
      <c r="O323" s="189"/>
      <c r="P323" s="189"/>
    </row>
    <row r="324" spans="1:16" ht="21.75" customHeight="1" x14ac:dyDescent="0.35">
      <c r="A324" s="183"/>
      <c r="B324" s="184"/>
      <c r="C324" s="184"/>
      <c r="D324" s="201"/>
      <c r="E324" s="206"/>
      <c r="F324" s="202" t="s">
        <v>117</v>
      </c>
      <c r="G324" s="204"/>
      <c r="H324" s="194" t="s">
        <v>116</v>
      </c>
      <c r="I324" s="195">
        <f ca="1">IFERROR(__xludf.DUMMYFUNCTION("IMPORTRANGE(""https://docs.google.com/spreadsheets/d/1IYY_tgx_IHuhSq3AJ5eI5OnqOPBNLWSHKh2a30DoXe8/edit?usp=sharing"",""ระนอง!I224"")"),0)</f>
        <v>0</v>
      </c>
      <c r="J324" s="211">
        <f ca="1">IFERROR(__xludf.DUMMYFUNCTION("IMPORTRANGE(""https://docs.google.com/spreadsheets/d/1IYY_tgx_IHuhSq3AJ5eI5OnqOPBNLWSHKh2a30DoXe8/edit?usp=sharing"",""ระนอง!J224"")"),0)</f>
        <v>0</v>
      </c>
      <c r="K324" s="231">
        <f ca="1">IF(I324&gt;0,J324*100/I324,0)</f>
        <v>0</v>
      </c>
      <c r="L324" s="176"/>
      <c r="M324" s="176"/>
      <c r="N324" s="176"/>
      <c r="O324" s="189"/>
      <c r="P324" s="189"/>
    </row>
    <row r="325" spans="1:16" ht="21.75" customHeight="1" x14ac:dyDescent="0.35">
      <c r="A325" s="183"/>
      <c r="B325" s="184"/>
      <c r="C325" s="184"/>
      <c r="D325" s="201"/>
      <c r="E325" s="202" t="s">
        <v>54</v>
      </c>
      <c r="F325" s="203"/>
      <c r="G325" s="204"/>
      <c r="H325" s="194"/>
      <c r="I325" s="195"/>
      <c r="J325" s="195">
        <f ca="1">IFERROR(__xludf.DUMMYFUNCTION("IMPORTRANGE(""https://docs.google.com/spreadsheets/d/1IYY_tgx_IHuhSq3AJ5eI5OnqOPBNLWSHKh2a30DoXe8/edit?usp=sharing"",""ระนอง!J225"")"),0)</f>
        <v>0</v>
      </c>
      <c r="K325" s="231"/>
      <c r="L325" s="176"/>
      <c r="M325" s="176"/>
      <c r="N325" s="176"/>
      <c r="O325" s="189"/>
      <c r="P325" s="189"/>
    </row>
    <row r="326" spans="1:16" ht="21.75" customHeight="1" x14ac:dyDescent="0.35">
      <c r="A326" s="183"/>
      <c r="B326" s="184"/>
      <c r="C326" s="184"/>
      <c r="D326" s="213">
        <v>3</v>
      </c>
      <c r="E326" s="214" t="s">
        <v>55</v>
      </c>
      <c r="F326" s="215"/>
      <c r="G326" s="216"/>
      <c r="H326" s="194"/>
      <c r="I326" s="195"/>
      <c r="J326" s="234">
        <f ca="1">IFERROR(__xludf.DUMMYFUNCTION("IMPORTRANGE(""https://docs.google.com/spreadsheets/d/1IYY_tgx_IHuhSq3AJ5eI5OnqOPBNLWSHKh2a30DoXe8/edit?usp=sharing"",""ระนอง!J226"")"),0)</f>
        <v>0</v>
      </c>
      <c r="K326" s="231"/>
      <c r="L326" s="176"/>
      <c r="M326" s="176"/>
      <c r="N326" s="176"/>
      <c r="O326" s="189"/>
      <c r="P326" s="189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IFERROR(__xludf.DUMMYFUNCTION("IMPORTRANGE(""https://docs.google.com/spreadsheets/d/1IYY_tgx_IHuhSq3AJ5eI5OnqOPBNLWSHKh2a30DoXe8/edit?usp=sharing"",""ระนอง!I228"")"),75)</f>
        <v>75</v>
      </c>
      <c r="J328" s="345">
        <f ca="1">IFERROR(__xludf.DUMMYFUNCTION("IMPORTRANGE(""https://docs.google.com/spreadsheets/d/1IYY_tgx_IHuhSq3AJ5eI5OnqOPBNLWSHKh2a30DoXe8/edit?usp=sharing"",""ระนอง!J228"")"),13)</f>
        <v>13</v>
      </c>
      <c r="K328" s="323">
        <f ca="1">IF(I328&gt;0,J328*100/I328,0)</f>
        <v>17.333333333333332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52" t="s">
        <v>17</v>
      </c>
      <c r="E329" s="543"/>
      <c r="F329" s="543"/>
      <c r="G329" s="543"/>
      <c r="H329" s="153" t="s">
        <v>12</v>
      </c>
      <c r="I329" s="168"/>
      <c r="J329" s="168"/>
      <c r="K329" s="169"/>
      <c r="L329" s="156">
        <f t="shared" ref="L329:N329" ca="1" si="98">L330+L331</f>
        <v>1029350</v>
      </c>
      <c r="M329" s="156">
        <f t="shared" ca="1" si="98"/>
        <v>523740</v>
      </c>
      <c r="N329" s="156">
        <f t="shared" ca="1" si="98"/>
        <v>445053</v>
      </c>
      <c r="O329" s="155">
        <f t="shared" ref="O329:O331" ca="1" si="99">IF(L329&gt;0,N329*100/L329,0)</f>
        <v>43.236314178850733</v>
      </c>
      <c r="P329" s="155">
        <f t="shared" ref="P329:P331" ca="1" si="100">IF(M329&gt;0,N329*100/M329,0)</f>
        <v>84.97594226142742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8"/>
      <c r="J330" s="168"/>
      <c r="K330" s="169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8"/>
      <c r="J331" s="168"/>
      <c r="K331" s="169"/>
      <c r="L331" s="161">
        <f t="shared" ref="L331:N331" ca="1" si="102">L333+L337</f>
        <v>1029350</v>
      </c>
      <c r="M331" s="161">
        <f t="shared" ca="1" si="102"/>
        <v>523740</v>
      </c>
      <c r="N331" s="161">
        <f t="shared" ca="1" si="102"/>
        <v>445053</v>
      </c>
      <c r="O331" s="160">
        <f t="shared" ca="1" si="99"/>
        <v>43.236314178850733</v>
      </c>
      <c r="P331" s="160">
        <f t="shared" ca="1" si="100"/>
        <v>84.97594226142742</v>
      </c>
    </row>
    <row r="332" spans="1:16" ht="21.75" customHeight="1" x14ac:dyDescent="0.35">
      <c r="A332" s="162"/>
      <c r="B332" s="163"/>
      <c r="C332" s="163" t="s">
        <v>16</v>
      </c>
      <c r="D332" s="164" t="s">
        <v>38</v>
      </c>
      <c r="E332" s="165"/>
      <c r="F332" s="165"/>
      <c r="G332" s="166" t="s">
        <v>39</v>
      </c>
      <c r="H332" s="167" t="s">
        <v>12</v>
      </c>
      <c r="I332" s="168" t="s">
        <v>40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 x14ac:dyDescent="0.35">
      <c r="A333" s="162"/>
      <c r="B333" s="163"/>
      <c r="C333" s="163"/>
      <c r="D333" s="172"/>
      <c r="E333" s="165"/>
      <c r="F333" s="165" t="s">
        <v>40</v>
      </c>
      <c r="G333" s="166" t="s">
        <v>41</v>
      </c>
      <c r="H333" s="167" t="s">
        <v>12</v>
      </c>
      <c r="I333" s="168"/>
      <c r="J333" s="168"/>
      <c r="K333" s="169"/>
      <c r="L333" s="173">
        <f ca="1">L334+L335</f>
        <v>1029350</v>
      </c>
      <c r="M333" s="174">
        <f ca="1">IFERROR(__xludf.DUMMYFUNCTION("IMPORTRANGE(""https://docs.google.com/spreadsheets/d/1Yj_ptqi66GCucihVvJfMjLAmec39IyEx_6qawtMGysU/edit?usp=sharing"",""สบก!DL91"")"),523740)</f>
        <v>523740</v>
      </c>
      <c r="N333" s="175">
        <f ca="1">IFERROR(__xludf.DUMMYFUNCTION("IMPORTRANGE(""https://docs.google.com/spreadsheets/d/1Yj_ptqi66GCucihVvJfMjLAmec39IyEx_6qawtMGysU/edit?usp=sharing"",""สบก!DM91"")"),445053)</f>
        <v>445053</v>
      </c>
      <c r="O333" s="176">
        <f ca="1">IF(L333&gt;0,N333*100/L333,0)</f>
        <v>43.236314178850733</v>
      </c>
      <c r="P333" s="176">
        <f ca="1">IF(M333&gt;0,N333*100/M333,0)</f>
        <v>84.97594226142742</v>
      </c>
    </row>
    <row r="334" spans="1:16" ht="21.75" customHeight="1" x14ac:dyDescent="0.35">
      <c r="A334" s="162"/>
      <c r="B334" s="163"/>
      <c r="C334" s="163"/>
      <c r="D334" s="172"/>
      <c r="E334" s="165"/>
      <c r="F334" s="165"/>
      <c r="G334" s="177" t="s">
        <v>42</v>
      </c>
      <c r="H334" s="167" t="s">
        <v>12</v>
      </c>
      <c r="I334" s="168"/>
      <c r="J334" s="168"/>
      <c r="K334" s="169"/>
      <c r="L334" s="174">
        <f ca="1">IFERROR(__xludf.DUMMYFUNCTION("IMPORTRANGE(""https://docs.google.com/spreadsheets/d/1Yj_ptqi66GCucihVvJfMjLAmec39IyEx_6qawtMGysU/edit?usp=sharing"",""สบก!DH91"")"),777000)</f>
        <v>777000</v>
      </c>
      <c r="M334" s="173"/>
      <c r="N334" s="173"/>
      <c r="O334" s="176"/>
      <c r="P334" s="176"/>
    </row>
    <row r="335" spans="1:16" ht="21.75" customHeight="1" x14ac:dyDescent="0.35">
      <c r="A335" s="162"/>
      <c r="B335" s="163"/>
      <c r="C335" s="163"/>
      <c r="D335" s="172"/>
      <c r="E335" s="165"/>
      <c r="F335" s="165"/>
      <c r="G335" s="177" t="s">
        <v>43</v>
      </c>
      <c r="H335" s="167" t="s">
        <v>12</v>
      </c>
      <c r="I335" s="168"/>
      <c r="J335" s="168"/>
      <c r="K335" s="169"/>
      <c r="L335" s="174">
        <f ca="1">IFERROR(__xludf.DUMMYFUNCTION("IMPORTRANGE(""https://docs.google.com/spreadsheets/d/1Yj_ptqi66GCucihVvJfMjLAmec39IyEx_6qawtMGysU/edit?usp=sharing"",""สบก!DI91"")"),252350)</f>
        <v>252350</v>
      </c>
      <c r="M335" s="173"/>
      <c r="N335" s="173"/>
      <c r="O335" s="176"/>
      <c r="P335" s="176"/>
    </row>
    <row r="336" spans="1:16" ht="21.75" customHeight="1" x14ac:dyDescent="0.45">
      <c r="A336" s="178"/>
      <c r="B336" s="81"/>
      <c r="C336" s="82" t="s">
        <v>16</v>
      </c>
      <c r="D336" s="549" t="s">
        <v>23</v>
      </c>
      <c r="E336" s="545"/>
      <c r="F336" s="89"/>
      <c r="G336" s="83" t="s">
        <v>18</v>
      </c>
      <c r="H336" s="179" t="s">
        <v>12</v>
      </c>
      <c r="I336" s="168"/>
      <c r="J336" s="168"/>
      <c r="K336" s="169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80"/>
      <c r="B337" s="95"/>
      <c r="C337" s="95"/>
      <c r="D337" s="181"/>
      <c r="E337" s="96"/>
      <c r="F337" s="96"/>
      <c r="G337" s="97" t="s">
        <v>19</v>
      </c>
      <c r="H337" s="182" t="s">
        <v>12</v>
      </c>
      <c r="I337" s="168"/>
      <c r="J337" s="168"/>
      <c r="K337" s="169"/>
      <c r="L337" s="91">
        <f ca="1">IFERROR(__xludf.DUMMYFUNCTION("IMPORTRANGE(""https://docs.google.com/spreadsheets/d/1Yj_ptqi66GCucihVvJfMjLAmec39IyEx_6qawtMGysU/edit?usp=sharing"",""สบก!DJ91"")"),0)</f>
        <v>0</v>
      </c>
      <c r="M337" s="101"/>
      <c r="N337" s="91">
        <f ca="1">IFERROR(__xludf.DUMMYFUNCTION("IMPORTRANGE(""https://docs.google.com/spreadsheets/d/1Yj_ptqi66GCucihVvJfMjLAmec39IyEx_6qawtMGysU/edit?usp=sharing"",""สบก!DN91"")"),0)</f>
        <v>0</v>
      </c>
      <c r="O337" s="101">
        <f ca="1">IF(L337&gt;0,N337*100/L337,0)</f>
        <v>0</v>
      </c>
      <c r="P337" s="101"/>
    </row>
    <row r="338" spans="1:16" ht="21.75" customHeight="1" x14ac:dyDescent="0.35">
      <c r="A338" s="183"/>
      <c r="B338" s="297"/>
      <c r="C338" s="346" t="s">
        <v>120</v>
      </c>
      <c r="D338" s="203"/>
      <c r="E338" s="203"/>
      <c r="F338" s="203"/>
      <c r="G338" s="204"/>
      <c r="H338" s="188"/>
      <c r="I338" s="347"/>
      <c r="J338" s="347"/>
      <c r="K338" s="348"/>
      <c r="L338" s="189"/>
      <c r="M338" s="189"/>
      <c r="N338" s="189"/>
      <c r="O338" s="349"/>
      <c r="P338" s="349"/>
    </row>
    <row r="339" spans="1:16" ht="21.75" customHeight="1" x14ac:dyDescent="0.35">
      <c r="A339" s="183"/>
      <c r="B339" s="297"/>
      <c r="C339" s="184"/>
      <c r="D339" s="203"/>
      <c r="E339" s="202" t="s">
        <v>121</v>
      </c>
      <c r="F339" s="203"/>
      <c r="G339" s="204"/>
      <c r="H339" s="350" t="s">
        <v>37</v>
      </c>
      <c r="I339" s="211">
        <f ca="1">IFERROR(__xludf.DUMMYFUNCTION("IMPORTRANGE(""https://docs.google.com/spreadsheets/d/1IYY_tgx_IHuhSq3AJ5eI5OnqOPBNLWSHKh2a30DoXe8/edit?usp=sharing"",""ระนอง!I234"")"),0)</f>
        <v>0</v>
      </c>
      <c r="J339" s="195">
        <f ca="1">IFERROR(__xludf.DUMMYFUNCTION("IMPORTRANGE(""https://docs.google.com/spreadsheets/d/1IYY_tgx_IHuhSq3AJ5eI5OnqOPBNLWSHKh2a30DoXe8/edit?usp=sharing"",""ระนอง!J234"")"),45)</f>
        <v>45</v>
      </c>
      <c r="K339" s="348">
        <f t="shared" ref="K339:K346" ca="1" si="103">IF(I339&gt;0,J339*100/I339,0)</f>
        <v>0</v>
      </c>
      <c r="L339" s="189"/>
      <c r="M339" s="189"/>
      <c r="N339" s="189"/>
      <c r="O339" s="349"/>
      <c r="P339" s="349"/>
    </row>
    <row r="340" spans="1:16" ht="21.75" customHeight="1" x14ac:dyDescent="0.35">
      <c r="A340" s="183"/>
      <c r="B340" s="297"/>
      <c r="C340" s="184"/>
      <c r="D340" s="203"/>
      <c r="E340" s="203"/>
      <c r="F340" s="203"/>
      <c r="G340" s="204"/>
      <c r="H340" s="350" t="s">
        <v>122</v>
      </c>
      <c r="I340" s="195">
        <f ca="1">IFERROR(__xludf.DUMMYFUNCTION("IMPORTRANGE(""https://docs.google.com/spreadsheets/d/1IYY_tgx_IHuhSq3AJ5eI5OnqOPBNLWSHKh2a30DoXe8/edit?usp=sharing"",""ระนอง!I235"")"),540)</f>
        <v>540</v>
      </c>
      <c r="J340" s="195">
        <f ca="1">IFERROR(__xludf.DUMMYFUNCTION("IMPORTRANGE(""https://docs.google.com/spreadsheets/d/1IYY_tgx_IHuhSq3AJ5eI5OnqOPBNLWSHKh2a30DoXe8/edit?usp=sharing"",""ระนอง!J235"")"),439.5)</f>
        <v>439.5</v>
      </c>
      <c r="K340" s="348">
        <f t="shared" ca="1" si="103"/>
        <v>81.388888888888886</v>
      </c>
      <c r="L340" s="189"/>
      <c r="M340" s="189"/>
      <c r="N340" s="189"/>
      <c r="O340" s="349"/>
      <c r="P340" s="349"/>
    </row>
    <row r="341" spans="1:16" ht="21.75" customHeight="1" x14ac:dyDescent="0.35">
      <c r="A341" s="183"/>
      <c r="B341" s="297"/>
      <c r="C341" s="184"/>
      <c r="D341" s="203"/>
      <c r="E341" s="202" t="s">
        <v>123</v>
      </c>
      <c r="F341" s="203"/>
      <c r="G341" s="204"/>
      <c r="H341" s="188" t="s">
        <v>37</v>
      </c>
      <c r="I341" s="195">
        <f ca="1">IFERROR(__xludf.DUMMYFUNCTION("IMPORTRANGE(""https://docs.google.com/spreadsheets/d/1IYY_tgx_IHuhSq3AJ5eI5OnqOPBNLWSHKh2a30DoXe8/edit?usp=sharing"",""ระนอง!I236"")"),75)</f>
        <v>75</v>
      </c>
      <c r="J341" s="195">
        <f ca="1">IFERROR(__xludf.DUMMYFUNCTION("IMPORTRANGE(""https://docs.google.com/spreadsheets/d/1IYY_tgx_IHuhSq3AJ5eI5OnqOPBNLWSHKh2a30DoXe8/edit?usp=sharing"",""ระนอง!J236"")"),35)</f>
        <v>35</v>
      </c>
      <c r="K341" s="348">
        <f t="shared" ca="1" si="103"/>
        <v>46.666666666666664</v>
      </c>
      <c r="L341" s="189"/>
      <c r="M341" s="189"/>
      <c r="N341" s="189"/>
      <c r="O341" s="349"/>
      <c r="P341" s="349"/>
    </row>
    <row r="342" spans="1:16" ht="21.75" customHeight="1" x14ac:dyDescent="0.35">
      <c r="A342" s="183"/>
      <c r="B342" s="297"/>
      <c r="C342" s="184"/>
      <c r="D342" s="203"/>
      <c r="E342" s="203"/>
      <c r="F342" s="203"/>
      <c r="G342" s="204"/>
      <c r="H342" s="188" t="s">
        <v>122</v>
      </c>
      <c r="I342" s="351">
        <f ca="1">IFERROR(__xludf.DUMMYFUNCTION("IMPORTRANGE(""https://docs.google.com/spreadsheets/d/1IYY_tgx_IHuhSq3AJ5eI5OnqOPBNLWSHKh2a30DoXe8/edit?usp=sharing"",""ระนอง!I237"")"),0)</f>
        <v>0</v>
      </c>
      <c r="J342" s="195">
        <f ca="1">IFERROR(__xludf.DUMMYFUNCTION("IMPORTRANGE(""https://docs.google.com/spreadsheets/d/1IYY_tgx_IHuhSq3AJ5eI5OnqOPBNLWSHKh2a30DoXe8/edit?usp=sharing"",""ระนอง!J237"")"),353.94)</f>
        <v>353.94</v>
      </c>
      <c r="K342" s="348">
        <f t="shared" ca="1" si="103"/>
        <v>0</v>
      </c>
      <c r="L342" s="189"/>
      <c r="M342" s="189"/>
      <c r="N342" s="189"/>
      <c r="O342" s="349"/>
      <c r="P342" s="349"/>
    </row>
    <row r="343" spans="1:16" ht="21.75" customHeight="1" x14ac:dyDescent="0.35">
      <c r="A343" s="183"/>
      <c r="B343" s="297"/>
      <c r="C343" s="184"/>
      <c r="D343" s="203"/>
      <c r="E343" s="202" t="s">
        <v>124</v>
      </c>
      <c r="F343" s="203"/>
      <c r="G343" s="204"/>
      <c r="H343" s="188" t="s">
        <v>37</v>
      </c>
      <c r="I343" s="195">
        <f ca="1">IFERROR(__xludf.DUMMYFUNCTION("IMPORTRANGE(""https://docs.google.com/spreadsheets/d/1IYY_tgx_IHuhSq3AJ5eI5OnqOPBNLWSHKh2a30DoXe8/edit?usp=sharing"",""ระนอง!I238"")"),75)</f>
        <v>75</v>
      </c>
      <c r="J343" s="195">
        <f ca="1">IFERROR(__xludf.DUMMYFUNCTION("IMPORTRANGE(""https://docs.google.com/spreadsheets/d/1IYY_tgx_IHuhSq3AJ5eI5OnqOPBNLWSHKh2a30DoXe8/edit?usp=sharing"",""ระนอง!J238"")"),0)</f>
        <v>0</v>
      </c>
      <c r="K343" s="348">
        <f t="shared" ca="1" si="103"/>
        <v>0</v>
      </c>
      <c r="L343" s="189"/>
      <c r="M343" s="189"/>
      <c r="N343" s="189"/>
      <c r="O343" s="349"/>
      <c r="P343" s="349"/>
    </row>
    <row r="344" spans="1:16" ht="21.75" customHeight="1" x14ac:dyDescent="0.35">
      <c r="A344" s="183"/>
      <c r="B344" s="297"/>
      <c r="C344" s="184"/>
      <c r="D344" s="203"/>
      <c r="E344" s="203"/>
      <c r="F344" s="203"/>
      <c r="G344" s="204"/>
      <c r="H344" s="188" t="s">
        <v>122</v>
      </c>
      <c r="I344" s="351">
        <f ca="1">IFERROR(__xludf.DUMMYFUNCTION("IMPORTRANGE(""https://docs.google.com/spreadsheets/d/1IYY_tgx_IHuhSq3AJ5eI5OnqOPBNLWSHKh2a30DoXe8/edit?usp=sharing"",""ระนอง!I239"")"),0)</f>
        <v>0</v>
      </c>
      <c r="J344" s="195">
        <f ca="1">IFERROR(__xludf.DUMMYFUNCTION("IMPORTRANGE(""https://docs.google.com/spreadsheets/d/1IYY_tgx_IHuhSq3AJ5eI5OnqOPBNLWSHKh2a30DoXe8/edit?usp=sharing"",""ระนอง!J239"")"),0)</f>
        <v>0</v>
      </c>
      <c r="K344" s="348">
        <f t="shared" ca="1" si="103"/>
        <v>0</v>
      </c>
      <c r="L344" s="189"/>
      <c r="M344" s="189"/>
      <c r="N344" s="189"/>
      <c r="O344" s="349"/>
      <c r="P344" s="349"/>
    </row>
    <row r="345" spans="1:16" ht="21.75" customHeight="1" x14ac:dyDescent="0.35">
      <c r="A345" s="183"/>
      <c r="B345" s="297"/>
      <c r="C345" s="184"/>
      <c r="D345" s="203"/>
      <c r="E345" s="202" t="s">
        <v>125</v>
      </c>
      <c r="F345" s="203"/>
      <c r="G345" s="204"/>
      <c r="H345" s="188" t="s">
        <v>37</v>
      </c>
      <c r="I345" s="195">
        <f ca="1">IFERROR(__xludf.DUMMYFUNCTION("IMPORTRANGE(""https://docs.google.com/spreadsheets/d/1IYY_tgx_IHuhSq3AJ5eI5OnqOPBNLWSHKh2a30DoXe8/edit?usp=sharing"",""ระนอง!I240"")"),75)</f>
        <v>75</v>
      </c>
      <c r="J345" s="195">
        <f ca="1">IFERROR(__xludf.DUMMYFUNCTION("IMPORTRANGE(""https://docs.google.com/spreadsheets/d/1IYY_tgx_IHuhSq3AJ5eI5OnqOPBNLWSHKh2a30DoXe8/edit?usp=sharing"",""ระนอง!J240"")"),13)</f>
        <v>13</v>
      </c>
      <c r="K345" s="348">
        <f t="shared" ca="1" si="103"/>
        <v>17.333333333333332</v>
      </c>
      <c r="L345" s="189"/>
      <c r="M345" s="189"/>
      <c r="N345" s="189"/>
      <c r="O345" s="349"/>
      <c r="P345" s="349"/>
    </row>
    <row r="346" spans="1:16" ht="21.75" customHeight="1" x14ac:dyDescent="0.35">
      <c r="A346" s="241"/>
      <c r="B346" s="352"/>
      <c r="C346" s="242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IFERROR(__xludf.DUMMYFUNCTION("IMPORTRANGE(""https://docs.google.com/spreadsheets/d/1IYY_tgx_IHuhSq3AJ5eI5OnqOPBNLWSHKh2a30DoXe8/edit?usp=sharing"",""ระนอง!I241"")"),0)</f>
        <v>0</v>
      </c>
      <c r="J346" s="195">
        <f ca="1">IFERROR(__xludf.DUMMYFUNCTION("IMPORTRANGE(""https://docs.google.com/spreadsheets/d/1IYY_tgx_IHuhSq3AJ5eI5OnqOPBNLWSHKh2a30DoXe8/edit?usp=sharing"",""ระนอง!J241"")"),108.74)</f>
        <v>108.74</v>
      </c>
      <c r="K346" s="357">
        <f t="shared" ca="1" si="103"/>
        <v>0</v>
      </c>
      <c r="L346" s="252"/>
      <c r="M346" s="252"/>
      <c r="N346" s="252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IFERROR(__xludf.DUMMYFUNCTION("IMPORTRANGE(""https://docs.google.com/spreadsheets/d/1IYY_tgx_IHuhSq3AJ5eI5OnqOPBNLWSHKh2a30DoXe8/edit?usp=sharing"",""ระนอง!L242"")"),1569327)</f>
        <v>1569327</v>
      </c>
      <c r="M347" s="364"/>
      <c r="N347" s="364">
        <f ca="1">IFERROR(__xludf.DUMMYFUNCTION("IMPORTRANGE(""https://docs.google.com/spreadsheets/d/1IYY_tgx_IHuhSq3AJ5eI5OnqOPBNLWSHKh2a30DoXe8/edit?usp=sharing"",""ระนอง!M242"")"),524182)</f>
        <v>524182</v>
      </c>
      <c r="O347" s="364">
        <f ca="1">+IF(L347&gt;0,N347*100/L347,0)</f>
        <v>33.401706591424222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IFERROR(__xludf.DUMMYFUNCTION("IMPORTRANGE(""https://docs.google.com/spreadsheets/d/1IYY_tgx_IHuhSq3AJ5eI5OnqOPBNLWSHKh2a30DoXe8/edit?usp=sharing"",""ระนอง!I244"")"),20)</f>
        <v>20</v>
      </c>
      <c r="J349" s="377">
        <f ca="1">IFERROR(__xludf.DUMMYFUNCTION("IMPORTRANGE(""https://docs.google.com/spreadsheets/d/1IYY_tgx_IHuhSq3AJ5eI5OnqOPBNLWSHKh2a30DoXe8/edit?usp=sharing"",""ระนอง!J244"")"),20)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IFERROR(__xludf.DUMMYFUNCTION("IMPORTRANGE(""https://docs.google.com/spreadsheets/d/1IYY_tgx_IHuhSq3AJ5eI5OnqOPBNLWSHKh2a30DoXe8/edit?usp=sharing"",""ระนอง!L244"")"),65120)</f>
        <v>65120</v>
      </c>
      <c r="M349" s="379"/>
      <c r="N349" s="379">
        <f ca="1">IFERROR(__xludf.DUMMYFUNCTION("IMPORTRANGE(""https://docs.google.com/spreadsheets/d/1IYY_tgx_IHuhSq3AJ5eI5OnqOPBNLWSHKh2a30DoXe8/edit?usp=sharing"",""ระนอง!M244"")"),56230)</f>
        <v>56230</v>
      </c>
      <c r="O349" s="379">
        <f ca="1">+IF(L349&gt;0,N349*100/L349,0)</f>
        <v>86.3482800982801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IFERROR(__xludf.DUMMYFUNCTION("IMPORTRANGE(""https://docs.google.com/spreadsheets/d/1IYY_tgx_IHuhSq3AJ5eI5OnqOPBNLWSHKh2a30DoXe8/edit?usp=sharing"",""ระนอง!I245"")"),20)</f>
        <v>20</v>
      </c>
      <c r="J350" s="377">
        <f ca="1">IFERROR(__xludf.DUMMYFUNCTION("IMPORTRANGE(""https://docs.google.com/spreadsheets/d/1IYY_tgx_IHuhSq3AJ5eI5OnqOPBNLWSHKh2a30DoXe8/edit?usp=sharing"",""ระนอง!J245"")"),20)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164" t="s">
        <v>38</v>
      </c>
      <c r="E351" s="165"/>
      <c r="F351" s="165"/>
      <c r="G351" s="166" t="s">
        <v>39</v>
      </c>
      <c r="H351" s="167" t="s">
        <v>12</v>
      </c>
      <c r="I351" s="168" t="s">
        <v>40</v>
      </c>
      <c r="J351" s="168"/>
      <c r="K351" s="169"/>
      <c r="L351" s="170">
        <f ca="1">IFERROR(__xludf.DUMMYFUNCTION("IMPORTRANGE(""https://docs.google.com/spreadsheets/d/1IYY_tgx_IHuhSq3AJ5eI5OnqOPBNLWSHKh2a30DoXe8/edit?usp=sharing"",""ระนอง!L246"")"),0)</f>
        <v>0</v>
      </c>
      <c r="M351" s="170"/>
      <c r="N351" s="170">
        <f ca="1">IFERROR(__xludf.DUMMYFUNCTION("IMPORTRANGE(""https://docs.google.com/spreadsheets/d/1IYY_tgx_IHuhSq3AJ5eI5OnqOPBNLWSHKh2a30DoXe8/edit?usp=sharing"",""ระนอง!M246"")"),0)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 x14ac:dyDescent="0.35">
      <c r="A352" s="162"/>
      <c r="B352" s="163"/>
      <c r="C352" s="163"/>
      <c r="D352" s="172"/>
      <c r="E352" s="165"/>
      <c r="F352" s="165" t="s">
        <v>40</v>
      </c>
      <c r="G352" s="166" t="s">
        <v>41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IFERROR(__xludf.DUMMYFUNCTION("IMPORTRANGE(""https://docs.google.com/spreadsheets/d/1IYY_tgx_IHuhSq3AJ5eI5OnqOPBNLWSHKh2a30DoXe8/edit?usp=sharing"",""ระนอง!L247"")"),65120)</f>
        <v>65120</v>
      </c>
      <c r="M352" s="171"/>
      <c r="N352" s="170">
        <f ca="1">IFERROR(__xludf.DUMMYFUNCTION("IMPORTRANGE(""https://docs.google.com/spreadsheets/d/1IYY_tgx_IHuhSq3AJ5eI5OnqOPBNLWSHKh2a30DoXe8/edit?usp=sharing"",""ระนอง!M247"")"),56230)</f>
        <v>56230</v>
      </c>
      <c r="O352" s="171">
        <f t="shared" ca="1" si="105"/>
        <v>86.3482800982801</v>
      </c>
      <c r="P352" s="171"/>
    </row>
    <row r="353" spans="1:16" ht="21.75" customHeight="1" x14ac:dyDescent="0.35">
      <c r="A353" s="162"/>
      <c r="B353" s="163"/>
      <c r="C353" s="163"/>
      <c r="D353" s="172"/>
      <c r="E353" s="165"/>
      <c r="F353" s="165"/>
      <c r="G353" s="380" t="s">
        <v>129</v>
      </c>
      <c r="H353" s="167" t="s">
        <v>12</v>
      </c>
      <c r="I353" s="168"/>
      <c r="J353" s="168"/>
      <c r="K353" s="169"/>
      <c r="L353" s="176">
        <f ca="1">IFERROR(__xludf.DUMMYFUNCTION("IMPORTRANGE(""https://docs.google.com/spreadsheets/d/1IYY_tgx_IHuhSq3AJ5eI5OnqOPBNLWSHKh2a30DoXe8/edit?usp=sharing"",""ระนอง!L248"")"),0)</f>
        <v>0</v>
      </c>
      <c r="M353" s="176"/>
      <c r="N353" s="176">
        <f ca="1">IFERROR(__xludf.DUMMYFUNCTION("IMPORTRANGE(""https://docs.google.com/spreadsheets/d/1IYY_tgx_IHuhSq3AJ5eI5OnqOPBNLWSHKh2a30DoXe8/edit?usp=sharing"",""ระนอง!M248"")"),0)</f>
        <v>0</v>
      </c>
      <c r="O353" s="176">
        <f t="shared" ca="1" si="105"/>
        <v>0</v>
      </c>
      <c r="P353" s="176"/>
    </row>
    <row r="354" spans="1:16" ht="21.75" customHeight="1" x14ac:dyDescent="0.35">
      <c r="A354" s="162"/>
      <c r="B354" s="163"/>
      <c r="C354" s="163"/>
      <c r="D354" s="172"/>
      <c r="E354" s="165"/>
      <c r="F354" s="165"/>
      <c r="G354" s="380" t="s">
        <v>130</v>
      </c>
      <c r="H354" s="167" t="s">
        <v>12</v>
      </c>
      <c r="I354" s="168"/>
      <c r="J354" s="168"/>
      <c r="K354" s="169"/>
      <c r="L354" s="176">
        <f ca="1">IFERROR(__xludf.DUMMYFUNCTION("IMPORTRANGE(""https://docs.google.com/spreadsheets/d/1IYY_tgx_IHuhSq3AJ5eI5OnqOPBNLWSHKh2a30DoXe8/edit?usp=sharing"",""ระนอง!L249"")"),65120)</f>
        <v>65120</v>
      </c>
      <c r="M354" s="176"/>
      <c r="N354" s="173">
        <f ca="1">IFERROR(__xludf.DUMMYFUNCTION("IMPORTRANGE(""https://docs.google.com/spreadsheets/d/1IYY_tgx_IHuhSq3AJ5eI5OnqOPBNLWSHKh2a30DoXe8/edit?usp=sharing"",""ระนอง!M249"")"),56230)</f>
        <v>56230</v>
      </c>
      <c r="O354" s="176">
        <f t="shared" ca="1" si="105"/>
        <v>86.3482800982801</v>
      </c>
      <c r="P354" s="176"/>
    </row>
    <row r="355" spans="1:16" ht="21.75" customHeight="1" x14ac:dyDescent="0.35">
      <c r="A355" s="381"/>
      <c r="B355" s="382"/>
      <c r="C355" s="163"/>
      <c r="D355" s="383"/>
      <c r="E355" s="165"/>
      <c r="F355" s="165"/>
      <c r="G355" s="384" t="s">
        <v>131</v>
      </c>
      <c r="H355" s="167" t="s">
        <v>12</v>
      </c>
      <c r="I355" s="195"/>
      <c r="J355" s="195"/>
      <c r="K355" s="231"/>
      <c r="L355" s="176"/>
      <c r="M355" s="176"/>
      <c r="N355" s="385">
        <f ca="1">IFERROR(__xludf.DUMMYFUNCTION("IMPORTRANGE(""https://docs.google.com/spreadsheets/d/1IYY_tgx_IHuhSq3AJ5eI5OnqOPBNLWSHKh2a30DoXe8/edit?usp=sharing"",""ระนอง!M250"")"),26600)</f>
        <v>26600</v>
      </c>
      <c r="O355" s="176"/>
      <c r="P355" s="176"/>
    </row>
    <row r="356" spans="1:16" ht="21.75" customHeight="1" x14ac:dyDescent="0.35">
      <c r="A356" s="381"/>
      <c r="B356" s="382"/>
      <c r="C356" s="163"/>
      <c r="D356" s="383"/>
      <c r="E356" s="165"/>
      <c r="F356" s="165"/>
      <c r="G356" s="384" t="s">
        <v>132</v>
      </c>
      <c r="H356" s="167" t="s">
        <v>12</v>
      </c>
      <c r="I356" s="195"/>
      <c r="J356" s="195"/>
      <c r="K356" s="231"/>
      <c r="L356" s="176"/>
      <c r="M356" s="176"/>
      <c r="N356" s="385">
        <f ca="1">IFERROR(__xludf.DUMMYFUNCTION("IMPORTRANGE(""https://docs.google.com/spreadsheets/d/1IYY_tgx_IHuhSq3AJ5eI5OnqOPBNLWSHKh2a30DoXe8/edit?usp=sharing"",""ระนอง!M251"")"),20100)</f>
        <v>20100</v>
      </c>
      <c r="O356" s="176"/>
      <c r="P356" s="176"/>
    </row>
    <row r="357" spans="1:16" ht="21.75" customHeight="1" x14ac:dyDescent="0.35">
      <c r="A357" s="381"/>
      <c r="B357" s="382"/>
      <c r="C357" s="163"/>
      <c r="D357" s="383"/>
      <c r="E357" s="165"/>
      <c r="F357" s="165"/>
      <c r="G357" s="384" t="s">
        <v>133</v>
      </c>
      <c r="H357" s="167" t="s">
        <v>12</v>
      </c>
      <c r="I357" s="195"/>
      <c r="J357" s="195"/>
      <c r="K357" s="231"/>
      <c r="L357" s="176"/>
      <c r="M357" s="176"/>
      <c r="N357" s="385">
        <f ca="1">IFERROR(__xludf.DUMMYFUNCTION("IMPORTRANGE(""https://docs.google.com/spreadsheets/d/1IYY_tgx_IHuhSq3AJ5eI5OnqOPBNLWSHKh2a30DoXe8/edit?usp=sharing"",""ระนอง!M252"")"),0)</f>
        <v>0</v>
      </c>
      <c r="O357" s="176"/>
      <c r="P357" s="176"/>
    </row>
    <row r="358" spans="1:16" ht="21.75" customHeight="1" x14ac:dyDescent="0.35">
      <c r="A358" s="381"/>
      <c r="B358" s="382"/>
      <c r="C358" s="163"/>
      <c r="D358" s="383"/>
      <c r="E358" s="165"/>
      <c r="F358" s="165"/>
      <c r="G358" s="384" t="s">
        <v>134</v>
      </c>
      <c r="H358" s="167" t="s">
        <v>12</v>
      </c>
      <c r="I358" s="195"/>
      <c r="J358" s="195"/>
      <c r="K358" s="231"/>
      <c r="L358" s="176"/>
      <c r="M358" s="176"/>
      <c r="N358" s="385">
        <f ca="1">IFERROR(__xludf.DUMMYFUNCTION("IMPORTRANGE(""https://docs.google.com/spreadsheets/d/1IYY_tgx_IHuhSq3AJ5eI5OnqOPBNLWSHKh2a30DoXe8/edit?usp=sharing"",""ระนอง!M253"")"),9530)</f>
        <v>9530</v>
      </c>
      <c r="O358" s="176"/>
      <c r="P358" s="176"/>
    </row>
    <row r="359" spans="1:16" ht="21.75" customHeight="1" x14ac:dyDescent="0.35">
      <c r="A359" s="183"/>
      <c r="B359" s="184"/>
      <c r="C359" s="163" t="s">
        <v>16</v>
      </c>
      <c r="D359" s="185" t="s">
        <v>44</v>
      </c>
      <c r="E359" s="186"/>
      <c r="F359" s="186"/>
      <c r="G359" s="187"/>
      <c r="H359" s="188"/>
      <c r="I359" s="168"/>
      <c r="J359" s="168"/>
      <c r="K359" s="169"/>
      <c r="L359" s="189"/>
      <c r="M359" s="189"/>
      <c r="N359" s="189"/>
      <c r="O359" s="189"/>
      <c r="P359" s="189"/>
    </row>
    <row r="360" spans="1:16" ht="21.75" customHeight="1" x14ac:dyDescent="0.35">
      <c r="A360" s="183"/>
      <c r="B360" s="184"/>
      <c r="C360" s="184"/>
      <c r="D360" s="190">
        <v>1</v>
      </c>
      <c r="E360" s="191" t="s">
        <v>45</v>
      </c>
      <c r="F360" s="192"/>
      <c r="G360" s="193"/>
      <c r="H360" s="194"/>
      <c r="I360" s="195"/>
      <c r="J360" s="205">
        <f ca="1">IFERROR(__xludf.DUMMYFUNCTION("IMPORTRANGE(""https://docs.google.com/spreadsheets/d/1IYY_tgx_IHuhSq3AJ5eI5OnqOPBNLWSHKh2a30DoXe8/edit?usp=sharing"",""ระนอง!J255"")"),0)</f>
        <v>0</v>
      </c>
      <c r="K360" s="169"/>
      <c r="L360" s="189"/>
      <c r="M360" s="189"/>
      <c r="N360" s="189"/>
      <c r="O360" s="189"/>
      <c r="P360" s="189"/>
    </row>
    <row r="361" spans="1:16" ht="21.75" customHeight="1" x14ac:dyDescent="0.35">
      <c r="A361" s="183"/>
      <c r="B361" s="184"/>
      <c r="C361" s="184"/>
      <c r="D361" s="197">
        <v>2</v>
      </c>
      <c r="E361" s="198" t="s">
        <v>46</v>
      </c>
      <c r="F361" s="199"/>
      <c r="G361" s="200"/>
      <c r="H361" s="194"/>
      <c r="I361" s="195"/>
      <c r="J361" s="196">
        <f ca="1">IFERROR(__xludf.DUMMYFUNCTION("IMPORTRANGE(""https://docs.google.com/spreadsheets/d/1IYY_tgx_IHuhSq3AJ5eI5OnqOPBNLWSHKh2a30DoXe8/edit?usp=sharing"",""ระนอง!J256"")"),1)</f>
        <v>1</v>
      </c>
      <c r="K361" s="169"/>
      <c r="L361" s="189" t="s">
        <v>40</v>
      </c>
      <c r="M361" s="189"/>
      <c r="N361" s="189" t="s">
        <v>40</v>
      </c>
      <c r="O361" s="189"/>
      <c r="P361" s="189"/>
    </row>
    <row r="362" spans="1:16" ht="21.75" customHeight="1" x14ac:dyDescent="0.35">
      <c r="A362" s="183"/>
      <c r="B362" s="184"/>
      <c r="C362" s="184"/>
      <c r="D362" s="201"/>
      <c r="E362" s="202" t="s">
        <v>47</v>
      </c>
      <c r="F362" s="203"/>
      <c r="G362" s="204"/>
      <c r="H362" s="194"/>
      <c r="I362" s="195"/>
      <c r="J362" s="196">
        <f ca="1">IFERROR(__xludf.DUMMYFUNCTION("IMPORTRANGE(""https://docs.google.com/spreadsheets/d/1IYY_tgx_IHuhSq3AJ5eI5OnqOPBNLWSHKh2a30DoXe8/edit?usp=sharing"",""ระนอง!J257"")"),1)</f>
        <v>1</v>
      </c>
      <c r="K362" s="169"/>
      <c r="L362" s="189"/>
      <c r="M362" s="189"/>
      <c r="N362" s="189"/>
      <c r="O362" s="189"/>
      <c r="P362" s="189"/>
    </row>
    <row r="363" spans="1:16" ht="21.75" customHeight="1" x14ac:dyDescent="0.35">
      <c r="A363" s="183"/>
      <c r="B363" s="184"/>
      <c r="C363" s="184"/>
      <c r="D363" s="201"/>
      <c r="E363" s="202" t="s">
        <v>48</v>
      </c>
      <c r="F363" s="203"/>
      <c r="G363" s="204"/>
      <c r="H363" s="194"/>
      <c r="I363" s="195"/>
      <c r="J363" s="205">
        <f ca="1">IFERROR(__xludf.DUMMYFUNCTION("IMPORTRANGE(""https://docs.google.com/spreadsheets/d/1IYY_tgx_IHuhSq3AJ5eI5OnqOPBNLWSHKh2a30DoXe8/edit?usp=sharing"",""ระนอง!J258"")"),1)</f>
        <v>1</v>
      </c>
      <c r="K363" s="169"/>
      <c r="L363" s="189"/>
      <c r="M363" s="189"/>
      <c r="N363" s="189"/>
      <c r="O363" s="189"/>
      <c r="P363" s="189"/>
    </row>
    <row r="364" spans="1:16" ht="21.75" hidden="1" customHeight="1" x14ac:dyDescent="0.35">
      <c r="A364" s="183"/>
      <c r="B364" s="184"/>
      <c r="C364" s="184"/>
      <c r="D364" s="201"/>
      <c r="E364" s="206"/>
      <c r="F364" s="202" t="s">
        <v>70</v>
      </c>
      <c r="G364" s="204"/>
      <c r="H364" s="188"/>
      <c r="I364" s="195"/>
      <c r="J364" s="195">
        <f ca="1">IFERROR(__xludf.DUMMYFUNCTION("IMPORTRANGE(""https://docs.google.com/spreadsheets/d/1IYY_tgx_IHuhSq3AJ5eI5OnqOPBNLWSHKh2a30DoXe8/edit?usp=sharing"",""ระนอง!J166"")"),0)</f>
        <v>0</v>
      </c>
      <c r="K364" s="169"/>
      <c r="L364" s="189"/>
      <c r="M364" s="189"/>
      <c r="N364" s="189"/>
      <c r="O364" s="189"/>
      <c r="P364" s="189"/>
    </row>
    <row r="365" spans="1:16" ht="21.75" hidden="1" customHeight="1" x14ac:dyDescent="0.35">
      <c r="A365" s="183"/>
      <c r="B365" s="184"/>
      <c r="C365" s="184"/>
      <c r="D365" s="201"/>
      <c r="E365" s="206"/>
      <c r="F365" s="203"/>
      <c r="G365" s="233" t="s">
        <v>135</v>
      </c>
      <c r="H365" s="188" t="s">
        <v>37</v>
      </c>
      <c r="I365" s="195">
        <f ca="1">IFERROR(__xludf.DUMMYFUNCTION("IMPORTRANGE(""https://docs.google.com/spreadsheets/d/1C3CXT74ZlgGe6_JY_1olB1XN4rF0dxEuIIF-xsYjHgg/edit?usp=sharing"",""งบกองทุน!f63"")"),0)</f>
        <v>0</v>
      </c>
      <c r="J365" s="195">
        <f ca="1">IFERROR(__xludf.DUMMYFUNCTION("IMPORTRANGE(""https://docs.google.com/spreadsheets/d/1IYY_tgx_IHuhSq3AJ5eI5OnqOPBNLWSHKh2a30DoXe8/edit?usp=sharing"",""ระนอง!J166"")"),0)</f>
        <v>0</v>
      </c>
      <c r="K365" s="169">
        <f ca="1">IF(I365&gt;0,J365*100/I365,0)</f>
        <v>0</v>
      </c>
      <c r="L365" s="189"/>
      <c r="M365" s="189"/>
      <c r="N365" s="189"/>
      <c r="O365" s="189"/>
      <c r="P365" s="189"/>
    </row>
    <row r="366" spans="1:16" ht="21.75" hidden="1" customHeight="1" x14ac:dyDescent="0.35">
      <c r="A366" s="183"/>
      <c r="B366" s="184"/>
      <c r="C366" s="184"/>
      <c r="D366" s="201"/>
      <c r="E366" s="206"/>
      <c r="F366" s="203"/>
      <c r="G366" s="204" t="s">
        <v>136</v>
      </c>
      <c r="H366" s="188"/>
      <c r="I366" s="168"/>
      <c r="J366" s="195">
        <f ca="1">IFERROR(__xludf.DUMMYFUNCTION("IMPORTRANGE(""https://docs.google.com/spreadsheets/d/1IYY_tgx_IHuhSq3AJ5eI5OnqOPBNLWSHKh2a30DoXe8/edit?usp=sharing"",""ระนอง!J166"")"),0)</f>
        <v>0</v>
      </c>
      <c r="K366" s="169"/>
      <c r="L366" s="189"/>
      <c r="M366" s="189"/>
      <c r="N366" s="189"/>
      <c r="O366" s="189"/>
      <c r="P366" s="189"/>
    </row>
    <row r="367" spans="1:16" ht="21.75" hidden="1" customHeight="1" x14ac:dyDescent="0.35">
      <c r="A367" s="183"/>
      <c r="B367" s="184"/>
      <c r="C367" s="184"/>
      <c r="D367" s="201"/>
      <c r="E367" s="206"/>
      <c r="F367" s="203"/>
      <c r="G367" s="233" t="s">
        <v>137</v>
      </c>
      <c r="H367" s="194" t="s">
        <v>122</v>
      </c>
      <c r="I367" s="195">
        <f ca="1">SUM(I369,I371)</f>
        <v>0</v>
      </c>
      <c r="J367" s="195">
        <f ca="1">IFERROR(__xludf.DUMMYFUNCTION("IMPORTRANGE(""https://docs.google.com/spreadsheets/d/1IYY_tgx_IHuhSq3AJ5eI5OnqOPBNLWSHKh2a30DoXe8/edit?usp=sharing"",""ระนอง!J166"")"),0)</f>
        <v>0</v>
      </c>
      <c r="K367" s="169">
        <f t="shared" ref="K367:K373" ca="1" si="106">IF(I367&gt;0,J367*100/I367,0)</f>
        <v>0</v>
      </c>
      <c r="L367" s="189"/>
      <c r="M367" s="189"/>
      <c r="N367" s="189"/>
      <c r="O367" s="189"/>
      <c r="P367" s="189"/>
    </row>
    <row r="368" spans="1:16" ht="21.75" customHeight="1" x14ac:dyDescent="0.35">
      <c r="A368" s="183"/>
      <c r="B368" s="184"/>
      <c r="C368" s="184"/>
      <c r="D368" s="201"/>
      <c r="E368" s="206"/>
      <c r="F368" s="386" t="s">
        <v>138</v>
      </c>
      <c r="G368" s="387"/>
      <c r="H368" s="194" t="s">
        <v>37</v>
      </c>
      <c r="I368" s="168">
        <f ca="1">IFERROR(__xludf.DUMMYFUNCTION("IMPORTRANGE(""https://docs.google.com/spreadsheets/d/1IYY_tgx_IHuhSq3AJ5eI5OnqOPBNLWSHKh2a30DoXe8/edit?usp=sharing"",""ระนอง!I263"")"),20)</f>
        <v>20</v>
      </c>
      <c r="J368" s="195">
        <f ca="1">IFERROR(__xludf.DUMMYFUNCTION("IMPORTRANGE(""https://docs.google.com/spreadsheets/d/1IYY_tgx_IHuhSq3AJ5eI5OnqOPBNLWSHKh2a30DoXe8/edit?usp=sharing"",""ระนอง!J263"")"),20)</f>
        <v>20</v>
      </c>
      <c r="K368" s="169">
        <f t="shared" ca="1" si="106"/>
        <v>100</v>
      </c>
      <c r="L368" s="189"/>
      <c r="M368" s="189"/>
      <c r="N368" s="189"/>
      <c r="O368" s="189"/>
      <c r="P368" s="189"/>
    </row>
    <row r="369" spans="1:16" ht="21.75" hidden="1" customHeight="1" x14ac:dyDescent="0.35">
      <c r="A369" s="183"/>
      <c r="B369" s="184"/>
      <c r="C369" s="184"/>
      <c r="D369" s="201"/>
      <c r="E369" s="206"/>
      <c r="F369" s="203"/>
      <c r="G369" s="387"/>
      <c r="H369" s="188" t="s">
        <v>122</v>
      </c>
      <c r="I369" s="168">
        <f ca="1">IFERROR(__xludf.DUMMYFUNCTION("IMPORTRANGE(""https://docs.google.com/spreadsheets/d/1IYY_tgx_IHuhSq3AJ5eI5OnqOPBNLWSHKh2a30DoXe8/edit?usp=sharing"",""ระนอง!I164"")"),0)</f>
        <v>0</v>
      </c>
      <c r="J369" s="211">
        <f ca="1">IFERROR(__xludf.DUMMYFUNCTION("IMPORTRANGE(""https://docs.google.com/spreadsheets/d/1IYY_tgx_IHuhSq3AJ5eI5OnqOPBNLWSHKh2a30DoXe8/edit?usp=sharing"",""ระนอง!J164"")"),0)</f>
        <v>0</v>
      </c>
      <c r="K369" s="169">
        <f t="shared" ca="1" si="106"/>
        <v>0</v>
      </c>
      <c r="L369" s="189"/>
      <c r="M369" s="189"/>
      <c r="N369" s="189"/>
      <c r="O369" s="189"/>
      <c r="P369" s="189"/>
    </row>
    <row r="370" spans="1:16" ht="21.75" customHeight="1" x14ac:dyDescent="0.35">
      <c r="A370" s="183"/>
      <c r="B370" s="184"/>
      <c r="C370" s="184"/>
      <c r="D370" s="201"/>
      <c r="E370" s="206"/>
      <c r="F370" s="203"/>
      <c r="G370" s="386" t="s">
        <v>139</v>
      </c>
      <c r="H370" s="188" t="s">
        <v>37</v>
      </c>
      <c r="I370" s="168">
        <f ca="1">IFERROR(__xludf.DUMMYFUNCTION("IMPORTRANGE(""https://docs.google.com/spreadsheets/d/1IYY_tgx_IHuhSq3AJ5eI5OnqOPBNLWSHKh2a30DoXe8/edit?usp=sharing"",""ระนอง!I265"")"),20)</f>
        <v>20</v>
      </c>
      <c r="J370" s="211">
        <f ca="1">IFERROR(__xludf.DUMMYFUNCTION("IMPORTRANGE(""https://docs.google.com/spreadsheets/d/1IYY_tgx_IHuhSq3AJ5eI5OnqOPBNLWSHKh2a30DoXe8/edit?usp=sharing"",""ระนอง!J265"")"),20)</f>
        <v>20</v>
      </c>
      <c r="K370" s="169">
        <f t="shared" ca="1" si="106"/>
        <v>100</v>
      </c>
      <c r="L370" s="189"/>
      <c r="M370" s="189"/>
      <c r="N370" s="189"/>
      <c r="O370" s="189"/>
      <c r="P370" s="189"/>
    </row>
    <row r="371" spans="1:16" ht="21.75" hidden="1" customHeight="1" x14ac:dyDescent="0.35">
      <c r="A371" s="183"/>
      <c r="B371" s="184"/>
      <c r="C371" s="184"/>
      <c r="D371" s="201"/>
      <c r="E371" s="206"/>
      <c r="F371" s="203"/>
      <c r="G371" s="387"/>
      <c r="H371" s="188" t="s">
        <v>122</v>
      </c>
      <c r="I371" s="168">
        <f ca="1">IFERROR(__xludf.DUMMYFUNCTION("IMPORTRANGE(""https://docs.google.com/spreadsheets/d/1IYY_tgx_IHuhSq3AJ5eI5OnqOPBNLWSHKh2a30DoXe8/edit?usp=sharing"",""ระนอง!I164"")"),0)</f>
        <v>0</v>
      </c>
      <c r="J371" s="196">
        <f ca="1">IFERROR(__xludf.DUMMYFUNCTION("IMPORTRANGE(""https://docs.google.com/spreadsheets/d/1IYY_tgx_IHuhSq3AJ5eI5OnqOPBNLWSHKh2a30DoXe8/edit?usp=sharing"",""ระนอง!J164"")"),0)</f>
        <v>0</v>
      </c>
      <c r="K371" s="169">
        <f t="shared" ca="1" si="106"/>
        <v>0</v>
      </c>
      <c r="L371" s="189"/>
      <c r="M371" s="189"/>
      <c r="N371" s="189"/>
      <c r="O371" s="189"/>
      <c r="P371" s="189"/>
    </row>
    <row r="372" spans="1:16" ht="21.75" customHeight="1" x14ac:dyDescent="0.35">
      <c r="A372" s="183"/>
      <c r="B372" s="184"/>
      <c r="C372" s="184"/>
      <c r="D372" s="201"/>
      <c r="E372" s="206"/>
      <c r="F372" s="203"/>
      <c r="G372" s="386" t="s">
        <v>140</v>
      </c>
      <c r="H372" s="188" t="s">
        <v>37</v>
      </c>
      <c r="I372" s="168">
        <f ca="1">IFERROR(__xludf.DUMMYFUNCTION("IMPORTRANGE(""https://docs.google.com/spreadsheets/d/1IYY_tgx_IHuhSq3AJ5eI5OnqOPBNLWSHKh2a30DoXe8/edit?usp=sharing"",""ระนอง!I267"")"),20)</f>
        <v>20</v>
      </c>
      <c r="J372" s="196">
        <f ca="1">IFERROR(__xludf.DUMMYFUNCTION("IMPORTRANGE(""https://docs.google.com/spreadsheets/d/1IYY_tgx_IHuhSq3AJ5eI5OnqOPBNLWSHKh2a30DoXe8/edit?usp=sharing"",""ระนอง!J267"")"),20)</f>
        <v>20</v>
      </c>
      <c r="K372" s="169">
        <f t="shared" ca="1" si="106"/>
        <v>100</v>
      </c>
      <c r="L372" s="189"/>
      <c r="M372" s="189"/>
      <c r="N372" s="189"/>
      <c r="O372" s="189"/>
      <c r="P372" s="189"/>
    </row>
    <row r="373" spans="1:16" ht="21.75" hidden="1" customHeight="1" x14ac:dyDescent="0.35">
      <c r="A373" s="183"/>
      <c r="B373" s="184"/>
      <c r="C373" s="184"/>
      <c r="D373" s="201"/>
      <c r="E373" s="206"/>
      <c r="F373" s="203"/>
      <c r="G373" s="233" t="s">
        <v>141</v>
      </c>
      <c r="H373" s="188" t="s">
        <v>37</v>
      </c>
      <c r="I373" s="195">
        <f ca="1">IFERROR(__xludf.DUMMYFUNCTION("IMPORTRANGE(""https://docs.google.com/spreadsheets/d/1IYY_tgx_IHuhSq3AJ5eI5OnqOPBNLWSHKh2a30DoXe8/edit?usp=sharing"",""ระนอง!I164"")"),0)</f>
        <v>0</v>
      </c>
      <c r="J373" s="211">
        <f ca="1">IFERROR(__xludf.DUMMYFUNCTION("IMPORTRANGE(""https://docs.google.com/spreadsheets/d/1IYY_tgx_IHuhSq3AJ5eI5OnqOPBNLWSHKh2a30DoXe8/edit?usp=sharing"",""ระนอง!J164"")"),0)</f>
        <v>0</v>
      </c>
      <c r="K373" s="169">
        <f t="shared" ca="1" si="106"/>
        <v>0</v>
      </c>
      <c r="L373" s="189"/>
      <c r="M373" s="189"/>
      <c r="N373" s="189"/>
      <c r="O373" s="189"/>
      <c r="P373" s="189"/>
    </row>
    <row r="374" spans="1:16" ht="21.75" hidden="1" customHeight="1" x14ac:dyDescent="0.35">
      <c r="A374" s="183"/>
      <c r="B374" s="184"/>
      <c r="C374" s="184"/>
      <c r="D374" s="201"/>
      <c r="E374" s="206"/>
      <c r="F374" s="203"/>
      <c r="G374" s="204" t="s">
        <v>142</v>
      </c>
      <c r="H374" s="188"/>
      <c r="I374" s="195">
        <f ca="1">IFERROR(__xludf.DUMMYFUNCTION("IMPORTRANGE(""https://docs.google.com/spreadsheets/d/1IYY_tgx_IHuhSq3AJ5eI5OnqOPBNLWSHKh2a30DoXe8/edit?usp=sharing"",""ระนอง!I164"")"),0)</f>
        <v>0</v>
      </c>
      <c r="J374" s="195">
        <f ca="1">IFERROR(__xludf.DUMMYFUNCTION("IMPORTRANGE(""https://docs.google.com/spreadsheets/d/1IYY_tgx_IHuhSq3AJ5eI5OnqOPBNLWSHKh2a30DoXe8/edit?usp=sharing"",""ระนอง!J164"")"),0)</f>
        <v>0</v>
      </c>
      <c r="K374" s="169"/>
      <c r="L374" s="189"/>
      <c r="M374" s="189"/>
      <c r="N374" s="189"/>
      <c r="O374" s="189"/>
      <c r="P374" s="189"/>
    </row>
    <row r="375" spans="1:16" ht="21.75" customHeight="1" x14ac:dyDescent="0.35">
      <c r="A375" s="183"/>
      <c r="B375" s="184"/>
      <c r="C375" s="184"/>
      <c r="D375" s="201"/>
      <c r="E375" s="203"/>
      <c r="F375" s="212" t="s">
        <v>53</v>
      </c>
      <c r="G375" s="204"/>
      <c r="H375" s="286" t="s">
        <v>122</v>
      </c>
      <c r="I375" s="195">
        <f ca="1">IFERROR(__xludf.DUMMYFUNCTION("IMPORTRANGE(""https://docs.google.com/spreadsheets/d/1IYY_tgx_IHuhSq3AJ5eI5OnqOPBNLWSHKh2a30DoXe8/edit?usp=sharing"",""ระนอง!I270"")"),20)</f>
        <v>20</v>
      </c>
      <c r="J375" s="195">
        <f ca="1">IFERROR(__xludf.DUMMYFUNCTION("IMPORTRANGE(""https://docs.google.com/spreadsheets/d/1IYY_tgx_IHuhSq3AJ5eI5OnqOPBNLWSHKh2a30DoXe8/edit?usp=sharing"",""ระนอง!J270"")"),20)</f>
        <v>20</v>
      </c>
      <c r="K375" s="169">
        <f t="shared" ref="K375:K377" ca="1" si="107">IF(I375&gt;0,J375*100/I375,0)</f>
        <v>100</v>
      </c>
      <c r="L375" s="189"/>
      <c r="M375" s="189"/>
      <c r="N375" s="189"/>
      <c r="O375" s="189"/>
      <c r="P375" s="189"/>
    </row>
    <row r="376" spans="1:16" ht="21.75" customHeight="1" x14ac:dyDescent="0.35">
      <c r="A376" s="183"/>
      <c r="B376" s="184"/>
      <c r="C376" s="184"/>
      <c r="D376" s="201"/>
      <c r="E376" s="203"/>
      <c r="F376" s="203"/>
      <c r="G376" s="287" t="s">
        <v>143</v>
      </c>
      <c r="H376" s="286" t="s">
        <v>122</v>
      </c>
      <c r="I376" s="195">
        <f ca="1">IFERROR(__xludf.DUMMYFUNCTION("IMPORTRANGE(""https://docs.google.com/spreadsheets/d/1IYY_tgx_IHuhSq3AJ5eI5OnqOPBNLWSHKh2a30DoXe8/edit?usp=sharing"",""ระนอง!I271"")"),0)</f>
        <v>0</v>
      </c>
      <c r="J376" s="196">
        <f ca="1">IFERROR(__xludf.DUMMYFUNCTION("IMPORTRANGE(""https://docs.google.com/spreadsheets/d/1IYY_tgx_IHuhSq3AJ5eI5OnqOPBNLWSHKh2a30DoXe8/edit?usp=sharing"",""ระนอง!J271"")"),0)</f>
        <v>0</v>
      </c>
      <c r="K376" s="169">
        <f t="shared" ca="1" si="107"/>
        <v>0</v>
      </c>
      <c r="L376" s="189"/>
      <c r="M376" s="189"/>
      <c r="N376" s="189"/>
      <c r="O376" s="189"/>
      <c r="P376" s="189"/>
    </row>
    <row r="377" spans="1:16" ht="21.75" customHeight="1" x14ac:dyDescent="0.35">
      <c r="A377" s="183"/>
      <c r="B377" s="184"/>
      <c r="C377" s="184"/>
      <c r="D377" s="201"/>
      <c r="E377" s="203"/>
      <c r="F377" s="203"/>
      <c r="G377" s="287" t="s">
        <v>144</v>
      </c>
      <c r="H377" s="286" t="s">
        <v>122</v>
      </c>
      <c r="I377" s="195">
        <f ca="1">IFERROR(__xludf.DUMMYFUNCTION("IMPORTRANGE(""https://docs.google.com/spreadsheets/d/1IYY_tgx_IHuhSq3AJ5eI5OnqOPBNLWSHKh2a30DoXe8/edit?usp=sharing"",""ระนอง!I272"")"),20)</f>
        <v>20</v>
      </c>
      <c r="J377" s="211">
        <f ca="1">IFERROR(__xludf.DUMMYFUNCTION("IMPORTRANGE(""https://docs.google.com/spreadsheets/d/1IYY_tgx_IHuhSq3AJ5eI5OnqOPBNLWSHKh2a30DoXe8/edit?usp=sharing"",""ระนอง!J272"")"),20)</f>
        <v>20</v>
      </c>
      <c r="K377" s="169">
        <f t="shared" ca="1" si="107"/>
        <v>100</v>
      </c>
      <c r="L377" s="189"/>
      <c r="M377" s="189"/>
      <c r="N377" s="189"/>
      <c r="O377" s="189"/>
      <c r="P377" s="189"/>
    </row>
    <row r="378" spans="1:16" ht="21.75" customHeight="1" x14ac:dyDescent="0.35">
      <c r="A378" s="183"/>
      <c r="B378" s="184"/>
      <c r="C378" s="184"/>
      <c r="D378" s="201"/>
      <c r="E378" s="202" t="s">
        <v>54</v>
      </c>
      <c r="F378" s="203"/>
      <c r="G378" s="204"/>
      <c r="H378" s="194"/>
      <c r="I378" s="195"/>
      <c r="J378" s="205">
        <f ca="1">IFERROR(__xludf.DUMMYFUNCTION("IMPORTRANGE(""https://docs.google.com/spreadsheets/d/1IYY_tgx_IHuhSq3AJ5eI5OnqOPBNLWSHKh2a30DoXe8/edit?usp=sharing"",""ระนอง!J273"")"),0)</f>
        <v>0</v>
      </c>
      <c r="K378" s="169"/>
      <c r="L378" s="189"/>
      <c r="M378" s="189"/>
      <c r="N378" s="189"/>
      <c r="O378" s="189"/>
      <c r="P378" s="189"/>
    </row>
    <row r="379" spans="1:16" ht="21.75" customHeight="1" x14ac:dyDescent="0.35">
      <c r="A379" s="183"/>
      <c r="B379" s="184"/>
      <c r="C379" s="184"/>
      <c r="D379" s="213">
        <v>3</v>
      </c>
      <c r="E379" s="214" t="s">
        <v>55</v>
      </c>
      <c r="F379" s="215"/>
      <c r="G379" s="216"/>
      <c r="H379" s="194"/>
      <c r="I379" s="195"/>
      <c r="J379" s="217">
        <f ca="1">IFERROR(__xludf.DUMMYFUNCTION("IMPORTRANGE(""https://docs.google.com/spreadsheets/d/1IYY_tgx_IHuhSq3AJ5eI5OnqOPBNLWSHKh2a30DoXe8/edit?usp=sharing"",""ระนอง!J274"")"),0)</f>
        <v>0</v>
      </c>
      <c r="K379" s="169"/>
      <c r="L379" s="189"/>
      <c r="M379" s="189"/>
      <c r="N379" s="189"/>
      <c r="O379" s="189"/>
      <c r="P379" s="189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IFERROR(__xludf.DUMMYFUNCTION("IMPORTRANGE(""https://docs.google.com/spreadsheets/d/1IYY_tgx_IHuhSq3AJ5eI5OnqOPBNLWSHKh2a30DoXe8/edit?usp=sharing"",""ระนอง!I275"")"),1000)</f>
        <v>1000</v>
      </c>
      <c r="J380" s="377">
        <f ca="1">IFERROR(__xludf.DUMMYFUNCTION("IMPORTRANGE(""https://docs.google.com/spreadsheets/d/1IYY_tgx_IHuhSq3AJ5eI5OnqOPBNLWSHKh2a30DoXe8/edit?usp=sharing"",""ระนอง!J275"")"),0)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IFERROR(__xludf.DUMMYFUNCTION("IMPORTRANGE(""https://docs.google.com/spreadsheets/d/1IYY_tgx_IHuhSq3AJ5eI5OnqOPBNLWSHKh2a30DoXe8/edit?usp=sharing"",""ระนอง!L275"")"),1028520)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IFERROR(__xludf.DUMMYFUNCTION("IMPORTRANGE(""https://docs.google.com/spreadsheets/d/1IYY_tgx_IHuhSq3AJ5eI5OnqOPBNLWSHKh2a30DoXe8/edit?usp=sharing"",""ระนอง!M275"")"),243450)</f>
        <v>243450</v>
      </c>
      <c r="O380" s="379">
        <f ca="1">+IF(L380&gt;0,N380*100/L380,0)</f>
        <v>23.669933496674833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IFERROR(__xludf.DUMMYFUNCTION("IMPORTRANGE(""https://docs.google.com/spreadsheets/d/1IYY_tgx_IHuhSq3AJ5eI5OnqOPBNLWSHKh2a30DoXe8/edit?usp=sharing"",""ระนอง!I276"")"),100)</f>
        <v>100</v>
      </c>
      <c r="J381" s="377">
        <f ca="1">IFERROR(__xludf.DUMMYFUNCTION("IMPORTRANGE(""https://docs.google.com/spreadsheets/d/1IYY_tgx_IHuhSq3AJ5eI5OnqOPBNLWSHKh2a30DoXe8/edit?usp=sharing"",""ระนอง!J276"")"),0)</f>
        <v>0</v>
      </c>
      <c r="K381" s="378">
        <f t="shared" ca="1" si="108"/>
        <v>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164" t="s">
        <v>38</v>
      </c>
      <c r="E382" s="165"/>
      <c r="F382" s="165"/>
      <c r="G382" s="166" t="s">
        <v>39</v>
      </c>
      <c r="H382" s="167" t="s">
        <v>12</v>
      </c>
      <c r="I382" s="168" t="s">
        <v>40</v>
      </c>
      <c r="J382" s="168"/>
      <c r="K382" s="169"/>
      <c r="L382" s="170">
        <f ca="1">IFERROR(__xludf.DUMMYFUNCTION("IMPORTRANGE(""https://docs.google.com/spreadsheets/d/1IYY_tgx_IHuhSq3AJ5eI5OnqOPBNLWSHKh2a30DoXe8/edit?usp=sharing"",""ระนอง!L277"")"),0)</f>
        <v>0</v>
      </c>
      <c r="M382" s="170"/>
      <c r="N382" s="170">
        <f ca="1">IFERROR(__xludf.DUMMYFUNCTION("IMPORTRANGE(""https://docs.google.com/spreadsheets/d/1IYY_tgx_IHuhSq3AJ5eI5OnqOPBNLWSHKh2a30DoXe8/edit?usp=sharing"",""ระนอง!M277"")"),0)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 x14ac:dyDescent="0.35">
      <c r="A383" s="162"/>
      <c r="B383" s="163"/>
      <c r="C383" s="163"/>
      <c r="D383" s="172"/>
      <c r="E383" s="165"/>
      <c r="F383" s="165" t="s">
        <v>40</v>
      </c>
      <c r="G383" s="166" t="s">
        <v>41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IFERROR(__xludf.DUMMYFUNCTION("IMPORTRANGE(""https://docs.google.com/spreadsheets/d/1IYY_tgx_IHuhSq3AJ5eI5OnqOPBNLWSHKh2a30DoXe8/edit?usp=sharing"",""ระนอง!L278"")"),1028520)</f>
        <v>1028520</v>
      </c>
      <c r="M383" s="171"/>
      <c r="N383" s="171">
        <f ca="1">IFERROR(__xludf.DUMMYFUNCTION("IMPORTRANGE(""https://docs.google.com/spreadsheets/d/1IYY_tgx_IHuhSq3AJ5eI5OnqOPBNLWSHKh2a30DoXe8/edit?usp=sharing"",""ระนอง!M278"")"),243450)</f>
        <v>243450</v>
      </c>
      <c r="O383" s="171">
        <f t="shared" ca="1" si="109"/>
        <v>23.669933496674833</v>
      </c>
      <c r="P383" s="171"/>
    </row>
    <row r="384" spans="1:16" ht="21.75" customHeight="1" x14ac:dyDescent="0.35">
      <c r="A384" s="162"/>
      <c r="B384" s="163"/>
      <c r="C384" s="163"/>
      <c r="D384" s="172"/>
      <c r="E384" s="165"/>
      <c r="F384" s="165"/>
      <c r="G384" s="380" t="s">
        <v>129</v>
      </c>
      <c r="H384" s="167" t="s">
        <v>12</v>
      </c>
      <c r="I384" s="168"/>
      <c r="J384" s="168"/>
      <c r="K384" s="169"/>
      <c r="L384" s="176">
        <f ca="1">IFERROR(__xludf.DUMMYFUNCTION("IMPORTRANGE(""https://docs.google.com/spreadsheets/d/1IYY_tgx_IHuhSq3AJ5eI5OnqOPBNLWSHKh2a30DoXe8/edit?usp=sharing"",""ระนอง!L279"")"),0)</f>
        <v>0</v>
      </c>
      <c r="M384" s="176"/>
      <c r="N384" s="176">
        <f ca="1">IFERROR(__xludf.DUMMYFUNCTION("IMPORTRANGE(""https://docs.google.com/spreadsheets/d/1IYY_tgx_IHuhSq3AJ5eI5OnqOPBNLWSHKh2a30DoXe8/edit?usp=sharing"",""ระนอง!M279"")"),0)</f>
        <v>0</v>
      </c>
      <c r="O384" s="176">
        <f t="shared" ca="1" si="109"/>
        <v>0</v>
      </c>
      <c r="P384" s="176"/>
    </row>
    <row r="385" spans="1:16" ht="21.75" customHeight="1" x14ac:dyDescent="0.35">
      <c r="A385" s="162"/>
      <c r="B385" s="163"/>
      <c r="C385" s="163"/>
      <c r="D385" s="172"/>
      <c r="E385" s="165"/>
      <c r="F385" s="165"/>
      <c r="G385" s="380" t="s">
        <v>130</v>
      </c>
      <c r="H385" s="167" t="s">
        <v>12</v>
      </c>
      <c r="I385" s="168"/>
      <c r="J385" s="168"/>
      <c r="K385" s="169"/>
      <c r="L385" s="176">
        <f ca="1">IFERROR(__xludf.DUMMYFUNCTION("IMPORTRANGE(""https://docs.google.com/spreadsheets/d/1IYY_tgx_IHuhSq3AJ5eI5OnqOPBNLWSHKh2a30DoXe8/edit?usp=sharing"",""ระนอง!L280"")"),1028520)</f>
        <v>1028520</v>
      </c>
      <c r="M385" s="176"/>
      <c r="N385" s="173">
        <f ca="1">IFERROR(__xludf.DUMMYFUNCTION("IMPORTRANGE(""https://docs.google.com/spreadsheets/d/1IYY_tgx_IHuhSq3AJ5eI5OnqOPBNLWSHKh2a30DoXe8/edit?usp=sharing"",""ระนอง!M280"")"),243450)</f>
        <v>243450</v>
      </c>
      <c r="O385" s="176">
        <f t="shared" ca="1" si="109"/>
        <v>23.669933496674833</v>
      </c>
      <c r="P385" s="176"/>
    </row>
    <row r="386" spans="1:16" ht="21.75" customHeight="1" x14ac:dyDescent="0.35">
      <c r="A386" s="381"/>
      <c r="B386" s="382"/>
      <c r="C386" s="163"/>
      <c r="D386" s="383"/>
      <c r="E386" s="165"/>
      <c r="F386" s="165"/>
      <c r="G386" s="384" t="s">
        <v>131</v>
      </c>
      <c r="H386" s="167" t="s">
        <v>12</v>
      </c>
      <c r="I386" s="195"/>
      <c r="J386" s="195"/>
      <c r="K386" s="231"/>
      <c r="L386" s="176"/>
      <c r="M386" s="176"/>
      <c r="N386" s="385">
        <f ca="1">IFERROR(__xludf.DUMMYFUNCTION("IMPORTRANGE(""https://docs.google.com/spreadsheets/d/1IYY_tgx_IHuhSq3AJ5eI5OnqOPBNLWSHKh2a30DoXe8/edit?usp=sharing"",""ระนอง!M281"")"),158280)</f>
        <v>158280</v>
      </c>
      <c r="O386" s="176"/>
      <c r="P386" s="176"/>
    </row>
    <row r="387" spans="1:16" ht="21.75" customHeight="1" x14ac:dyDescent="0.35">
      <c r="A387" s="381"/>
      <c r="B387" s="382"/>
      <c r="C387" s="163"/>
      <c r="D387" s="383"/>
      <c r="E387" s="165"/>
      <c r="F387" s="165"/>
      <c r="G387" s="384" t="s">
        <v>132</v>
      </c>
      <c r="H387" s="167" t="s">
        <v>12</v>
      </c>
      <c r="I387" s="195"/>
      <c r="J387" s="195"/>
      <c r="K387" s="231"/>
      <c r="L387" s="176"/>
      <c r="M387" s="176"/>
      <c r="N387" s="385">
        <f ca="1">IFERROR(__xludf.DUMMYFUNCTION("IMPORTRANGE(""https://docs.google.com/spreadsheets/d/1IYY_tgx_IHuhSq3AJ5eI5OnqOPBNLWSHKh2a30DoXe8/edit?usp=sharing"",""ระนอง!M282"")"),0)</f>
        <v>0</v>
      </c>
      <c r="O387" s="176"/>
      <c r="P387" s="176"/>
    </row>
    <row r="388" spans="1:16" ht="21.75" customHeight="1" x14ac:dyDescent="0.35">
      <c r="A388" s="381"/>
      <c r="B388" s="382"/>
      <c r="C388" s="163"/>
      <c r="D388" s="383"/>
      <c r="E388" s="165"/>
      <c r="F388" s="165"/>
      <c r="G388" s="384" t="s">
        <v>133</v>
      </c>
      <c r="H388" s="167" t="s">
        <v>12</v>
      </c>
      <c r="I388" s="195"/>
      <c r="J388" s="195"/>
      <c r="K388" s="231"/>
      <c r="L388" s="176"/>
      <c r="M388" s="176"/>
      <c r="N388" s="385">
        <f ca="1">IFERROR(__xludf.DUMMYFUNCTION("IMPORTRANGE(""https://docs.google.com/spreadsheets/d/1IYY_tgx_IHuhSq3AJ5eI5OnqOPBNLWSHKh2a30DoXe8/edit?usp=sharing"",""ระนอง!M283"")"),53900)</f>
        <v>53900</v>
      </c>
      <c r="O388" s="176"/>
      <c r="P388" s="176"/>
    </row>
    <row r="389" spans="1:16" ht="21.75" customHeight="1" x14ac:dyDescent="0.35">
      <c r="A389" s="381"/>
      <c r="B389" s="382"/>
      <c r="C389" s="163"/>
      <c r="D389" s="383"/>
      <c r="E389" s="165"/>
      <c r="F389" s="165"/>
      <c r="G389" s="384" t="s">
        <v>134</v>
      </c>
      <c r="H389" s="167" t="s">
        <v>12</v>
      </c>
      <c r="I389" s="195"/>
      <c r="J389" s="195"/>
      <c r="K389" s="231"/>
      <c r="L389" s="176"/>
      <c r="M389" s="176"/>
      <c r="N389" s="385">
        <f ca="1">IFERROR(__xludf.DUMMYFUNCTION("IMPORTRANGE(""https://docs.google.com/spreadsheets/d/1IYY_tgx_IHuhSq3AJ5eI5OnqOPBNLWSHKh2a30DoXe8/edit?usp=sharing"",""ระนอง!M284"")"),31270)</f>
        <v>31270</v>
      </c>
      <c r="O389" s="176"/>
      <c r="P389" s="176"/>
    </row>
    <row r="390" spans="1:16" ht="21.75" customHeight="1" x14ac:dyDescent="0.35">
      <c r="A390" s="183"/>
      <c r="B390" s="184"/>
      <c r="C390" s="163" t="s">
        <v>16</v>
      </c>
      <c r="D390" s="185" t="s">
        <v>44</v>
      </c>
      <c r="E390" s="186"/>
      <c r="F390" s="186"/>
      <c r="G390" s="187"/>
      <c r="H390" s="188"/>
      <c r="I390" s="168"/>
      <c r="J390" s="168"/>
      <c r="K390" s="169"/>
      <c r="L390" s="189"/>
      <c r="M390" s="189"/>
      <c r="N390" s="189"/>
      <c r="O390" s="189"/>
      <c r="P390" s="189"/>
    </row>
    <row r="391" spans="1:16" ht="21.75" customHeight="1" x14ac:dyDescent="0.35">
      <c r="A391" s="183"/>
      <c r="B391" s="184"/>
      <c r="C391" s="184"/>
      <c r="D391" s="190">
        <v>1</v>
      </c>
      <c r="E391" s="191" t="s">
        <v>45</v>
      </c>
      <c r="F391" s="192"/>
      <c r="G391" s="193"/>
      <c r="H391" s="194"/>
      <c r="I391" s="195"/>
      <c r="J391" s="205">
        <f ca="1">IFERROR(__xludf.DUMMYFUNCTION("IMPORTRANGE(""https://docs.google.com/spreadsheets/d/1IYY_tgx_IHuhSq3AJ5eI5OnqOPBNLWSHKh2a30DoXe8/edit?usp=sharing"",""ระนอง!J286"")"),0)</f>
        <v>0</v>
      </c>
      <c r="K391" s="169"/>
      <c r="L391" s="189"/>
      <c r="M391" s="189"/>
      <c r="N391" s="189"/>
      <c r="O391" s="189"/>
      <c r="P391" s="189"/>
    </row>
    <row r="392" spans="1:16" ht="21.75" customHeight="1" x14ac:dyDescent="0.35">
      <c r="A392" s="183"/>
      <c r="B392" s="184"/>
      <c r="C392" s="184"/>
      <c r="D392" s="197">
        <v>2</v>
      </c>
      <c r="E392" s="198" t="s">
        <v>46</v>
      </c>
      <c r="F392" s="199"/>
      <c r="G392" s="200"/>
      <c r="H392" s="194"/>
      <c r="I392" s="195"/>
      <c r="J392" s="196">
        <f ca="1">IFERROR(__xludf.DUMMYFUNCTION("IMPORTRANGE(""https://docs.google.com/spreadsheets/d/1IYY_tgx_IHuhSq3AJ5eI5OnqOPBNLWSHKh2a30DoXe8/edit?usp=sharing"",""ระนอง!J287"")"),1)</f>
        <v>1</v>
      </c>
      <c r="K392" s="169"/>
      <c r="L392" s="189" t="s">
        <v>40</v>
      </c>
      <c r="M392" s="189"/>
      <c r="N392" s="189" t="s">
        <v>40</v>
      </c>
      <c r="O392" s="189"/>
      <c r="P392" s="189"/>
    </row>
    <row r="393" spans="1:16" ht="21.75" customHeight="1" x14ac:dyDescent="0.35">
      <c r="A393" s="183"/>
      <c r="B393" s="184"/>
      <c r="C393" s="184"/>
      <c r="D393" s="201"/>
      <c r="E393" s="202" t="s">
        <v>47</v>
      </c>
      <c r="F393" s="203"/>
      <c r="G393" s="204"/>
      <c r="H393" s="194"/>
      <c r="I393" s="195"/>
      <c r="J393" s="196">
        <f ca="1">IFERROR(__xludf.DUMMYFUNCTION("IMPORTRANGE(""https://docs.google.com/spreadsheets/d/1IYY_tgx_IHuhSq3AJ5eI5OnqOPBNLWSHKh2a30DoXe8/edit?usp=sharing"",""ระนอง!J288"")"),1)</f>
        <v>1</v>
      </c>
      <c r="K393" s="169"/>
      <c r="L393" s="189"/>
      <c r="M393" s="189"/>
      <c r="N393" s="189"/>
      <c r="O393" s="189"/>
      <c r="P393" s="189"/>
    </row>
    <row r="394" spans="1:16" ht="21.75" customHeight="1" x14ac:dyDescent="0.35">
      <c r="A394" s="183"/>
      <c r="B394" s="184"/>
      <c r="C394" s="184"/>
      <c r="D394" s="201"/>
      <c r="E394" s="202" t="s">
        <v>48</v>
      </c>
      <c r="F394" s="203"/>
      <c r="G394" s="204"/>
      <c r="H394" s="194"/>
      <c r="I394" s="195"/>
      <c r="J394" s="205">
        <f ca="1">IFERROR(__xludf.DUMMYFUNCTION("IMPORTRANGE(""https://docs.google.com/spreadsheets/d/1IYY_tgx_IHuhSq3AJ5eI5OnqOPBNLWSHKh2a30DoXe8/edit?usp=sharing"",""ระนอง!J289"")"),1)</f>
        <v>1</v>
      </c>
      <c r="K394" s="169"/>
      <c r="L394" s="189"/>
      <c r="M394" s="189"/>
      <c r="N394" s="189"/>
      <c r="O394" s="189"/>
      <c r="P394" s="189"/>
    </row>
    <row r="395" spans="1:16" ht="21.75" customHeight="1" x14ac:dyDescent="0.35">
      <c r="A395" s="183"/>
      <c r="B395" s="184"/>
      <c r="C395" s="184"/>
      <c r="D395" s="201"/>
      <c r="E395" s="206"/>
      <c r="F395" s="202" t="s">
        <v>146</v>
      </c>
      <c r="G395" s="203"/>
      <c r="H395" s="194"/>
      <c r="I395" s="195"/>
      <c r="J395" s="195"/>
      <c r="K395" s="169"/>
      <c r="L395" s="189"/>
      <c r="M395" s="189"/>
      <c r="N395" s="189"/>
      <c r="O395" s="189"/>
      <c r="P395" s="189"/>
    </row>
    <row r="396" spans="1:16" ht="21.75" customHeight="1" x14ac:dyDescent="0.35">
      <c r="A396" s="183"/>
      <c r="B396" s="184"/>
      <c r="C396" s="184"/>
      <c r="D396" s="201"/>
      <c r="E396" s="206"/>
      <c r="F396" s="203"/>
      <c r="G396" s="299" t="s">
        <v>70</v>
      </c>
      <c r="H396" s="194" t="s">
        <v>37</v>
      </c>
      <c r="I396" s="195">
        <f ca="1">IFERROR(__xludf.DUMMYFUNCTION("IMPORTRANGE(""https://docs.google.com/spreadsheets/d/1IYY_tgx_IHuhSq3AJ5eI5OnqOPBNLWSHKh2a30DoXe8/edit?usp=sharing"",""ระนอง!I291"")"),100)</f>
        <v>100</v>
      </c>
      <c r="J396" s="205">
        <f ca="1">IFERROR(__xludf.DUMMYFUNCTION("IMPORTRANGE(""https://docs.google.com/spreadsheets/d/1IYY_tgx_IHuhSq3AJ5eI5OnqOPBNLWSHKh2a30DoXe8/edit?usp=sharing"",""ระนอง!J291"")"),0)</f>
        <v>0</v>
      </c>
      <c r="K396" s="169">
        <f t="shared" ref="K396:K398" ca="1" si="110">IF(I396&gt;0,J396*100/I396,0)</f>
        <v>0</v>
      </c>
      <c r="L396" s="189"/>
      <c r="M396" s="189"/>
      <c r="N396" s="189"/>
      <c r="O396" s="189"/>
      <c r="P396" s="189"/>
    </row>
    <row r="397" spans="1:16" ht="21.75" customHeight="1" x14ac:dyDescent="0.35">
      <c r="A397" s="183"/>
      <c r="B397" s="184"/>
      <c r="C397" s="184"/>
      <c r="D397" s="201"/>
      <c r="E397" s="206"/>
      <c r="F397" s="203"/>
      <c r="G397" s="204" t="s">
        <v>53</v>
      </c>
      <c r="H397" s="194" t="s">
        <v>122</v>
      </c>
      <c r="I397" s="195">
        <f ca="1">IFERROR(__xludf.DUMMYFUNCTION("IMPORTRANGE(""https://docs.google.com/spreadsheets/d/1IYY_tgx_IHuhSq3AJ5eI5OnqOPBNLWSHKh2a30DoXe8/edit?usp=sharing"",""ระนอง!I292"")"),1000)</f>
        <v>1000</v>
      </c>
      <c r="J397" s="205">
        <f ca="1">IFERROR(__xludf.DUMMYFUNCTION("IMPORTRANGE(""https://docs.google.com/spreadsheets/d/1IYY_tgx_IHuhSq3AJ5eI5OnqOPBNLWSHKh2a30DoXe8/edit?usp=sharing"",""ระนอง!J292"")"),0)</f>
        <v>0</v>
      </c>
      <c r="K397" s="169">
        <f t="shared" ca="1" si="110"/>
        <v>0</v>
      </c>
      <c r="L397" s="189"/>
      <c r="M397" s="189"/>
      <c r="N397" s="189"/>
      <c r="O397" s="189"/>
      <c r="P397" s="189"/>
    </row>
    <row r="398" spans="1:16" ht="21.75" customHeight="1" x14ac:dyDescent="0.35">
      <c r="A398" s="183"/>
      <c r="B398" s="184"/>
      <c r="C398" s="184"/>
      <c r="D398" s="201"/>
      <c r="E398" s="206"/>
      <c r="F398" s="203"/>
      <c r="G398" s="204"/>
      <c r="H398" s="194" t="s">
        <v>37</v>
      </c>
      <c r="I398" s="195">
        <f ca="1">IFERROR(__xludf.DUMMYFUNCTION("IMPORTRANGE(""https://docs.google.com/spreadsheets/d/1IYY_tgx_IHuhSq3AJ5eI5OnqOPBNLWSHKh2a30DoXe8/edit?usp=sharing"",""ระนอง!I293"")"),100)</f>
        <v>100</v>
      </c>
      <c r="J398" s="205">
        <f ca="1">IFERROR(__xludf.DUMMYFUNCTION("IMPORTRANGE(""https://docs.google.com/spreadsheets/d/1IYY_tgx_IHuhSq3AJ5eI5OnqOPBNLWSHKh2a30DoXe8/edit?usp=sharing"",""ระนอง!J293"")"),0)</f>
        <v>0</v>
      </c>
      <c r="K398" s="169">
        <f t="shared" ca="1" si="110"/>
        <v>0</v>
      </c>
      <c r="L398" s="189"/>
      <c r="M398" s="189"/>
      <c r="N398" s="189"/>
      <c r="O398" s="189"/>
      <c r="P398" s="189"/>
    </row>
    <row r="399" spans="1:16" ht="21.75" customHeight="1" x14ac:dyDescent="0.35">
      <c r="A399" s="183"/>
      <c r="B399" s="184"/>
      <c r="C399" s="184"/>
      <c r="D399" s="201"/>
      <c r="E399" s="202" t="s">
        <v>54</v>
      </c>
      <c r="F399" s="203"/>
      <c r="G399" s="204"/>
      <c r="H399" s="194"/>
      <c r="I399" s="195"/>
      <c r="J399" s="205">
        <f ca="1">IFERROR(__xludf.DUMMYFUNCTION("IMPORTRANGE(""https://docs.google.com/spreadsheets/d/1IYY_tgx_IHuhSq3AJ5eI5OnqOPBNLWSHKh2a30DoXe8/edit?usp=sharing"",""ระนอง!J294"")"),0)</f>
        <v>0</v>
      </c>
      <c r="K399" s="169"/>
      <c r="L399" s="189"/>
      <c r="M399" s="189"/>
      <c r="N399" s="189"/>
      <c r="O399" s="189"/>
      <c r="P399" s="189"/>
    </row>
    <row r="400" spans="1:16" ht="21.75" customHeight="1" x14ac:dyDescent="0.35">
      <c r="A400" s="183"/>
      <c r="B400" s="184"/>
      <c r="C400" s="184"/>
      <c r="D400" s="213">
        <v>3</v>
      </c>
      <c r="E400" s="214" t="s">
        <v>55</v>
      </c>
      <c r="F400" s="215"/>
      <c r="G400" s="216"/>
      <c r="H400" s="194"/>
      <c r="I400" s="195"/>
      <c r="J400" s="217">
        <f ca="1">IFERROR(__xludf.DUMMYFUNCTION("IMPORTRANGE(""https://docs.google.com/spreadsheets/d/1IYY_tgx_IHuhSq3AJ5eI5OnqOPBNLWSHKh2a30DoXe8/edit?usp=sharing"",""ระนอง!J295"")"),0)</f>
        <v>0</v>
      </c>
      <c r="K400" s="169"/>
      <c r="L400" s="189"/>
      <c r="M400" s="189"/>
      <c r="N400" s="189"/>
      <c r="O400" s="189"/>
      <c r="P400" s="189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IFERROR(__xludf.DUMMYFUNCTION("IMPORTRANGE(""https://docs.google.com/spreadsheets/d/1IYY_tgx_IHuhSq3AJ5eI5OnqOPBNLWSHKh2a30DoXe8/edit?usp=sharing"",""ระนอง!I296"")"),165)</f>
        <v>165</v>
      </c>
      <c r="J401" s="377">
        <f ca="1">IFERROR(__xludf.DUMMYFUNCTION("IMPORTRANGE(""https://docs.google.com/spreadsheets/d/1IYY_tgx_IHuhSq3AJ5eI5OnqOPBNLWSHKh2a30DoXe8/edit?usp=sharing"",""ระนอง!J296"")"),165)</f>
        <v>165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IFERROR(__xludf.DUMMYFUNCTION("IMPORTRANGE(""https://docs.google.com/spreadsheets/d/1IYY_tgx_IHuhSq3AJ5eI5OnqOPBNLWSHKh2a30DoXe8/edit?usp=sharing"",""ระนอง!L296"")"),172190)</f>
        <v>172190</v>
      </c>
      <c r="M401" s="379"/>
      <c r="N401" s="379">
        <f ca="1">IFERROR(__xludf.DUMMYFUNCTION("IMPORTRANGE(""https://docs.google.com/spreadsheets/d/1IYY_tgx_IHuhSq3AJ5eI5OnqOPBNLWSHKh2a30DoXe8/edit?usp=sharing"",""ระนอง!M296"")"),88890)</f>
        <v>88890</v>
      </c>
      <c r="O401" s="379">
        <f ca="1">+IF(L401&gt;0,N401*100/L401,0)</f>
        <v>51.623206922585517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IFERROR(__xludf.DUMMYFUNCTION("IMPORTRANGE(""https://docs.google.com/spreadsheets/d/1IYY_tgx_IHuhSq3AJ5eI5OnqOPBNLWSHKh2a30DoXe8/edit?usp=sharing"",""ระนอง!I297"")"),55)</f>
        <v>55</v>
      </c>
      <c r="J402" s="377">
        <f ca="1">IFERROR(__xludf.DUMMYFUNCTION("IMPORTRANGE(""https://docs.google.com/spreadsheets/d/1IYY_tgx_IHuhSq3AJ5eI5OnqOPBNLWSHKh2a30DoXe8/edit?usp=sharing"",""ระนอง!J297"")"),55)</f>
        <v>55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164" t="s">
        <v>38</v>
      </c>
      <c r="E403" s="165"/>
      <c r="F403" s="165"/>
      <c r="G403" s="166" t="s">
        <v>39</v>
      </c>
      <c r="H403" s="167" t="s">
        <v>12</v>
      </c>
      <c r="I403" s="168" t="s">
        <v>40</v>
      </c>
      <c r="J403" s="168"/>
      <c r="K403" s="169"/>
      <c r="L403" s="170">
        <f ca="1">IFERROR(__xludf.DUMMYFUNCTION("IMPORTRANGE(""https://docs.google.com/spreadsheets/d/1IYY_tgx_IHuhSq3AJ5eI5OnqOPBNLWSHKh2a30DoXe8/edit?usp=sharing"",""ระนอง!L298"")"),0)</f>
        <v>0</v>
      </c>
      <c r="M403" s="170"/>
      <c r="N403" s="176">
        <f ca="1">IFERROR(__xludf.DUMMYFUNCTION("IMPORTRANGE(""https://docs.google.com/spreadsheets/d/1IYY_tgx_IHuhSq3AJ5eI5OnqOPBNLWSHKh2a30DoXe8/edit?usp=sharing"",""ระนอง!M298"")"),0)</f>
        <v>0</v>
      </c>
      <c r="O403" s="176">
        <f t="shared" ref="O403:O406" ca="1" si="112">+IF(L403&gt;0,N403*100/L403,0)</f>
        <v>0</v>
      </c>
      <c r="P403" s="176"/>
    </row>
    <row r="404" spans="1:16" ht="21.75" customHeight="1" x14ac:dyDescent="0.35">
      <c r="A404" s="162"/>
      <c r="B404" s="163"/>
      <c r="C404" s="163"/>
      <c r="D404" s="172"/>
      <c r="E404" s="165"/>
      <c r="F404" s="165" t="s">
        <v>40</v>
      </c>
      <c r="G404" s="166" t="s">
        <v>41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IFERROR(__xludf.DUMMYFUNCTION("IMPORTRANGE(""https://docs.google.com/spreadsheets/d/1IYY_tgx_IHuhSq3AJ5eI5OnqOPBNLWSHKh2a30DoXe8/edit?usp=sharing"",""ระนอง!L299"")"),172190)</f>
        <v>172190</v>
      </c>
      <c r="M404" s="171"/>
      <c r="N404" s="176">
        <f ca="1">IFERROR(__xludf.DUMMYFUNCTION("IMPORTRANGE(""https://docs.google.com/spreadsheets/d/1IYY_tgx_IHuhSq3AJ5eI5OnqOPBNLWSHKh2a30DoXe8/edit?usp=sharing"",""ระนอง!M299"")"),88890)</f>
        <v>88890</v>
      </c>
      <c r="O404" s="176">
        <f t="shared" ca="1" si="112"/>
        <v>51.623206922585517</v>
      </c>
      <c r="P404" s="176"/>
    </row>
    <row r="405" spans="1:16" ht="21.75" customHeight="1" x14ac:dyDescent="0.35">
      <c r="A405" s="162"/>
      <c r="B405" s="163"/>
      <c r="C405" s="163"/>
      <c r="D405" s="172"/>
      <c r="E405" s="165"/>
      <c r="F405" s="165"/>
      <c r="G405" s="380" t="s">
        <v>129</v>
      </c>
      <c r="H405" s="167" t="s">
        <v>12</v>
      </c>
      <c r="I405" s="168"/>
      <c r="J405" s="168"/>
      <c r="K405" s="169"/>
      <c r="L405" s="176">
        <f ca="1">IFERROR(__xludf.DUMMYFUNCTION("IMPORTRANGE(""https://docs.google.com/spreadsheets/d/1IYY_tgx_IHuhSq3AJ5eI5OnqOPBNLWSHKh2a30DoXe8/edit?usp=sharing"",""ระนอง!L300"")"),0)</f>
        <v>0</v>
      </c>
      <c r="M405" s="176"/>
      <c r="N405" s="176">
        <f ca="1">IFERROR(__xludf.DUMMYFUNCTION("IMPORTRANGE(""https://docs.google.com/spreadsheets/d/1IYY_tgx_IHuhSq3AJ5eI5OnqOPBNLWSHKh2a30DoXe8/edit?usp=sharing"",""ระนอง!M300"")"),0)</f>
        <v>0</v>
      </c>
      <c r="O405" s="176">
        <f t="shared" ca="1" si="112"/>
        <v>0</v>
      </c>
      <c r="P405" s="176"/>
    </row>
    <row r="406" spans="1:16" ht="21.75" customHeight="1" x14ac:dyDescent="0.35">
      <c r="A406" s="162"/>
      <c r="B406" s="163"/>
      <c r="C406" s="163"/>
      <c r="D406" s="172"/>
      <c r="E406" s="165"/>
      <c r="F406" s="165"/>
      <c r="G406" s="380" t="s">
        <v>130</v>
      </c>
      <c r="H406" s="167" t="s">
        <v>12</v>
      </c>
      <c r="I406" s="168"/>
      <c r="J406" s="168"/>
      <c r="K406" s="169"/>
      <c r="L406" s="176">
        <f ca="1">IFERROR(__xludf.DUMMYFUNCTION("IMPORTRANGE(""https://docs.google.com/spreadsheets/d/1IYY_tgx_IHuhSq3AJ5eI5OnqOPBNLWSHKh2a30DoXe8/edit?usp=sharing"",""ระนอง!L301"")"),172190)</f>
        <v>172190</v>
      </c>
      <c r="M406" s="176"/>
      <c r="N406" s="176">
        <f ca="1">IFERROR(__xludf.DUMMYFUNCTION("IMPORTRANGE(""https://docs.google.com/spreadsheets/d/1IYY_tgx_IHuhSq3AJ5eI5OnqOPBNLWSHKh2a30DoXe8/edit?usp=sharing"",""ระนอง!M301"")"),88890)</f>
        <v>88890</v>
      </c>
      <c r="O406" s="176">
        <f t="shared" ca="1" si="112"/>
        <v>51.623206922585517</v>
      </c>
      <c r="P406" s="176"/>
    </row>
    <row r="407" spans="1:16" ht="21.75" customHeight="1" x14ac:dyDescent="0.35">
      <c r="A407" s="381"/>
      <c r="B407" s="382"/>
      <c r="C407" s="163"/>
      <c r="D407" s="383"/>
      <c r="E407" s="165"/>
      <c r="F407" s="165"/>
      <c r="G407" s="384" t="s">
        <v>131</v>
      </c>
      <c r="H407" s="167" t="s">
        <v>12</v>
      </c>
      <c r="I407" s="195"/>
      <c r="J407" s="195"/>
      <c r="K407" s="231"/>
      <c r="L407" s="176"/>
      <c r="M407" s="176"/>
      <c r="N407" s="385">
        <f ca="1">IFERROR(__xludf.DUMMYFUNCTION("IMPORTRANGE(""https://docs.google.com/spreadsheets/d/1IYY_tgx_IHuhSq3AJ5eI5OnqOPBNLWSHKh2a30DoXe8/edit?usp=sharing"",""ระนอง!M302"")"),63150)</f>
        <v>63150</v>
      </c>
      <c r="O407" s="176"/>
      <c r="P407" s="176"/>
    </row>
    <row r="408" spans="1:16" ht="21.75" customHeight="1" x14ac:dyDescent="0.35">
      <c r="A408" s="381"/>
      <c r="B408" s="382"/>
      <c r="C408" s="163"/>
      <c r="D408" s="383"/>
      <c r="E408" s="165"/>
      <c r="F408" s="165"/>
      <c r="G408" s="384" t="s">
        <v>132</v>
      </c>
      <c r="H408" s="167" t="s">
        <v>12</v>
      </c>
      <c r="I408" s="195"/>
      <c r="J408" s="195"/>
      <c r="K408" s="231"/>
      <c r="L408" s="176"/>
      <c r="M408" s="176"/>
      <c r="N408" s="385">
        <f ca="1">IFERROR(__xludf.DUMMYFUNCTION("IMPORTRANGE(""https://docs.google.com/spreadsheets/d/1IYY_tgx_IHuhSq3AJ5eI5OnqOPBNLWSHKh2a30DoXe8/edit?usp=sharing"",""ระนอง!M303"")"),15000)</f>
        <v>15000</v>
      </c>
      <c r="O408" s="176"/>
      <c r="P408" s="176"/>
    </row>
    <row r="409" spans="1:16" ht="21.75" customHeight="1" x14ac:dyDescent="0.35">
      <c r="A409" s="381"/>
      <c r="B409" s="382"/>
      <c r="C409" s="163"/>
      <c r="D409" s="383"/>
      <c r="E409" s="165"/>
      <c r="F409" s="165"/>
      <c r="G409" s="384" t="s">
        <v>133</v>
      </c>
      <c r="H409" s="167" t="s">
        <v>12</v>
      </c>
      <c r="I409" s="195"/>
      <c r="J409" s="195"/>
      <c r="K409" s="231"/>
      <c r="L409" s="176"/>
      <c r="M409" s="176"/>
      <c r="N409" s="385">
        <f ca="1">IFERROR(__xludf.DUMMYFUNCTION("IMPORTRANGE(""https://docs.google.com/spreadsheets/d/1IYY_tgx_IHuhSq3AJ5eI5OnqOPBNLWSHKh2a30DoXe8/edit?usp=sharing"",""ระนอง!M304"")"),0)</f>
        <v>0</v>
      </c>
      <c r="O409" s="176"/>
      <c r="P409" s="176"/>
    </row>
    <row r="410" spans="1:16" ht="21.75" customHeight="1" x14ac:dyDescent="0.35">
      <c r="A410" s="381"/>
      <c r="B410" s="382"/>
      <c r="C410" s="163"/>
      <c r="D410" s="383"/>
      <c r="E410" s="165"/>
      <c r="F410" s="165"/>
      <c r="G410" s="384" t="s">
        <v>134</v>
      </c>
      <c r="H410" s="167" t="s">
        <v>12</v>
      </c>
      <c r="I410" s="195"/>
      <c r="J410" s="195"/>
      <c r="K410" s="231"/>
      <c r="L410" s="176"/>
      <c r="M410" s="176"/>
      <c r="N410" s="385">
        <f ca="1">IFERROR(__xludf.DUMMYFUNCTION("IMPORTRANGE(""https://docs.google.com/spreadsheets/d/1IYY_tgx_IHuhSq3AJ5eI5OnqOPBNLWSHKh2a30DoXe8/edit?usp=sharing"",""ระนอง!M305"")"),10740)</f>
        <v>10740</v>
      </c>
      <c r="O410" s="176"/>
      <c r="P410" s="176"/>
    </row>
    <row r="411" spans="1:16" ht="21.75" customHeight="1" x14ac:dyDescent="0.35">
      <c r="A411" s="183"/>
      <c r="B411" s="184"/>
      <c r="C411" s="163" t="s">
        <v>16</v>
      </c>
      <c r="D411" s="185" t="s">
        <v>44</v>
      </c>
      <c r="E411" s="186"/>
      <c r="F411" s="186"/>
      <c r="G411" s="187"/>
      <c r="H411" s="188"/>
      <c r="I411" s="168"/>
      <c r="J411" s="168"/>
      <c r="K411" s="169"/>
      <c r="L411" s="189"/>
      <c r="M411" s="189"/>
      <c r="N411" s="189"/>
      <c r="O411" s="189"/>
      <c r="P411" s="189"/>
    </row>
    <row r="412" spans="1:16" ht="21.75" customHeight="1" x14ac:dyDescent="0.35">
      <c r="A412" s="183"/>
      <c r="B412" s="184"/>
      <c r="C412" s="184"/>
      <c r="D412" s="190">
        <v>1</v>
      </c>
      <c r="E412" s="191" t="s">
        <v>45</v>
      </c>
      <c r="F412" s="192"/>
      <c r="G412" s="193"/>
      <c r="H412" s="194"/>
      <c r="I412" s="195"/>
      <c r="J412" s="205">
        <f ca="1">IFERROR(__xludf.DUMMYFUNCTION("IMPORTRANGE(""https://docs.google.com/spreadsheets/d/1IYY_tgx_IHuhSq3AJ5eI5OnqOPBNLWSHKh2a30DoXe8/edit?usp=sharing"",""ระนอง!J307"")"),0)</f>
        <v>0</v>
      </c>
      <c r="K412" s="169"/>
      <c r="L412" s="189"/>
      <c r="M412" s="189"/>
      <c r="N412" s="189"/>
      <c r="O412" s="189"/>
      <c r="P412" s="189"/>
    </row>
    <row r="413" spans="1:16" ht="21.75" customHeight="1" x14ac:dyDescent="0.35">
      <c r="A413" s="183"/>
      <c r="B413" s="184"/>
      <c r="C413" s="184"/>
      <c r="D413" s="197">
        <v>2</v>
      </c>
      <c r="E413" s="198" t="s">
        <v>46</v>
      </c>
      <c r="F413" s="199"/>
      <c r="G413" s="200"/>
      <c r="H413" s="194"/>
      <c r="I413" s="195"/>
      <c r="J413" s="196">
        <f ca="1">IFERROR(__xludf.DUMMYFUNCTION("IMPORTRANGE(""https://docs.google.com/spreadsheets/d/1IYY_tgx_IHuhSq3AJ5eI5OnqOPBNLWSHKh2a30DoXe8/edit?usp=sharing"",""ระนอง!J308"")"),1)</f>
        <v>1</v>
      </c>
      <c r="K413" s="169"/>
      <c r="L413" s="189" t="s">
        <v>40</v>
      </c>
      <c r="M413" s="189"/>
      <c r="N413" s="189" t="s">
        <v>40</v>
      </c>
      <c r="O413" s="189"/>
      <c r="P413" s="189"/>
    </row>
    <row r="414" spans="1:16" ht="21.75" customHeight="1" x14ac:dyDescent="0.35">
      <c r="A414" s="183"/>
      <c r="B414" s="184"/>
      <c r="C414" s="184"/>
      <c r="D414" s="201"/>
      <c r="E414" s="202" t="s">
        <v>47</v>
      </c>
      <c r="F414" s="203"/>
      <c r="G414" s="204"/>
      <c r="H414" s="194"/>
      <c r="I414" s="195"/>
      <c r="J414" s="196">
        <f ca="1">IFERROR(__xludf.DUMMYFUNCTION("IMPORTRANGE(""https://docs.google.com/spreadsheets/d/1IYY_tgx_IHuhSq3AJ5eI5OnqOPBNLWSHKh2a30DoXe8/edit?usp=sharing"",""ระนอง!J309"")"),1)</f>
        <v>1</v>
      </c>
      <c r="K414" s="169"/>
      <c r="L414" s="189"/>
      <c r="M414" s="189"/>
      <c r="N414" s="189"/>
      <c r="O414" s="189"/>
      <c r="P414" s="189"/>
    </row>
    <row r="415" spans="1:16" ht="21.75" customHeight="1" x14ac:dyDescent="0.35">
      <c r="A415" s="183"/>
      <c r="B415" s="184"/>
      <c r="C415" s="184"/>
      <c r="D415" s="201"/>
      <c r="E415" s="202" t="s">
        <v>48</v>
      </c>
      <c r="F415" s="203"/>
      <c r="G415" s="204"/>
      <c r="H415" s="194"/>
      <c r="I415" s="195"/>
      <c r="J415" s="205">
        <f ca="1">IFERROR(__xludf.DUMMYFUNCTION("IMPORTRANGE(""https://docs.google.com/spreadsheets/d/1IYY_tgx_IHuhSq3AJ5eI5OnqOPBNLWSHKh2a30DoXe8/edit?usp=sharing"",""ระนอง!J310"")"),1)</f>
        <v>1</v>
      </c>
      <c r="K415" s="169"/>
      <c r="L415" s="189"/>
      <c r="M415" s="189"/>
      <c r="N415" s="189"/>
      <c r="O415" s="189"/>
      <c r="P415" s="189"/>
    </row>
    <row r="416" spans="1:16" ht="21.75" customHeight="1" x14ac:dyDescent="0.35">
      <c r="A416" s="183"/>
      <c r="B416" s="184"/>
      <c r="C416" s="184"/>
      <c r="D416" s="201"/>
      <c r="E416" s="206"/>
      <c r="F416" s="202" t="s">
        <v>70</v>
      </c>
      <c r="G416" s="394"/>
      <c r="H416" s="395" t="s">
        <v>37</v>
      </c>
      <c r="I416" s="208">
        <f ca="1">IFERROR(__xludf.DUMMYFUNCTION("IMPORTRANGE(""https://docs.google.com/spreadsheets/d/1IYY_tgx_IHuhSq3AJ5eI5OnqOPBNLWSHKh2a30DoXe8/edit?usp=sharing"",""ระนอง!I311"")"),55)</f>
        <v>55</v>
      </c>
      <c r="J416" s="208">
        <f ca="1">IFERROR(__xludf.DUMMYFUNCTION("IMPORTRANGE(""https://docs.google.com/spreadsheets/d/1IYY_tgx_IHuhSq3AJ5eI5OnqOPBNLWSHKh2a30DoXe8/edit?usp=sharing"",""ระนอง!J311"")"),55)</f>
        <v>55</v>
      </c>
      <c r="K416" s="209">
        <f t="shared" ref="K416:K432" ca="1" si="113">IF(I416&gt;0,J416*100/I416,0)</f>
        <v>100</v>
      </c>
      <c r="L416" s="189"/>
      <c r="M416" s="189"/>
      <c r="N416" s="189"/>
      <c r="O416" s="189"/>
      <c r="P416" s="189"/>
    </row>
    <row r="417" spans="1:16" ht="21.75" customHeight="1" x14ac:dyDescent="0.45">
      <c r="A417" s="183"/>
      <c r="B417" s="184"/>
      <c r="C417" s="184"/>
      <c r="D417" s="201"/>
      <c r="E417" s="206"/>
      <c r="F417" s="396" t="s">
        <v>148</v>
      </c>
      <c r="G417" s="204"/>
      <c r="H417" s="207" t="s">
        <v>37</v>
      </c>
      <c r="I417" s="397">
        <f ca="1">IFERROR(__xludf.DUMMYFUNCTION("IMPORTRANGE(""https://docs.google.com/spreadsheets/d/1IYY_tgx_IHuhSq3AJ5eI5OnqOPBNLWSHKh2a30DoXe8/edit?usp=sharing"",""ระนอง!I312"")"),10)</f>
        <v>10</v>
      </c>
      <c r="J417" s="398">
        <f ca="1">IFERROR(__xludf.DUMMYFUNCTION("IMPORTRANGE(""https://docs.google.com/spreadsheets/d/1IYY_tgx_IHuhSq3AJ5eI5OnqOPBNLWSHKh2a30DoXe8/edit?usp=sharing"",""ระนอง!J312"")"),10)</f>
        <v>10</v>
      </c>
      <c r="K417" s="209">
        <f t="shared" ca="1" si="113"/>
        <v>100</v>
      </c>
      <c r="L417" s="189"/>
      <c r="M417" s="189"/>
      <c r="N417" s="189"/>
      <c r="O417" s="189"/>
      <c r="P417" s="189"/>
    </row>
    <row r="418" spans="1:16" ht="21.75" customHeight="1" x14ac:dyDescent="0.45">
      <c r="A418" s="183"/>
      <c r="B418" s="184"/>
      <c r="C418" s="184"/>
      <c r="D418" s="201"/>
      <c r="E418" s="206"/>
      <c r="F418" s="203"/>
      <c r="G418" s="204"/>
      <c r="H418" s="207" t="s">
        <v>122</v>
      </c>
      <c r="I418" s="397">
        <f ca="1">IFERROR(__xludf.DUMMYFUNCTION("IMPORTRANGE(""https://docs.google.com/spreadsheets/d/1IYY_tgx_IHuhSq3AJ5eI5OnqOPBNLWSHKh2a30DoXe8/edit?usp=sharing"",""ระนอง!I313"")"),30)</f>
        <v>30</v>
      </c>
      <c r="J418" s="399">
        <f ca="1">IFERROR(__xludf.DUMMYFUNCTION("IMPORTRANGE(""https://docs.google.com/spreadsheets/d/1IYY_tgx_IHuhSq3AJ5eI5OnqOPBNLWSHKh2a30DoXe8/edit?usp=sharing"",""ระนอง!J313"")"),30)</f>
        <v>30</v>
      </c>
      <c r="K418" s="209">
        <f t="shared" ca="1" si="113"/>
        <v>100</v>
      </c>
      <c r="L418" s="189"/>
      <c r="M418" s="189"/>
      <c r="N418" s="189"/>
      <c r="O418" s="189"/>
      <c r="P418" s="189"/>
    </row>
    <row r="419" spans="1:16" ht="21.75" customHeight="1" x14ac:dyDescent="0.45">
      <c r="A419" s="183"/>
      <c r="B419" s="184"/>
      <c r="C419" s="184"/>
      <c r="D419" s="201"/>
      <c r="E419" s="206"/>
      <c r="F419" s="203"/>
      <c r="G419" s="233" t="s">
        <v>149</v>
      </c>
      <c r="H419" s="188" t="s">
        <v>37</v>
      </c>
      <c r="I419" s="347">
        <f ca="1">IFERROR(__xludf.DUMMYFUNCTION("IMPORTRANGE(""https://docs.google.com/spreadsheets/d/1IYY_tgx_IHuhSq3AJ5eI5OnqOPBNLWSHKh2a30DoXe8/edit?usp=sharing"",""ระนอง!I314"")"),10)</f>
        <v>10</v>
      </c>
      <c r="J419" s="400">
        <f ca="1">IFERROR(__xludf.DUMMYFUNCTION("IMPORTRANGE(""https://docs.google.com/spreadsheets/d/1IYY_tgx_IHuhSq3AJ5eI5OnqOPBNLWSHKh2a30DoXe8/edit?usp=sharing"",""ระนอง!J314"")"),10)</f>
        <v>10</v>
      </c>
      <c r="K419" s="169">
        <f t="shared" ca="1" si="113"/>
        <v>100</v>
      </c>
      <c r="L419" s="189"/>
      <c r="M419" s="189"/>
      <c r="N419" s="189"/>
      <c r="O419" s="189"/>
      <c r="P419" s="189"/>
    </row>
    <row r="420" spans="1:16" ht="21.75" customHeight="1" x14ac:dyDescent="0.45">
      <c r="A420" s="241"/>
      <c r="B420" s="242"/>
      <c r="C420" s="242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IFERROR(__xludf.DUMMYFUNCTION("IMPORTRANGE(""https://docs.google.com/spreadsheets/d/1IYY_tgx_IHuhSq3AJ5eI5OnqOPBNLWSHKh2a30DoXe8/edit?usp=sharing"",""ระนอง!I315"")"),10)</f>
        <v>10</v>
      </c>
      <c r="J420" s="400">
        <f ca="1">IFERROR(__xludf.DUMMYFUNCTION("IMPORTRANGE(""https://docs.google.com/spreadsheets/d/1IYY_tgx_IHuhSq3AJ5eI5OnqOPBNLWSHKh2a30DoXe8/edit?usp=sharing"",""ระนอง!J315"")"),10)</f>
        <v>10</v>
      </c>
      <c r="K420" s="294">
        <f t="shared" ca="1" si="113"/>
        <v>100</v>
      </c>
      <c r="L420" s="252"/>
      <c r="M420" s="252"/>
      <c r="N420" s="252"/>
      <c r="O420" s="252"/>
      <c r="P420" s="252"/>
    </row>
    <row r="421" spans="1:16" ht="21.75" customHeight="1" x14ac:dyDescent="0.45">
      <c r="A421" s="183"/>
      <c r="B421" s="184"/>
      <c r="C421" s="184"/>
      <c r="D421" s="201"/>
      <c r="E421" s="206"/>
      <c r="F421" s="396" t="s">
        <v>151</v>
      </c>
      <c r="G421" s="204"/>
      <c r="H421" s="207" t="s">
        <v>37</v>
      </c>
      <c r="I421" s="397">
        <f ca="1">IFERROR(__xludf.DUMMYFUNCTION("IMPORTRANGE(""https://docs.google.com/spreadsheets/d/1IYY_tgx_IHuhSq3AJ5eI5OnqOPBNLWSHKh2a30DoXe8/edit?usp=sharing"",""ระนอง!I316"")"),25)</f>
        <v>25</v>
      </c>
      <c r="J421" s="398">
        <f ca="1">IFERROR(__xludf.DUMMYFUNCTION("IMPORTRANGE(""https://docs.google.com/spreadsheets/d/1IYY_tgx_IHuhSq3AJ5eI5OnqOPBNLWSHKh2a30DoXe8/edit?usp=sharing"",""ระนอง!J316"")"),25)</f>
        <v>25</v>
      </c>
      <c r="K421" s="209">
        <f t="shared" ca="1" si="113"/>
        <v>100</v>
      </c>
      <c r="L421" s="189"/>
      <c r="M421" s="189"/>
      <c r="N421" s="189"/>
      <c r="O421" s="189"/>
      <c r="P421" s="189"/>
    </row>
    <row r="422" spans="1:16" ht="21.75" customHeight="1" x14ac:dyDescent="0.45">
      <c r="A422" s="183"/>
      <c r="B422" s="184"/>
      <c r="C422" s="184"/>
      <c r="D422" s="201"/>
      <c r="E422" s="206"/>
      <c r="F422" s="203"/>
      <c r="G422" s="204"/>
      <c r="H422" s="207" t="s">
        <v>122</v>
      </c>
      <c r="I422" s="397">
        <f ca="1">IFERROR(__xludf.DUMMYFUNCTION("IMPORTRANGE(""https://docs.google.com/spreadsheets/d/1IYY_tgx_IHuhSq3AJ5eI5OnqOPBNLWSHKh2a30DoXe8/edit?usp=sharing"",""ระนอง!I317"")"),75)</f>
        <v>75</v>
      </c>
      <c r="J422" s="399">
        <f ca="1">IFERROR(__xludf.DUMMYFUNCTION("IMPORTRANGE(""https://docs.google.com/spreadsheets/d/1IYY_tgx_IHuhSq3AJ5eI5OnqOPBNLWSHKh2a30DoXe8/edit?usp=sharing"",""ระนอง!J317"")"),75)</f>
        <v>75</v>
      </c>
      <c r="K422" s="209">
        <f t="shared" ca="1" si="113"/>
        <v>100</v>
      </c>
      <c r="L422" s="189"/>
      <c r="M422" s="189"/>
      <c r="N422" s="189"/>
      <c r="O422" s="189"/>
      <c r="P422" s="189"/>
    </row>
    <row r="423" spans="1:16" ht="21.75" customHeight="1" x14ac:dyDescent="0.45">
      <c r="A423" s="183"/>
      <c r="B423" s="184"/>
      <c r="C423" s="184"/>
      <c r="D423" s="201"/>
      <c r="E423" s="206"/>
      <c r="F423" s="203"/>
      <c r="G423" s="233" t="s">
        <v>152</v>
      </c>
      <c r="H423" s="188" t="s">
        <v>37</v>
      </c>
      <c r="I423" s="347">
        <f ca="1">IFERROR(__xludf.DUMMYFUNCTION("IMPORTRANGE(""https://docs.google.com/spreadsheets/d/1IYY_tgx_IHuhSq3AJ5eI5OnqOPBNLWSHKh2a30DoXe8/edit?usp=sharing"",""ระนอง!I318"")"),25)</f>
        <v>25</v>
      </c>
      <c r="J423" s="400">
        <f ca="1">IFERROR(__xludf.DUMMYFUNCTION("IMPORTRANGE(""https://docs.google.com/spreadsheets/d/1IYY_tgx_IHuhSq3AJ5eI5OnqOPBNLWSHKh2a30DoXe8/edit?usp=sharing"",""ระนอง!J318"")"),25)</f>
        <v>25</v>
      </c>
      <c r="K423" s="169">
        <f t="shared" ca="1" si="113"/>
        <v>100</v>
      </c>
      <c r="L423" s="189"/>
      <c r="M423" s="189"/>
      <c r="N423" s="189"/>
      <c r="O423" s="189"/>
      <c r="P423" s="189"/>
    </row>
    <row r="424" spans="1:16" ht="21.75" customHeight="1" x14ac:dyDescent="0.45">
      <c r="A424" s="183"/>
      <c r="B424" s="184"/>
      <c r="C424" s="184"/>
      <c r="D424" s="201"/>
      <c r="E424" s="206"/>
      <c r="F424" s="203"/>
      <c r="G424" s="233" t="s">
        <v>153</v>
      </c>
      <c r="H424" s="188" t="s">
        <v>37</v>
      </c>
      <c r="I424" s="347">
        <f ca="1">IFERROR(__xludf.DUMMYFUNCTION("IMPORTRANGE(""https://docs.google.com/spreadsheets/d/1IYY_tgx_IHuhSq3AJ5eI5OnqOPBNLWSHKh2a30DoXe8/edit?usp=sharing"",""ระนอง!I319"")"),25)</f>
        <v>25</v>
      </c>
      <c r="J424" s="400">
        <f ca="1">IFERROR(__xludf.DUMMYFUNCTION("IMPORTRANGE(""https://docs.google.com/spreadsheets/d/1IYY_tgx_IHuhSq3AJ5eI5OnqOPBNLWSHKh2a30DoXe8/edit?usp=sharing"",""ระนอง!J319"")"),25)</f>
        <v>25</v>
      </c>
      <c r="K424" s="169">
        <f t="shared" ca="1" si="113"/>
        <v>100</v>
      </c>
      <c r="L424" s="189"/>
      <c r="M424" s="189"/>
      <c r="N424" s="189"/>
      <c r="O424" s="189"/>
      <c r="P424" s="189"/>
    </row>
    <row r="425" spans="1:16" ht="21.75" customHeight="1" x14ac:dyDescent="0.45">
      <c r="A425" s="183"/>
      <c r="B425" s="184"/>
      <c r="C425" s="184"/>
      <c r="D425" s="201"/>
      <c r="E425" s="206"/>
      <c r="F425" s="203"/>
      <c r="G425" s="233" t="s">
        <v>154</v>
      </c>
      <c r="H425" s="188" t="s">
        <v>37</v>
      </c>
      <c r="I425" s="347">
        <f ca="1">IFERROR(__xludf.DUMMYFUNCTION("IMPORTRANGE(""https://docs.google.com/spreadsheets/d/1IYY_tgx_IHuhSq3AJ5eI5OnqOPBNLWSHKh2a30DoXe8/edit?usp=sharing"",""ระนอง!I320"")"),25)</f>
        <v>25</v>
      </c>
      <c r="J425" s="400">
        <f ca="1">IFERROR(__xludf.DUMMYFUNCTION("IMPORTRANGE(""https://docs.google.com/spreadsheets/d/1IYY_tgx_IHuhSq3AJ5eI5OnqOPBNLWSHKh2a30DoXe8/edit?usp=sharing"",""ระนอง!J320"")"),25)</f>
        <v>25</v>
      </c>
      <c r="K425" s="169">
        <f t="shared" ca="1" si="113"/>
        <v>100</v>
      </c>
      <c r="L425" s="189"/>
      <c r="M425" s="189"/>
      <c r="N425" s="189"/>
      <c r="O425" s="189"/>
      <c r="P425" s="189"/>
    </row>
    <row r="426" spans="1:16" ht="21.75" customHeight="1" x14ac:dyDescent="0.45">
      <c r="A426" s="183"/>
      <c r="B426" s="184"/>
      <c r="C426" s="184"/>
      <c r="D426" s="201"/>
      <c r="E426" s="206"/>
      <c r="F426" s="405" t="s">
        <v>155</v>
      </c>
      <c r="G426" s="204"/>
      <c r="H426" s="207" t="s">
        <v>37</v>
      </c>
      <c r="I426" s="397">
        <f ca="1">IFERROR(__xludf.DUMMYFUNCTION("IMPORTRANGE(""https://docs.google.com/spreadsheets/d/1IYY_tgx_IHuhSq3AJ5eI5OnqOPBNLWSHKh2a30DoXe8/edit?usp=sharing"",""ระนอง!I321"")"),20)</f>
        <v>20</v>
      </c>
      <c r="J426" s="398">
        <f ca="1">IFERROR(__xludf.DUMMYFUNCTION("IMPORTRANGE(""https://docs.google.com/spreadsheets/d/1IYY_tgx_IHuhSq3AJ5eI5OnqOPBNLWSHKh2a30DoXe8/edit?usp=sharing"",""ระนอง!J321"")"),20)</f>
        <v>20</v>
      </c>
      <c r="K426" s="209">
        <f t="shared" ca="1" si="113"/>
        <v>100</v>
      </c>
      <c r="L426" s="189"/>
      <c r="M426" s="189"/>
      <c r="N426" s="189"/>
      <c r="O426" s="189"/>
      <c r="P426" s="189"/>
    </row>
    <row r="427" spans="1:16" ht="21.75" customHeight="1" x14ac:dyDescent="0.45">
      <c r="A427" s="183"/>
      <c r="B427" s="184"/>
      <c r="C427" s="184"/>
      <c r="D427" s="201"/>
      <c r="E427" s="206"/>
      <c r="F427" s="203"/>
      <c r="G427" s="204"/>
      <c r="H427" s="207" t="s">
        <v>122</v>
      </c>
      <c r="I427" s="397">
        <f ca="1">IFERROR(__xludf.DUMMYFUNCTION("IMPORTRANGE(""https://docs.google.com/spreadsheets/d/1IYY_tgx_IHuhSq3AJ5eI5OnqOPBNLWSHKh2a30DoXe8/edit?usp=sharing"",""ระนอง!I322"")"),60)</f>
        <v>60</v>
      </c>
      <c r="J427" s="399">
        <f ca="1">IFERROR(__xludf.DUMMYFUNCTION("IMPORTRANGE(""https://docs.google.com/spreadsheets/d/1IYY_tgx_IHuhSq3AJ5eI5OnqOPBNLWSHKh2a30DoXe8/edit?usp=sharing"",""ระนอง!J322"")"),60)</f>
        <v>60</v>
      </c>
      <c r="K427" s="209">
        <f t="shared" ca="1" si="113"/>
        <v>100</v>
      </c>
      <c r="L427" s="189"/>
      <c r="M427" s="189"/>
      <c r="N427" s="189"/>
      <c r="O427" s="189"/>
      <c r="P427" s="189"/>
    </row>
    <row r="428" spans="1:16" ht="21.75" customHeight="1" x14ac:dyDescent="0.45">
      <c r="A428" s="183"/>
      <c r="B428" s="184"/>
      <c r="C428" s="184"/>
      <c r="D428" s="201"/>
      <c r="E428" s="206"/>
      <c r="F428" s="203"/>
      <c r="G428" s="233" t="s">
        <v>156</v>
      </c>
      <c r="H428" s="188" t="s">
        <v>37</v>
      </c>
      <c r="I428" s="406">
        <f ca="1">IFERROR(__xludf.DUMMYFUNCTION("IMPORTRANGE(""https://docs.google.com/spreadsheets/d/1IYY_tgx_IHuhSq3AJ5eI5OnqOPBNLWSHKh2a30DoXe8/edit?usp=sharing"",""ระนอง!I323"")"),20)</f>
        <v>20</v>
      </c>
      <c r="J428" s="400">
        <f ca="1">IFERROR(__xludf.DUMMYFUNCTION("IMPORTRANGE(""https://docs.google.com/spreadsheets/d/1IYY_tgx_IHuhSq3AJ5eI5OnqOPBNLWSHKh2a30DoXe8/edit?usp=sharing"",""ระนอง!J323"")"),20)</f>
        <v>20</v>
      </c>
      <c r="K428" s="169">
        <f t="shared" ca="1" si="113"/>
        <v>100</v>
      </c>
      <c r="L428" s="189"/>
      <c r="M428" s="189"/>
      <c r="N428" s="189"/>
      <c r="O428" s="189"/>
      <c r="P428" s="189"/>
    </row>
    <row r="429" spans="1:16" ht="21.75" customHeight="1" x14ac:dyDescent="0.45">
      <c r="A429" s="183"/>
      <c r="B429" s="184"/>
      <c r="C429" s="184"/>
      <c r="D429" s="201"/>
      <c r="E429" s="206"/>
      <c r="F429" s="203"/>
      <c r="G429" s="233" t="s">
        <v>157</v>
      </c>
      <c r="H429" s="188" t="s">
        <v>37</v>
      </c>
      <c r="I429" s="406">
        <f ca="1">IFERROR(__xludf.DUMMYFUNCTION("IMPORTRANGE(""https://docs.google.com/spreadsheets/d/1IYY_tgx_IHuhSq3AJ5eI5OnqOPBNLWSHKh2a30DoXe8/edit?usp=sharing"",""ระนอง!I324"")"),20)</f>
        <v>20</v>
      </c>
      <c r="J429" s="400">
        <f ca="1">IFERROR(__xludf.DUMMYFUNCTION("IMPORTRANGE(""https://docs.google.com/spreadsheets/d/1IYY_tgx_IHuhSq3AJ5eI5OnqOPBNLWSHKh2a30DoXe8/edit?usp=sharing"",""ระนอง!J324"")"),20)</f>
        <v>20</v>
      </c>
      <c r="K429" s="169">
        <f t="shared" ca="1" si="113"/>
        <v>100</v>
      </c>
      <c r="L429" s="189"/>
      <c r="M429" s="189"/>
      <c r="N429" s="189"/>
      <c r="O429" s="189"/>
      <c r="P429" s="189"/>
    </row>
    <row r="430" spans="1:16" ht="21.75" customHeight="1" x14ac:dyDescent="0.45">
      <c r="A430" s="183"/>
      <c r="B430" s="184"/>
      <c r="C430" s="184"/>
      <c r="D430" s="201"/>
      <c r="E430" s="206"/>
      <c r="F430" s="202" t="s">
        <v>53</v>
      </c>
      <c r="G430" s="394"/>
      <c r="H430" s="407" t="s">
        <v>37</v>
      </c>
      <c r="I430" s="208">
        <f ca="1">IFERROR(__xludf.DUMMYFUNCTION("IMPORTRANGE(""https://docs.google.com/spreadsheets/d/1IYY_tgx_IHuhSq3AJ5eI5OnqOPBNLWSHKh2a30DoXe8/edit?usp=sharing"",""ระนอง!I325"")"),35)</f>
        <v>35</v>
      </c>
      <c r="J430" s="398">
        <f ca="1">IFERROR(__xludf.DUMMYFUNCTION("IMPORTRANGE(""https://docs.google.com/spreadsheets/d/1IYY_tgx_IHuhSq3AJ5eI5OnqOPBNLWSHKh2a30DoXe8/edit?usp=sharing"",""ระนอง!J325"")"),0)</f>
        <v>0</v>
      </c>
      <c r="K430" s="209">
        <f t="shared" ca="1" si="113"/>
        <v>0</v>
      </c>
      <c r="L430" s="189"/>
      <c r="M430" s="189"/>
      <c r="N430" s="189"/>
      <c r="O430" s="189"/>
      <c r="P430" s="189"/>
    </row>
    <row r="431" spans="1:16" ht="21.75" customHeight="1" x14ac:dyDescent="0.45">
      <c r="A431" s="408"/>
      <c r="B431" s="409"/>
      <c r="C431" s="409"/>
      <c r="D431" s="410"/>
      <c r="E431" s="206"/>
      <c r="F431" s="203"/>
      <c r="G431" s="233" t="s">
        <v>158</v>
      </c>
      <c r="H431" s="188" t="s">
        <v>37</v>
      </c>
      <c r="I431" s="406">
        <f ca="1">IFERROR(__xludf.DUMMYFUNCTION("IMPORTRANGE(""https://docs.google.com/spreadsheets/d/1IYY_tgx_IHuhSq3AJ5eI5OnqOPBNLWSHKh2a30DoXe8/edit?usp=sharing"",""ระนอง!I326"")"),10)</f>
        <v>10</v>
      </c>
      <c r="J431" s="400">
        <f ca="1">IFERROR(__xludf.DUMMYFUNCTION("IMPORTRANGE(""https://docs.google.com/spreadsheets/d/1IYY_tgx_IHuhSq3AJ5eI5OnqOPBNLWSHKh2a30DoXe8/edit?usp=sharing"",""ระนอง!J326"")"),10)</f>
        <v>10</v>
      </c>
      <c r="K431" s="169">
        <f t="shared" ca="1" si="113"/>
        <v>100</v>
      </c>
      <c r="L431" s="189"/>
      <c r="M431" s="189"/>
      <c r="N431" s="189"/>
      <c r="O431" s="189"/>
      <c r="P431" s="189"/>
    </row>
    <row r="432" spans="1:16" ht="21.75" customHeight="1" x14ac:dyDescent="0.45">
      <c r="A432" s="408"/>
      <c r="B432" s="409"/>
      <c r="C432" s="409"/>
      <c r="D432" s="410"/>
      <c r="E432" s="206"/>
      <c r="F432" s="203"/>
      <c r="G432" s="233" t="s">
        <v>159</v>
      </c>
      <c r="H432" s="188" t="s">
        <v>37</v>
      </c>
      <c r="I432" s="406">
        <f ca="1">IFERROR(__xludf.DUMMYFUNCTION("IMPORTRANGE(""https://docs.google.com/spreadsheets/d/1IYY_tgx_IHuhSq3AJ5eI5OnqOPBNLWSHKh2a30DoXe8/edit?usp=sharing"",""ระนอง!I327"")"),25)</f>
        <v>25</v>
      </c>
      <c r="J432" s="400">
        <f ca="1">IFERROR(__xludf.DUMMYFUNCTION("IMPORTRANGE(""https://docs.google.com/spreadsheets/d/1IYY_tgx_IHuhSq3AJ5eI5OnqOPBNLWSHKh2a30DoXe8/edit?usp=sharing"",""ระนอง!J327"")"),0)</f>
        <v>0</v>
      </c>
      <c r="K432" s="169">
        <f t="shared" ca="1" si="113"/>
        <v>0</v>
      </c>
      <c r="L432" s="189"/>
      <c r="M432" s="189"/>
      <c r="N432" s="189"/>
      <c r="O432" s="189"/>
      <c r="P432" s="189"/>
    </row>
    <row r="433" spans="1:16" ht="21.75" customHeight="1" x14ac:dyDescent="0.35">
      <c r="A433" s="183"/>
      <c r="B433" s="184"/>
      <c r="C433" s="184"/>
      <c r="D433" s="201"/>
      <c r="E433" s="202" t="s">
        <v>54</v>
      </c>
      <c r="F433" s="203"/>
      <c r="G433" s="204"/>
      <c r="H433" s="194"/>
      <c r="I433" s="195"/>
      <c r="J433" s="205">
        <f ca="1">IFERROR(__xludf.DUMMYFUNCTION("IMPORTRANGE(""https://docs.google.com/spreadsheets/d/1IYY_tgx_IHuhSq3AJ5eI5OnqOPBNLWSHKh2a30DoXe8/edit?usp=sharing"",""ระนอง!J328"")"),0)</f>
        <v>0</v>
      </c>
      <c r="K433" s="169"/>
      <c r="L433" s="189"/>
      <c r="M433" s="189"/>
      <c r="N433" s="189"/>
      <c r="O433" s="189"/>
      <c r="P433" s="189"/>
    </row>
    <row r="434" spans="1:16" ht="21.75" customHeight="1" x14ac:dyDescent="0.35">
      <c r="A434" s="183"/>
      <c r="B434" s="184"/>
      <c r="C434" s="184"/>
      <c r="D434" s="213">
        <v>3</v>
      </c>
      <c r="E434" s="214" t="s">
        <v>55</v>
      </c>
      <c r="F434" s="215"/>
      <c r="G434" s="216"/>
      <c r="H434" s="194"/>
      <c r="I434" s="195"/>
      <c r="J434" s="217">
        <f ca="1">IFERROR(__xludf.DUMMYFUNCTION("IMPORTRANGE(""https://docs.google.com/spreadsheets/d/1IYY_tgx_IHuhSq3AJ5eI5OnqOPBNLWSHKh2a30DoXe8/edit?usp=sharing"",""ระนอง!J329"")"),0)</f>
        <v>0</v>
      </c>
      <c r="K434" s="169"/>
      <c r="L434" s="189"/>
      <c r="M434" s="189"/>
      <c r="N434" s="189"/>
      <c r="O434" s="189"/>
      <c r="P434" s="189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IFERROR(__xludf.DUMMYFUNCTION("IMPORTRANGE(""https://docs.google.com/spreadsheets/d/1IYY_tgx_IHuhSq3AJ5eI5OnqOPBNLWSHKh2a30DoXe8/edit?usp=sharing"",""ระนอง!I330"")"),10)</f>
        <v>10</v>
      </c>
      <c r="J435" s="416">
        <f ca="1">IFERROR(__xludf.DUMMYFUNCTION("IMPORTRANGE(""https://docs.google.com/spreadsheets/d/1IYY_tgx_IHuhSq3AJ5eI5OnqOPBNLWSHKh2a30DoXe8/edit?usp=sharing"",""ระนอง!J330"")"),10)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IFERROR(__xludf.DUMMYFUNCTION("IMPORTRANGE(""https://docs.google.com/spreadsheets/d/1IYY_tgx_IHuhSq3AJ5eI5OnqOPBNLWSHKh2a30DoXe8/edit?usp=sharing"",""ระนอง!L330"")"),76000)</f>
        <v>76000</v>
      </c>
      <c r="M435" s="418"/>
      <c r="N435" s="418">
        <f ca="1">IFERROR(__xludf.DUMMYFUNCTION("IMPORTRANGE(""https://docs.google.com/spreadsheets/d/1IYY_tgx_IHuhSq3AJ5eI5OnqOPBNLWSHKh2a30DoXe8/edit?usp=sharing"",""ระนอง!M330"")"),32420)</f>
        <v>32420</v>
      </c>
      <c r="O435" s="418">
        <f t="shared" ref="O435:O439" ca="1" si="114">+IF(L435&gt;0,N435*100/L435,0)</f>
        <v>42.657894736842103</v>
      </c>
      <c r="P435" s="418"/>
    </row>
    <row r="436" spans="1:16" ht="21.75" customHeight="1" x14ac:dyDescent="0.35">
      <c r="A436" s="162"/>
      <c r="B436" s="163"/>
      <c r="C436" s="163" t="s">
        <v>16</v>
      </c>
      <c r="D436" s="164" t="s">
        <v>38</v>
      </c>
      <c r="E436" s="165"/>
      <c r="F436" s="165"/>
      <c r="G436" s="166" t="s">
        <v>39</v>
      </c>
      <c r="H436" s="167" t="s">
        <v>12</v>
      </c>
      <c r="I436" s="168" t="s">
        <v>40</v>
      </c>
      <c r="J436" s="168"/>
      <c r="K436" s="169"/>
      <c r="L436" s="170">
        <f ca="1">IFERROR(__xludf.DUMMYFUNCTION("IMPORTRANGE(""https://docs.google.com/spreadsheets/d/1IYY_tgx_IHuhSq3AJ5eI5OnqOPBNLWSHKh2a30DoXe8/edit?usp=sharing"",""ระนอง!L331"")"),0)</f>
        <v>0</v>
      </c>
      <c r="M436" s="170"/>
      <c r="N436" s="176">
        <f ca="1">IFERROR(__xludf.DUMMYFUNCTION("IMPORTRANGE(""https://docs.google.com/spreadsheets/d/1IYY_tgx_IHuhSq3AJ5eI5OnqOPBNLWSHKh2a30DoXe8/edit?usp=sharing"",""ระนอง!M331"")"),0)</f>
        <v>0</v>
      </c>
      <c r="O436" s="176">
        <f t="shared" ca="1" si="114"/>
        <v>0</v>
      </c>
      <c r="P436" s="176"/>
    </row>
    <row r="437" spans="1:16" ht="21.75" customHeight="1" x14ac:dyDescent="0.35">
      <c r="A437" s="162"/>
      <c r="B437" s="163"/>
      <c r="C437" s="163"/>
      <c r="D437" s="172"/>
      <c r="E437" s="165"/>
      <c r="F437" s="165" t="s">
        <v>40</v>
      </c>
      <c r="G437" s="166" t="s">
        <v>41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IFERROR(__xludf.DUMMYFUNCTION("IMPORTRANGE(""https://docs.google.com/spreadsheets/d/1IYY_tgx_IHuhSq3AJ5eI5OnqOPBNLWSHKh2a30DoXe8/edit?usp=sharing"",""ระนอง!L332"")"),76000)</f>
        <v>76000</v>
      </c>
      <c r="M437" s="171"/>
      <c r="N437" s="176">
        <f ca="1">IFERROR(__xludf.DUMMYFUNCTION("IMPORTRANGE(""https://docs.google.com/spreadsheets/d/1IYY_tgx_IHuhSq3AJ5eI5OnqOPBNLWSHKh2a30DoXe8/edit?usp=sharing"",""ระนอง!M332"")"),32420)</f>
        <v>32420</v>
      </c>
      <c r="O437" s="176">
        <f t="shared" ca="1" si="114"/>
        <v>42.657894736842103</v>
      </c>
      <c r="P437" s="176"/>
    </row>
    <row r="438" spans="1:16" ht="21.75" customHeight="1" x14ac:dyDescent="0.35">
      <c r="A438" s="162"/>
      <c r="B438" s="163"/>
      <c r="C438" s="163"/>
      <c r="D438" s="172"/>
      <c r="E438" s="165"/>
      <c r="F438" s="165"/>
      <c r="G438" s="380" t="s">
        <v>129</v>
      </c>
      <c r="H438" s="167" t="s">
        <v>12</v>
      </c>
      <c r="I438" s="168"/>
      <c r="J438" s="168"/>
      <c r="K438" s="169"/>
      <c r="L438" s="176">
        <f ca="1">IFERROR(__xludf.DUMMYFUNCTION("IMPORTRANGE(""https://docs.google.com/spreadsheets/d/1IYY_tgx_IHuhSq3AJ5eI5OnqOPBNLWSHKh2a30DoXe8/edit?usp=sharing"",""ระนอง!L333"")"),0)</f>
        <v>0</v>
      </c>
      <c r="M438" s="176"/>
      <c r="N438" s="176">
        <f ca="1">IFERROR(__xludf.DUMMYFUNCTION("IMPORTRANGE(""https://docs.google.com/spreadsheets/d/1IYY_tgx_IHuhSq3AJ5eI5OnqOPBNLWSHKh2a30DoXe8/edit?usp=sharing"",""ระนอง!M333"")"),0)</f>
        <v>0</v>
      </c>
      <c r="O438" s="176">
        <f t="shared" ca="1" si="114"/>
        <v>0</v>
      </c>
      <c r="P438" s="176"/>
    </row>
    <row r="439" spans="1:16" ht="21.75" customHeight="1" x14ac:dyDescent="0.35">
      <c r="A439" s="162"/>
      <c r="B439" s="163"/>
      <c r="C439" s="163"/>
      <c r="D439" s="172"/>
      <c r="E439" s="165"/>
      <c r="F439" s="165"/>
      <c r="G439" s="380" t="s">
        <v>130</v>
      </c>
      <c r="H439" s="167" t="s">
        <v>12</v>
      </c>
      <c r="I439" s="168"/>
      <c r="J439" s="168"/>
      <c r="K439" s="169"/>
      <c r="L439" s="176">
        <f ca="1">IFERROR(__xludf.DUMMYFUNCTION("IMPORTRANGE(""https://docs.google.com/spreadsheets/d/1IYY_tgx_IHuhSq3AJ5eI5OnqOPBNLWSHKh2a30DoXe8/edit?usp=sharing"",""ระนอง!L334"")"),76000)</f>
        <v>76000</v>
      </c>
      <c r="M439" s="176"/>
      <c r="N439" s="176">
        <f ca="1">IFERROR(__xludf.DUMMYFUNCTION("IMPORTRANGE(""https://docs.google.com/spreadsheets/d/1IYY_tgx_IHuhSq3AJ5eI5OnqOPBNLWSHKh2a30DoXe8/edit?usp=sharing"",""ระนอง!M334"")"),32420)</f>
        <v>32420</v>
      </c>
      <c r="O439" s="176">
        <f t="shared" ca="1" si="114"/>
        <v>42.657894736842103</v>
      </c>
      <c r="P439" s="176"/>
    </row>
    <row r="440" spans="1:16" ht="21.75" customHeight="1" x14ac:dyDescent="0.35">
      <c r="A440" s="381"/>
      <c r="B440" s="382"/>
      <c r="C440" s="163"/>
      <c r="D440" s="383"/>
      <c r="E440" s="165"/>
      <c r="F440" s="165"/>
      <c r="G440" s="384" t="s">
        <v>131</v>
      </c>
      <c r="H440" s="167" t="s">
        <v>12</v>
      </c>
      <c r="I440" s="195"/>
      <c r="J440" s="195"/>
      <c r="K440" s="231"/>
      <c r="L440" s="176"/>
      <c r="M440" s="176"/>
      <c r="N440" s="385">
        <f ca="1">IFERROR(__xludf.DUMMYFUNCTION("IMPORTRANGE(""https://docs.google.com/spreadsheets/d/1IYY_tgx_IHuhSq3AJ5eI5OnqOPBNLWSHKh2a30DoXe8/edit?usp=sharing"",""ระนอง!M335"")"),20200)</f>
        <v>20200</v>
      </c>
      <c r="O440" s="176"/>
      <c r="P440" s="176"/>
    </row>
    <row r="441" spans="1:16" ht="21.75" customHeight="1" x14ac:dyDescent="0.35">
      <c r="A441" s="381"/>
      <c r="B441" s="382"/>
      <c r="C441" s="163"/>
      <c r="D441" s="383"/>
      <c r="E441" s="165"/>
      <c r="F441" s="165"/>
      <c r="G441" s="384" t="s">
        <v>132</v>
      </c>
      <c r="H441" s="167" t="s">
        <v>12</v>
      </c>
      <c r="I441" s="195"/>
      <c r="J441" s="195"/>
      <c r="K441" s="231"/>
      <c r="L441" s="176"/>
      <c r="M441" s="176"/>
      <c r="N441" s="385">
        <f ca="1">IFERROR(__xludf.DUMMYFUNCTION("IMPORTRANGE(""https://docs.google.com/spreadsheets/d/1IYY_tgx_IHuhSq3AJ5eI5OnqOPBNLWSHKh2a30DoXe8/edit?usp=sharing"",""ระนอง!M336"")"),0)</f>
        <v>0</v>
      </c>
      <c r="O441" s="176"/>
      <c r="P441" s="176"/>
    </row>
    <row r="442" spans="1:16" ht="21.75" customHeight="1" x14ac:dyDescent="0.35">
      <c r="A442" s="381"/>
      <c r="B442" s="382"/>
      <c r="C442" s="163"/>
      <c r="D442" s="383"/>
      <c r="E442" s="165"/>
      <c r="F442" s="165"/>
      <c r="G442" s="384" t="s">
        <v>133</v>
      </c>
      <c r="H442" s="167" t="s">
        <v>12</v>
      </c>
      <c r="I442" s="195"/>
      <c r="J442" s="195"/>
      <c r="K442" s="231"/>
      <c r="L442" s="176"/>
      <c r="M442" s="176"/>
      <c r="N442" s="385">
        <f ca="1">IFERROR(__xludf.DUMMYFUNCTION("IMPORTRANGE(""https://docs.google.com/spreadsheets/d/1IYY_tgx_IHuhSq3AJ5eI5OnqOPBNLWSHKh2a30DoXe8/edit?usp=sharing"",""ระนอง!M337"")"),0)</f>
        <v>0</v>
      </c>
      <c r="O442" s="176"/>
      <c r="P442" s="176"/>
    </row>
    <row r="443" spans="1:16" ht="21.75" customHeight="1" x14ac:dyDescent="0.35">
      <c r="A443" s="381"/>
      <c r="B443" s="382"/>
      <c r="C443" s="163"/>
      <c r="D443" s="383"/>
      <c r="E443" s="165"/>
      <c r="F443" s="165"/>
      <c r="G443" s="384" t="s">
        <v>134</v>
      </c>
      <c r="H443" s="167" t="s">
        <v>12</v>
      </c>
      <c r="I443" s="195"/>
      <c r="J443" s="195"/>
      <c r="K443" s="231"/>
      <c r="L443" s="176"/>
      <c r="M443" s="176"/>
      <c r="N443" s="385">
        <f ca="1">IFERROR(__xludf.DUMMYFUNCTION("IMPORTRANGE(""https://docs.google.com/spreadsheets/d/1IYY_tgx_IHuhSq3AJ5eI5OnqOPBNLWSHKh2a30DoXe8/edit?usp=sharing"",""ระนอง!M338"")"),12220)</f>
        <v>12220</v>
      </c>
      <c r="O443" s="176"/>
      <c r="P443" s="176"/>
    </row>
    <row r="444" spans="1:16" ht="21.75" customHeight="1" x14ac:dyDescent="0.35">
      <c r="A444" s="183"/>
      <c r="B444" s="184"/>
      <c r="C444" s="163" t="s">
        <v>16</v>
      </c>
      <c r="D444" s="185" t="s">
        <v>44</v>
      </c>
      <c r="E444" s="186"/>
      <c r="F444" s="186"/>
      <c r="G444" s="187"/>
      <c r="H444" s="188"/>
      <c r="I444" s="168"/>
      <c r="J444" s="168"/>
      <c r="K444" s="169"/>
      <c r="L444" s="189"/>
      <c r="M444" s="189"/>
      <c r="N444" s="189"/>
      <c r="O444" s="189"/>
      <c r="P444" s="189"/>
    </row>
    <row r="445" spans="1:16" ht="21.75" customHeight="1" x14ac:dyDescent="0.35">
      <c r="A445" s="183"/>
      <c r="B445" s="184"/>
      <c r="C445" s="184"/>
      <c r="D445" s="190">
        <v>1</v>
      </c>
      <c r="E445" s="191" t="s">
        <v>45</v>
      </c>
      <c r="F445" s="192"/>
      <c r="G445" s="193"/>
      <c r="H445" s="194"/>
      <c r="I445" s="195"/>
      <c r="J445" s="217">
        <f ca="1">IFERROR(__xludf.DUMMYFUNCTION("IMPORTRANGE(""https://docs.google.com/spreadsheets/d/1IYY_tgx_IHuhSq3AJ5eI5OnqOPBNLWSHKh2a30DoXe8/edit?usp=sharing"",""ระนอง!J340"")"),0)</f>
        <v>0</v>
      </c>
      <c r="K445" s="169"/>
      <c r="L445" s="189"/>
      <c r="M445" s="189"/>
      <c r="N445" s="189"/>
      <c r="O445" s="189"/>
      <c r="P445" s="189"/>
    </row>
    <row r="446" spans="1:16" ht="21.75" customHeight="1" x14ac:dyDescent="0.35">
      <c r="A446" s="183"/>
      <c r="B446" s="184"/>
      <c r="C446" s="184"/>
      <c r="D446" s="197">
        <v>2</v>
      </c>
      <c r="E446" s="198" t="s">
        <v>46</v>
      </c>
      <c r="F446" s="199"/>
      <c r="G446" s="200"/>
      <c r="H446" s="194"/>
      <c r="I446" s="195"/>
      <c r="J446" s="419">
        <f ca="1">IFERROR(__xludf.DUMMYFUNCTION("IMPORTRANGE(""https://docs.google.com/spreadsheets/d/1IYY_tgx_IHuhSq3AJ5eI5OnqOPBNLWSHKh2a30DoXe8/edit?usp=sharing"",""ระนอง!J341"")"),1)</f>
        <v>1</v>
      </c>
      <c r="K446" s="169"/>
      <c r="L446" s="189" t="s">
        <v>40</v>
      </c>
      <c r="M446" s="189"/>
      <c r="N446" s="189" t="s">
        <v>40</v>
      </c>
      <c r="O446" s="189"/>
      <c r="P446" s="189"/>
    </row>
    <row r="447" spans="1:16" ht="21.75" customHeight="1" x14ac:dyDescent="0.35">
      <c r="A447" s="183"/>
      <c r="B447" s="184"/>
      <c r="C447" s="184"/>
      <c r="D447" s="201"/>
      <c r="E447" s="202" t="s">
        <v>161</v>
      </c>
      <c r="F447" s="203"/>
      <c r="G447" s="204"/>
      <c r="H447" s="194"/>
      <c r="I447" s="195"/>
      <c r="J447" s="196">
        <f ca="1">IFERROR(__xludf.DUMMYFUNCTION("IMPORTRANGE(""https://docs.google.com/spreadsheets/d/1IYY_tgx_IHuhSq3AJ5eI5OnqOPBNLWSHKh2a30DoXe8/edit?usp=sharing"",""ระนอง!J342"")"),1)</f>
        <v>1</v>
      </c>
      <c r="K447" s="169"/>
      <c r="L447" s="189"/>
      <c r="M447" s="189"/>
      <c r="N447" s="189"/>
      <c r="O447" s="189"/>
      <c r="P447" s="189"/>
    </row>
    <row r="448" spans="1:16" ht="21.75" customHeight="1" x14ac:dyDescent="0.35">
      <c r="A448" s="183"/>
      <c r="B448" s="184"/>
      <c r="C448" s="184"/>
      <c r="D448" s="201"/>
      <c r="E448" s="202" t="s">
        <v>48</v>
      </c>
      <c r="F448" s="203"/>
      <c r="G448" s="204"/>
      <c r="H448" s="194"/>
      <c r="I448" s="195"/>
      <c r="J448" s="196">
        <f ca="1">IFERROR(__xludf.DUMMYFUNCTION("IMPORTRANGE(""https://docs.google.com/spreadsheets/d/1IYY_tgx_IHuhSq3AJ5eI5OnqOPBNLWSHKh2a30DoXe8/edit?usp=sharing"",""ระนอง!J343"")"),1)</f>
        <v>1</v>
      </c>
      <c r="K448" s="169"/>
      <c r="L448" s="189"/>
      <c r="M448" s="189"/>
      <c r="N448" s="189"/>
      <c r="O448" s="189"/>
      <c r="P448" s="189"/>
    </row>
    <row r="449" spans="1:16" ht="21.75" customHeight="1" x14ac:dyDescent="0.35">
      <c r="A449" s="183"/>
      <c r="B449" s="184"/>
      <c r="C449" s="184"/>
      <c r="D449" s="201"/>
      <c r="E449" s="206"/>
      <c r="F449" s="420" t="s">
        <v>101</v>
      </c>
      <c r="G449" s="204"/>
      <c r="H449" s="194" t="s">
        <v>37</v>
      </c>
      <c r="I449" s="397">
        <f ca="1">IFERROR(__xludf.DUMMYFUNCTION("IMPORTRANGE(""https://docs.google.com/spreadsheets/d/1IYY_tgx_IHuhSq3AJ5eI5OnqOPBNLWSHKh2a30DoXe8/edit?usp=sharing"",""ระนอง!I344"")"),10)</f>
        <v>10</v>
      </c>
      <c r="J449" s="208">
        <f ca="1">IFERROR(__xludf.DUMMYFUNCTION("IMPORTRANGE(""https://docs.google.com/spreadsheets/d/1IYY_tgx_IHuhSq3AJ5eI5OnqOPBNLWSHKh2a30DoXe8/edit?usp=sharing"",""ระนอง!J344"")"),10)</f>
        <v>10</v>
      </c>
      <c r="K449" s="169">
        <f t="shared" ref="K449:K452" ca="1" si="115">IF(I449&gt;0,J449*100/I449,0)</f>
        <v>100</v>
      </c>
      <c r="L449" s="189"/>
      <c r="M449" s="189"/>
      <c r="N449" s="189"/>
      <c r="O449" s="189"/>
      <c r="P449" s="189"/>
    </row>
    <row r="450" spans="1:16" ht="21.75" customHeight="1" x14ac:dyDescent="0.35">
      <c r="A450" s="183"/>
      <c r="B450" s="184"/>
      <c r="C450" s="184"/>
      <c r="D450" s="201"/>
      <c r="E450" s="206"/>
      <c r="F450" s="203"/>
      <c r="G450" s="233" t="s">
        <v>162</v>
      </c>
      <c r="H450" s="194" t="s">
        <v>37</v>
      </c>
      <c r="I450" s="347">
        <f ca="1">IFERROR(__xludf.DUMMYFUNCTION("IMPORTRANGE(""https://docs.google.com/spreadsheets/d/1IYY_tgx_IHuhSq3AJ5eI5OnqOPBNLWSHKh2a30DoXe8/edit?usp=sharing"",""ระนอง!I345"")"),10)</f>
        <v>10</v>
      </c>
      <c r="J450" s="196">
        <f ca="1">IFERROR(__xludf.DUMMYFUNCTION("IMPORTRANGE(""https://docs.google.com/spreadsheets/d/1IYY_tgx_IHuhSq3AJ5eI5OnqOPBNLWSHKh2a30DoXe8/edit?usp=sharing"",""ระนอง!J345"")"),10)</f>
        <v>10</v>
      </c>
      <c r="K450" s="169">
        <f t="shared" ca="1" si="115"/>
        <v>100</v>
      </c>
      <c r="L450" s="189"/>
      <c r="M450" s="189"/>
      <c r="N450" s="189"/>
      <c r="O450" s="189"/>
      <c r="P450" s="189"/>
    </row>
    <row r="451" spans="1:16" ht="21.75" customHeight="1" x14ac:dyDescent="0.35">
      <c r="A451" s="183"/>
      <c r="B451" s="184"/>
      <c r="C451" s="184"/>
      <c r="D451" s="201"/>
      <c r="E451" s="206"/>
      <c r="F451" s="203"/>
      <c r="G451" s="287" t="s">
        <v>163</v>
      </c>
      <c r="H451" s="194" t="s">
        <v>37</v>
      </c>
      <c r="I451" s="347">
        <f ca="1">IFERROR(__xludf.DUMMYFUNCTION("IMPORTRANGE(""https://docs.google.com/spreadsheets/d/1IYY_tgx_IHuhSq3AJ5eI5OnqOPBNLWSHKh2a30DoXe8/edit?usp=sharing"",""ระนอง!I346"")"),0)</f>
        <v>0</v>
      </c>
      <c r="J451" s="195">
        <f ca="1">IFERROR(__xludf.DUMMYFUNCTION("IMPORTRANGE(""https://docs.google.com/spreadsheets/d/1IYY_tgx_IHuhSq3AJ5eI5OnqOPBNLWSHKh2a30DoXe8/edit?usp=sharing"",""ระนอง!J346"")"),0)</f>
        <v>0</v>
      </c>
      <c r="K451" s="169">
        <f t="shared" ca="1" si="115"/>
        <v>0</v>
      </c>
      <c r="L451" s="189"/>
      <c r="M451" s="189"/>
      <c r="N451" s="189"/>
      <c r="O451" s="189"/>
      <c r="P451" s="189"/>
    </row>
    <row r="452" spans="1:16" ht="21.75" customHeight="1" x14ac:dyDescent="0.35">
      <c r="A452" s="183"/>
      <c r="B452" s="184"/>
      <c r="C452" s="184"/>
      <c r="D452" s="201"/>
      <c r="E452" s="206"/>
      <c r="F452" s="203"/>
      <c r="G452" s="204" t="s">
        <v>164</v>
      </c>
      <c r="H452" s="194" t="s">
        <v>37</v>
      </c>
      <c r="I452" s="195">
        <f ca="1">IFERROR(__xludf.DUMMYFUNCTION("IMPORTRANGE(""https://docs.google.com/spreadsheets/d/1IYY_tgx_IHuhSq3AJ5eI5OnqOPBNLWSHKh2a30DoXe8/edit?usp=sharing"",""ระนอง!I347"")"),0)</f>
        <v>0</v>
      </c>
      <c r="J452" s="195">
        <f ca="1">IFERROR(__xludf.DUMMYFUNCTION("IMPORTRANGE(""https://docs.google.com/spreadsheets/d/1IYY_tgx_IHuhSq3AJ5eI5OnqOPBNLWSHKh2a30DoXe8/edit?usp=sharing"",""ระนอง!J347"")"),0)</f>
        <v>0</v>
      </c>
      <c r="K452" s="169">
        <f t="shared" ca="1" si="115"/>
        <v>0</v>
      </c>
      <c r="L452" s="189"/>
      <c r="M452" s="189"/>
      <c r="N452" s="189"/>
      <c r="O452" s="189"/>
      <c r="P452" s="189"/>
    </row>
    <row r="453" spans="1:16" ht="21.75" customHeight="1" x14ac:dyDescent="0.35">
      <c r="A453" s="183"/>
      <c r="B453" s="184"/>
      <c r="C453" s="184"/>
      <c r="D453" s="201"/>
      <c r="E453" s="202" t="s">
        <v>54</v>
      </c>
      <c r="F453" s="203"/>
      <c r="G453" s="204"/>
      <c r="H453" s="194"/>
      <c r="I453" s="195"/>
      <c r="J453" s="205">
        <f ca="1">IFERROR(__xludf.DUMMYFUNCTION("IMPORTRANGE(""https://docs.google.com/spreadsheets/d/1IYY_tgx_IHuhSq3AJ5eI5OnqOPBNLWSHKh2a30DoXe8/edit?usp=sharing"",""ระนอง!J348"")"),0)</f>
        <v>0</v>
      </c>
      <c r="K453" s="169"/>
      <c r="L453" s="189"/>
      <c r="M453" s="189"/>
      <c r="N453" s="189"/>
      <c r="O453" s="189"/>
      <c r="P453" s="189"/>
    </row>
    <row r="454" spans="1:16" ht="21.75" customHeight="1" x14ac:dyDescent="0.35">
      <c r="A454" s="183"/>
      <c r="B454" s="184"/>
      <c r="C454" s="184"/>
      <c r="D454" s="213">
        <v>3</v>
      </c>
      <c r="E454" s="214" t="s">
        <v>55</v>
      </c>
      <c r="F454" s="215"/>
      <c r="G454" s="216"/>
      <c r="H454" s="194"/>
      <c r="I454" s="195"/>
      <c r="J454" s="217">
        <f ca="1">IFERROR(__xludf.DUMMYFUNCTION("IMPORTRANGE(""https://docs.google.com/spreadsheets/d/1IYY_tgx_IHuhSq3AJ5eI5OnqOPBNLWSHKh2a30DoXe8/edit?usp=sharing"",""ระนอง!J349"")"),0)</f>
        <v>0</v>
      </c>
      <c r="K454" s="169"/>
      <c r="L454" s="189"/>
      <c r="M454" s="189"/>
      <c r="N454" s="189"/>
      <c r="O454" s="189"/>
      <c r="P454" s="189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IFERROR(__xludf.DUMMYFUNCTION("IMPORTRANGE(""https://docs.google.com/spreadsheets/d/1IYY_tgx_IHuhSq3AJ5eI5OnqOPBNLWSHKh2a30DoXe8/edit?usp=sharing"",""ระนอง!I350"")"),0)</f>
        <v>0</v>
      </c>
      <c r="J455" s="377">
        <f ca="1">IFERROR(__xludf.DUMMYFUNCTION("IMPORTRANGE(""https://docs.google.com/spreadsheets/d/1IYY_tgx_IHuhSq3AJ5eI5OnqOPBNLWSHKh2a30DoXe8/edit?usp=sharing"",""ระนอง!J350"")"),0)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IFERROR(__xludf.DUMMYFUNCTION("IMPORTRANGE(""https://docs.google.com/spreadsheets/d/1IYY_tgx_IHuhSq3AJ5eI5OnqOPBNLWSHKh2a30DoXe8/edit?usp=sharing"",""ระนอง!L350"")"),61427)</f>
        <v>61427</v>
      </c>
      <c r="M455" s="379"/>
      <c r="N455" s="379">
        <f ca="1">IFERROR(__xludf.DUMMYFUNCTION("IMPORTRANGE(""https://docs.google.com/spreadsheets/d/1IYY_tgx_IHuhSq3AJ5eI5OnqOPBNLWSHKh2a30DoXe8/edit?usp=sharing"",""ระนอง!M350"")"),2220)</f>
        <v>2220</v>
      </c>
      <c r="O455" s="379">
        <f t="shared" ref="O455:O459" ca="1" si="116">+IF(L455&gt;0,N455*100/L455,0)</f>
        <v>3.6140459407101111</v>
      </c>
      <c r="P455" s="379"/>
    </row>
    <row r="456" spans="1:16" ht="21.75" customHeight="1" x14ac:dyDescent="0.35">
      <c r="A456" s="162"/>
      <c r="B456" s="163"/>
      <c r="C456" s="163" t="s">
        <v>16</v>
      </c>
      <c r="D456" s="164" t="s">
        <v>38</v>
      </c>
      <c r="E456" s="165"/>
      <c r="F456" s="165"/>
      <c r="G456" s="166" t="s">
        <v>39</v>
      </c>
      <c r="H456" s="167" t="s">
        <v>12</v>
      </c>
      <c r="I456" s="168" t="s">
        <v>40</v>
      </c>
      <c r="J456" s="168"/>
      <c r="K456" s="169"/>
      <c r="L456" s="170">
        <f ca="1">IFERROR(__xludf.DUMMYFUNCTION("IMPORTRANGE(""https://docs.google.com/spreadsheets/d/1IYY_tgx_IHuhSq3AJ5eI5OnqOPBNLWSHKh2a30DoXe8/edit?usp=sharing"",""ระนอง!L351"")"),0)</f>
        <v>0</v>
      </c>
      <c r="M456" s="170"/>
      <c r="N456" s="176">
        <f ca="1">IFERROR(__xludf.DUMMYFUNCTION("IMPORTRANGE(""https://docs.google.com/spreadsheets/d/1IYY_tgx_IHuhSq3AJ5eI5OnqOPBNLWSHKh2a30DoXe8/edit?usp=sharing"",""ระนอง!M351"")"),0)</f>
        <v>0</v>
      </c>
      <c r="O456" s="176">
        <f t="shared" ca="1" si="116"/>
        <v>0</v>
      </c>
      <c r="P456" s="176"/>
    </row>
    <row r="457" spans="1:16" ht="21.75" customHeight="1" x14ac:dyDescent="0.35">
      <c r="A457" s="162"/>
      <c r="B457" s="163"/>
      <c r="C457" s="163"/>
      <c r="D457" s="172"/>
      <c r="E457" s="165"/>
      <c r="F457" s="165" t="s">
        <v>40</v>
      </c>
      <c r="G457" s="166" t="s">
        <v>41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IFERROR(__xludf.DUMMYFUNCTION("IMPORTRANGE(""https://docs.google.com/spreadsheets/d/1IYY_tgx_IHuhSq3AJ5eI5OnqOPBNLWSHKh2a30DoXe8/edit?usp=sharing"",""ระนอง!L352"")"),61427)</f>
        <v>61427</v>
      </c>
      <c r="M457" s="171"/>
      <c r="N457" s="176">
        <f ca="1">IFERROR(__xludf.DUMMYFUNCTION("IMPORTRANGE(""https://docs.google.com/spreadsheets/d/1IYY_tgx_IHuhSq3AJ5eI5OnqOPBNLWSHKh2a30DoXe8/edit?usp=sharing"",""ระนอง!M352"")"),2220)</f>
        <v>2220</v>
      </c>
      <c r="O457" s="176">
        <f t="shared" ca="1" si="116"/>
        <v>3.6140459407101111</v>
      </c>
      <c r="P457" s="176"/>
    </row>
    <row r="458" spans="1:16" ht="21.75" customHeight="1" x14ac:dyDescent="0.35">
      <c r="A458" s="162"/>
      <c r="B458" s="163"/>
      <c r="C458" s="163"/>
      <c r="D458" s="172"/>
      <c r="E458" s="165"/>
      <c r="F458" s="165"/>
      <c r="G458" s="380" t="s">
        <v>129</v>
      </c>
      <c r="H458" s="167" t="s">
        <v>12</v>
      </c>
      <c r="I458" s="168"/>
      <c r="J458" s="168"/>
      <c r="K458" s="169"/>
      <c r="L458" s="176">
        <f ca="1">IFERROR(__xludf.DUMMYFUNCTION("IMPORTRANGE(""https://docs.google.com/spreadsheets/d/1IYY_tgx_IHuhSq3AJ5eI5OnqOPBNLWSHKh2a30DoXe8/edit?usp=sharing"",""ระนอง!L353"")"),0)</f>
        <v>0</v>
      </c>
      <c r="M458" s="176"/>
      <c r="N458" s="176">
        <f ca="1">IFERROR(__xludf.DUMMYFUNCTION("IMPORTRANGE(""https://docs.google.com/spreadsheets/d/1IYY_tgx_IHuhSq3AJ5eI5OnqOPBNLWSHKh2a30DoXe8/edit?usp=sharing"",""ระนอง!M353"")"),0)</f>
        <v>0</v>
      </c>
      <c r="O458" s="176">
        <f t="shared" ca="1" si="116"/>
        <v>0</v>
      </c>
      <c r="P458" s="176"/>
    </row>
    <row r="459" spans="1:16" ht="21.75" customHeight="1" x14ac:dyDescent="0.35">
      <c r="A459" s="162"/>
      <c r="B459" s="163"/>
      <c r="C459" s="163"/>
      <c r="D459" s="172"/>
      <c r="E459" s="165"/>
      <c r="F459" s="165"/>
      <c r="G459" s="380" t="s">
        <v>130</v>
      </c>
      <c r="H459" s="167" t="s">
        <v>12</v>
      </c>
      <c r="I459" s="168"/>
      <c r="J459" s="168"/>
      <c r="K459" s="169"/>
      <c r="L459" s="176">
        <f ca="1">IFERROR(__xludf.DUMMYFUNCTION("IMPORTRANGE(""https://docs.google.com/spreadsheets/d/1IYY_tgx_IHuhSq3AJ5eI5OnqOPBNLWSHKh2a30DoXe8/edit?usp=sharing"",""ระนอง!L354"")"),61427)</f>
        <v>61427</v>
      </c>
      <c r="M459" s="176"/>
      <c r="N459" s="176">
        <f ca="1">IFERROR(__xludf.DUMMYFUNCTION("IMPORTRANGE(""https://docs.google.com/spreadsheets/d/1IYY_tgx_IHuhSq3AJ5eI5OnqOPBNLWSHKh2a30DoXe8/edit?usp=sharing"",""ระนอง!M354"")"),2220)</f>
        <v>2220</v>
      </c>
      <c r="O459" s="176">
        <f t="shared" ca="1" si="116"/>
        <v>3.6140459407101111</v>
      </c>
      <c r="P459" s="176"/>
    </row>
    <row r="460" spans="1:16" ht="21.75" customHeight="1" x14ac:dyDescent="0.35">
      <c r="A460" s="381"/>
      <c r="B460" s="382"/>
      <c r="C460" s="163"/>
      <c r="D460" s="383"/>
      <c r="E460" s="165"/>
      <c r="F460" s="165"/>
      <c r="G460" s="384" t="s">
        <v>131</v>
      </c>
      <c r="H460" s="167" t="s">
        <v>12</v>
      </c>
      <c r="I460" s="195"/>
      <c r="J460" s="195"/>
      <c r="K460" s="231"/>
      <c r="L460" s="176"/>
      <c r="M460" s="176"/>
      <c r="N460" s="173">
        <f ca="1">IFERROR(__xludf.DUMMYFUNCTION("IMPORTRANGE(""https://docs.google.com/spreadsheets/d/1IYY_tgx_IHuhSq3AJ5eI5OnqOPBNLWSHKh2a30DoXe8/edit?usp=sharing"",""ระนอง!M355"")"),0)</f>
        <v>0</v>
      </c>
      <c r="O460" s="176"/>
      <c r="P460" s="176"/>
    </row>
    <row r="461" spans="1:16" ht="21.75" customHeight="1" x14ac:dyDescent="0.35">
      <c r="A461" s="381"/>
      <c r="B461" s="382"/>
      <c r="C461" s="163"/>
      <c r="D461" s="383"/>
      <c r="E461" s="165"/>
      <c r="F461" s="165"/>
      <c r="G461" s="384" t="s">
        <v>132</v>
      </c>
      <c r="H461" s="167" t="s">
        <v>12</v>
      </c>
      <c r="I461" s="195"/>
      <c r="J461" s="195"/>
      <c r="K461" s="231"/>
      <c r="L461" s="176"/>
      <c r="M461" s="176"/>
      <c r="N461" s="173">
        <f ca="1">IFERROR(__xludf.DUMMYFUNCTION("IMPORTRANGE(""https://docs.google.com/spreadsheets/d/1IYY_tgx_IHuhSq3AJ5eI5OnqOPBNLWSHKh2a30DoXe8/edit?usp=sharing"",""ระนอง!M356"")"),0)</f>
        <v>0</v>
      </c>
      <c r="O461" s="176"/>
      <c r="P461" s="176"/>
    </row>
    <row r="462" spans="1:16" ht="21.75" customHeight="1" x14ac:dyDescent="0.35">
      <c r="A462" s="381"/>
      <c r="B462" s="382"/>
      <c r="C462" s="163"/>
      <c r="D462" s="383"/>
      <c r="E462" s="165"/>
      <c r="F462" s="165"/>
      <c r="G462" s="384" t="s">
        <v>133</v>
      </c>
      <c r="H462" s="167" t="s">
        <v>12</v>
      </c>
      <c r="I462" s="195"/>
      <c r="J462" s="195"/>
      <c r="K462" s="231"/>
      <c r="L462" s="176"/>
      <c r="M462" s="176"/>
      <c r="N462" s="385">
        <f ca="1">IFERROR(__xludf.DUMMYFUNCTION("IMPORTRANGE(""https://docs.google.com/spreadsheets/d/1IYY_tgx_IHuhSq3AJ5eI5OnqOPBNLWSHKh2a30DoXe8/edit?usp=sharing"",""ระนอง!M357"")"),0)</f>
        <v>0</v>
      </c>
      <c r="O462" s="176"/>
      <c r="P462" s="176"/>
    </row>
    <row r="463" spans="1:16" ht="21.75" customHeight="1" x14ac:dyDescent="0.35">
      <c r="A463" s="381"/>
      <c r="B463" s="382"/>
      <c r="C463" s="163"/>
      <c r="D463" s="383"/>
      <c r="E463" s="165"/>
      <c r="F463" s="165"/>
      <c r="G463" s="384" t="s">
        <v>134</v>
      </c>
      <c r="H463" s="167" t="s">
        <v>12</v>
      </c>
      <c r="I463" s="195"/>
      <c r="J463" s="195"/>
      <c r="K463" s="231"/>
      <c r="L463" s="176"/>
      <c r="M463" s="176"/>
      <c r="N463" s="385">
        <f ca="1">IFERROR(__xludf.DUMMYFUNCTION("IMPORTRANGE(""https://docs.google.com/spreadsheets/d/1IYY_tgx_IHuhSq3AJ5eI5OnqOPBNLWSHKh2a30DoXe8/edit?usp=sharing"",""ระนอง!M358"")"),2220)</f>
        <v>2220</v>
      </c>
      <c r="O463" s="176"/>
      <c r="P463" s="176"/>
    </row>
    <row r="464" spans="1:16" ht="21.75" customHeight="1" x14ac:dyDescent="0.35">
      <c r="A464" s="183"/>
      <c r="B464" s="184"/>
      <c r="C464" s="421" t="s">
        <v>166</v>
      </c>
      <c r="D464" s="421"/>
      <c r="E464" s="422"/>
      <c r="F464" s="422"/>
      <c r="G464" s="423"/>
      <c r="H464" s="273" t="s">
        <v>122</v>
      </c>
      <c r="I464" s="274">
        <f ca="1">IFERROR(__xludf.DUMMYFUNCTION("IMPORTRANGE(""https://docs.google.com/spreadsheets/d/1IYY_tgx_IHuhSq3AJ5eI5OnqOPBNLWSHKh2a30DoXe8/edit?usp=sharing"",""ระนอง!I359"")"),0)</f>
        <v>0</v>
      </c>
      <c r="J464" s="274">
        <f ca="1">IFERROR(__xludf.DUMMYFUNCTION("IMPORTRANGE(""https://docs.google.com/spreadsheets/d/1IYY_tgx_IHuhSq3AJ5eI5OnqOPBNLWSHKh2a30DoXe8/edit?usp=sharing"",""ระนอง!J359"")"),0)</f>
        <v>0</v>
      </c>
      <c r="K464" s="275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1" t="s">
        <v>167</v>
      </c>
      <c r="F465" s="203"/>
      <c r="G465" s="204"/>
      <c r="H465" s="424" t="s">
        <v>122</v>
      </c>
      <c r="I465" s="425">
        <f ca="1">IFERROR(__xludf.DUMMYFUNCTION("IMPORTRANGE(""https://docs.google.com/spreadsheets/d/1IYY_tgx_IHuhSq3AJ5eI5OnqOPBNLWSHKh2a30DoXe8/edit?usp=sharing"",""ระนอง!I360"")"),0)</f>
        <v>0</v>
      </c>
      <c r="J465" s="426">
        <f ca="1">IFERROR(__xludf.DUMMYFUNCTION("IMPORTRANGE(""https://docs.google.com/spreadsheets/d/1IYY_tgx_IHuhSq3AJ5eI5OnqOPBNLWSHKh2a30DoXe8/edit?usp=sharing"",""ระนอง!J360"")"),0)</f>
        <v>0</v>
      </c>
      <c r="K465" s="209">
        <f t="shared" ca="1" si="117"/>
        <v>0</v>
      </c>
      <c r="L465" s="189"/>
      <c r="M465" s="189"/>
      <c r="N465" s="189"/>
      <c r="O465" s="189"/>
      <c r="P465" s="189"/>
    </row>
    <row r="466" spans="1:16" ht="21.75" customHeight="1" x14ac:dyDescent="0.35">
      <c r="A466" s="408"/>
      <c r="B466" s="409"/>
      <c r="C466" s="409"/>
      <c r="D466" s="410"/>
      <c r="E466" s="203"/>
      <c r="F466" s="203"/>
      <c r="G466" s="204"/>
      <c r="H466" s="424" t="s">
        <v>36</v>
      </c>
      <c r="I466" s="425">
        <f ca="1">IFERROR(__xludf.DUMMYFUNCTION("IMPORTRANGE(""https://docs.google.com/spreadsheets/d/1IYY_tgx_IHuhSq3AJ5eI5OnqOPBNLWSHKh2a30DoXe8/edit?usp=sharing"",""ระนอง!I361"")"),0)</f>
        <v>0</v>
      </c>
      <c r="J466" s="426">
        <f ca="1">IFERROR(__xludf.DUMMYFUNCTION("IMPORTRANGE(""https://docs.google.com/spreadsheets/d/1IYY_tgx_IHuhSq3AJ5eI5OnqOPBNLWSHKh2a30DoXe8/edit?usp=sharing"",""ระนอง!J361"")"),0)</f>
        <v>0</v>
      </c>
      <c r="K466" s="209">
        <f t="shared" ca="1" si="117"/>
        <v>0</v>
      </c>
      <c r="L466" s="189"/>
      <c r="M466" s="189"/>
      <c r="N466" s="189"/>
      <c r="O466" s="189"/>
      <c r="P466" s="189"/>
    </row>
    <row r="467" spans="1:16" ht="21.75" customHeight="1" x14ac:dyDescent="0.35">
      <c r="A467" s="408"/>
      <c r="B467" s="409"/>
      <c r="C467" s="409"/>
      <c r="D467" s="410"/>
      <c r="E467" s="203"/>
      <c r="F467" s="396" t="s">
        <v>168</v>
      </c>
      <c r="G467" s="427"/>
      <c r="H467" s="428" t="s">
        <v>122</v>
      </c>
      <c r="I467" s="210">
        <f ca="1">IFERROR(__xludf.DUMMYFUNCTION("IMPORTRANGE(""https://docs.google.com/spreadsheets/d/1IYY_tgx_IHuhSq3AJ5eI5OnqOPBNLWSHKh2a30DoXe8/edit?usp=sharing"",""ระนอง!I362"")"),0)</f>
        <v>0</v>
      </c>
      <c r="J467" s="196">
        <f ca="1">IFERROR(__xludf.DUMMYFUNCTION("IMPORTRANGE(""https://docs.google.com/spreadsheets/d/1IYY_tgx_IHuhSq3AJ5eI5OnqOPBNLWSHKh2a30DoXe8/edit?usp=sharing"",""ระนอง!J362"")"),0)</f>
        <v>0</v>
      </c>
      <c r="K467" s="169">
        <f t="shared" ca="1" si="117"/>
        <v>0</v>
      </c>
      <c r="L467" s="189"/>
      <c r="M467" s="189"/>
      <c r="N467" s="189"/>
      <c r="O467" s="189"/>
      <c r="P467" s="189"/>
    </row>
    <row r="468" spans="1:16" ht="21.75" customHeight="1" x14ac:dyDescent="0.35">
      <c r="A468" s="408"/>
      <c r="B468" s="409"/>
      <c r="C468" s="409"/>
      <c r="D468" s="410"/>
      <c r="E468" s="203"/>
      <c r="F468" s="203"/>
      <c r="G468" s="427"/>
      <c r="H468" s="428" t="s">
        <v>36</v>
      </c>
      <c r="I468" s="210">
        <f ca="1">IFERROR(__xludf.DUMMYFUNCTION("IMPORTRANGE(""https://docs.google.com/spreadsheets/d/1IYY_tgx_IHuhSq3AJ5eI5OnqOPBNLWSHKh2a30DoXe8/edit?usp=sharing"",""ระนอง!I363"")"),0)</f>
        <v>0</v>
      </c>
      <c r="J468" s="196">
        <f ca="1">IFERROR(__xludf.DUMMYFUNCTION("IMPORTRANGE(""https://docs.google.com/spreadsheets/d/1IYY_tgx_IHuhSq3AJ5eI5OnqOPBNLWSHKh2a30DoXe8/edit?usp=sharing"",""ระนอง!J363"")"),0)</f>
        <v>0</v>
      </c>
      <c r="K468" s="169">
        <f t="shared" ca="1" si="117"/>
        <v>0</v>
      </c>
      <c r="L468" s="189"/>
      <c r="M468" s="189"/>
      <c r="N468" s="189"/>
      <c r="O468" s="189"/>
      <c r="P468" s="189"/>
    </row>
    <row r="469" spans="1:16" ht="21.75" customHeight="1" x14ac:dyDescent="0.35">
      <c r="A469" s="408"/>
      <c r="B469" s="409"/>
      <c r="C469" s="409"/>
      <c r="D469" s="410"/>
      <c r="E469" s="203"/>
      <c r="F469" s="396" t="s">
        <v>169</v>
      </c>
      <c r="G469" s="427"/>
      <c r="H469" s="428" t="s">
        <v>122</v>
      </c>
      <c r="I469" s="210">
        <f ca="1">IFERROR(__xludf.DUMMYFUNCTION("IMPORTRANGE(""https://docs.google.com/spreadsheets/d/1IYY_tgx_IHuhSq3AJ5eI5OnqOPBNLWSHKh2a30DoXe8/edit?usp=sharing"",""ระนอง!I364"")"),0)</f>
        <v>0</v>
      </c>
      <c r="J469" s="196">
        <f ca="1">IFERROR(__xludf.DUMMYFUNCTION("IMPORTRANGE(""https://docs.google.com/spreadsheets/d/1IYY_tgx_IHuhSq3AJ5eI5OnqOPBNLWSHKh2a30DoXe8/edit?usp=sharing"",""ระนอง!J364"")"),0)</f>
        <v>0</v>
      </c>
      <c r="K469" s="169">
        <f t="shared" ca="1" si="117"/>
        <v>0</v>
      </c>
      <c r="L469" s="189"/>
      <c r="M469" s="189"/>
      <c r="N469" s="189"/>
      <c r="O469" s="189"/>
      <c r="P469" s="189"/>
    </row>
    <row r="470" spans="1:16" ht="21.75" customHeight="1" x14ac:dyDescent="0.35">
      <c r="A470" s="408"/>
      <c r="B470" s="409"/>
      <c r="C470" s="409"/>
      <c r="D470" s="410"/>
      <c r="E470" s="203"/>
      <c r="F470" s="203"/>
      <c r="G470" s="427"/>
      <c r="H470" s="428" t="s">
        <v>36</v>
      </c>
      <c r="I470" s="210">
        <f ca="1">IFERROR(__xludf.DUMMYFUNCTION("IMPORTRANGE(""https://docs.google.com/spreadsheets/d/1IYY_tgx_IHuhSq3AJ5eI5OnqOPBNLWSHKh2a30DoXe8/edit?usp=sharing"",""ระนอง!I365"")"),0)</f>
        <v>0</v>
      </c>
      <c r="J470" s="196">
        <f ca="1">IFERROR(__xludf.DUMMYFUNCTION("IMPORTRANGE(""https://docs.google.com/spreadsheets/d/1IYY_tgx_IHuhSq3AJ5eI5OnqOPBNLWSHKh2a30DoXe8/edit?usp=sharing"",""ระนอง!J365"")"),0)</f>
        <v>0</v>
      </c>
      <c r="K470" s="169">
        <f t="shared" ca="1" si="117"/>
        <v>0</v>
      </c>
      <c r="L470" s="189"/>
      <c r="M470" s="189"/>
      <c r="N470" s="189"/>
      <c r="O470" s="189"/>
      <c r="P470" s="189"/>
    </row>
    <row r="471" spans="1:16" ht="21.75" customHeight="1" x14ac:dyDescent="0.35">
      <c r="A471" s="408"/>
      <c r="B471" s="409"/>
      <c r="C471" s="409"/>
      <c r="D471" s="410"/>
      <c r="E471" s="203"/>
      <c r="F471" s="396" t="s">
        <v>170</v>
      </c>
      <c r="G471" s="427"/>
      <c r="H471" s="428" t="s">
        <v>122</v>
      </c>
      <c r="I471" s="210">
        <f ca="1">IFERROR(__xludf.DUMMYFUNCTION("IMPORTRANGE(""https://docs.google.com/spreadsheets/d/1IYY_tgx_IHuhSq3AJ5eI5OnqOPBNLWSHKh2a30DoXe8/edit?usp=sharing"",""ระนอง!I366"")"),0)</f>
        <v>0</v>
      </c>
      <c r="J471" s="196">
        <f ca="1">IFERROR(__xludf.DUMMYFUNCTION("IMPORTRANGE(""https://docs.google.com/spreadsheets/d/1IYY_tgx_IHuhSq3AJ5eI5OnqOPBNLWSHKh2a30DoXe8/edit?usp=sharing"",""ระนอง!J366"")"),0)</f>
        <v>0</v>
      </c>
      <c r="K471" s="169">
        <f t="shared" ca="1" si="117"/>
        <v>0</v>
      </c>
      <c r="L471" s="189"/>
      <c r="M471" s="189"/>
      <c r="N471" s="189"/>
      <c r="O471" s="189"/>
      <c r="P471" s="189"/>
    </row>
    <row r="472" spans="1:16" ht="21.75" customHeight="1" x14ac:dyDescent="0.35">
      <c r="A472" s="408"/>
      <c r="B472" s="409"/>
      <c r="C472" s="409"/>
      <c r="D472" s="410"/>
      <c r="E472" s="203"/>
      <c r="F472" s="203"/>
      <c r="G472" s="203"/>
      <c r="H472" s="428" t="s">
        <v>36</v>
      </c>
      <c r="I472" s="210">
        <f ca="1">IFERROR(__xludf.DUMMYFUNCTION("IMPORTRANGE(""https://docs.google.com/spreadsheets/d/1IYY_tgx_IHuhSq3AJ5eI5OnqOPBNLWSHKh2a30DoXe8/edit?usp=sharing"",""ระนอง!I367"")"),0)</f>
        <v>0</v>
      </c>
      <c r="J472" s="196">
        <f ca="1">IFERROR(__xludf.DUMMYFUNCTION("IMPORTRANGE(""https://docs.google.com/spreadsheets/d/1IYY_tgx_IHuhSq3AJ5eI5OnqOPBNLWSHKh2a30DoXe8/edit?usp=sharing"",""ระนอง!J367"")"),0)</f>
        <v>0</v>
      </c>
      <c r="K472" s="169">
        <f t="shared" ca="1" si="117"/>
        <v>0</v>
      </c>
      <c r="L472" s="189"/>
      <c r="M472" s="189"/>
      <c r="N472" s="189"/>
      <c r="O472" s="189"/>
      <c r="P472" s="189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3"/>
      <c r="G473" s="204"/>
      <c r="H473" s="424" t="s">
        <v>122</v>
      </c>
      <c r="I473" s="426">
        <f ca="1">IFERROR(__xludf.DUMMYFUNCTION("IMPORTRANGE(""https://docs.google.com/spreadsheets/d/1IYY_tgx_IHuhSq3AJ5eI5OnqOPBNLWSHKh2a30DoXe8/edit?usp=sharing"",""ระนอง!I368"")"),0)</f>
        <v>0</v>
      </c>
      <c r="J473" s="426">
        <f ca="1">IFERROR(__xludf.DUMMYFUNCTION("IMPORTRANGE(""https://docs.google.com/spreadsheets/d/1IYY_tgx_IHuhSq3AJ5eI5OnqOPBNLWSHKh2a30DoXe8/edit?usp=sharing"",""ระนอง!J368"")"),0)</f>
        <v>0</v>
      </c>
      <c r="K473" s="209">
        <f t="shared" ca="1" si="117"/>
        <v>0</v>
      </c>
      <c r="L473" s="189"/>
      <c r="M473" s="189"/>
      <c r="N473" s="189"/>
      <c r="O473" s="189"/>
      <c r="P473" s="189"/>
    </row>
    <row r="474" spans="1:16" ht="21.75" customHeight="1" x14ac:dyDescent="0.35">
      <c r="A474" s="408"/>
      <c r="B474" s="409"/>
      <c r="C474" s="409"/>
      <c r="D474" s="410"/>
      <c r="E474" s="203"/>
      <c r="F474" s="203"/>
      <c r="G474" s="204"/>
      <c r="H474" s="424" t="s">
        <v>36</v>
      </c>
      <c r="I474" s="425">
        <f ca="1">IFERROR(__xludf.DUMMYFUNCTION("IMPORTRANGE(""https://docs.google.com/spreadsheets/d/1IYY_tgx_IHuhSq3AJ5eI5OnqOPBNLWSHKh2a30DoXe8/edit?usp=sharing"",""ระนอง!I369"")"),0)</f>
        <v>0</v>
      </c>
      <c r="J474" s="426">
        <f ca="1">IFERROR(__xludf.DUMMYFUNCTION("IMPORTRANGE(""https://docs.google.com/spreadsheets/d/1IYY_tgx_IHuhSq3AJ5eI5OnqOPBNLWSHKh2a30DoXe8/edit?usp=sharing"",""ระนอง!J369"")"),0)</f>
        <v>0</v>
      </c>
      <c r="K474" s="169">
        <f t="shared" ca="1" si="117"/>
        <v>0</v>
      </c>
      <c r="L474" s="189"/>
      <c r="M474" s="189"/>
      <c r="N474" s="189"/>
      <c r="O474" s="189"/>
      <c r="P474" s="189"/>
    </row>
    <row r="475" spans="1:16" ht="21.75" customHeight="1" x14ac:dyDescent="0.35">
      <c r="A475" s="408"/>
      <c r="B475" s="409"/>
      <c r="C475" s="409"/>
      <c r="D475" s="410"/>
      <c r="E475" s="203"/>
      <c r="F475" s="202" t="s">
        <v>172</v>
      </c>
      <c r="G475" s="427"/>
      <c r="H475" s="428" t="s">
        <v>122</v>
      </c>
      <c r="I475" s="210">
        <f ca="1">IFERROR(__xludf.DUMMYFUNCTION("IMPORTRANGE(""https://docs.google.com/spreadsheets/d/1IYY_tgx_IHuhSq3AJ5eI5OnqOPBNLWSHKh2a30DoXe8/edit?usp=sharing"",""ระนอง!I370"")"),0)</f>
        <v>0</v>
      </c>
      <c r="J475" s="196">
        <f ca="1">IFERROR(__xludf.DUMMYFUNCTION("IMPORTRANGE(""https://docs.google.com/spreadsheets/d/1IYY_tgx_IHuhSq3AJ5eI5OnqOPBNLWSHKh2a30DoXe8/edit?usp=sharing"",""ระนอง!J370"")"),0)</f>
        <v>0</v>
      </c>
      <c r="K475" s="169">
        <f t="shared" ca="1" si="117"/>
        <v>0</v>
      </c>
      <c r="L475" s="189"/>
      <c r="M475" s="189"/>
      <c r="N475" s="189"/>
      <c r="O475" s="189"/>
      <c r="P475" s="189"/>
    </row>
    <row r="476" spans="1:16" ht="21.75" customHeight="1" x14ac:dyDescent="0.35">
      <c r="A476" s="408"/>
      <c r="B476" s="409"/>
      <c r="C476" s="409"/>
      <c r="D476" s="410"/>
      <c r="E476" s="203"/>
      <c r="F476" s="203"/>
      <c r="G476" s="427"/>
      <c r="H476" s="428" t="s">
        <v>36</v>
      </c>
      <c r="I476" s="210">
        <f ca="1">IFERROR(__xludf.DUMMYFUNCTION("IMPORTRANGE(""https://docs.google.com/spreadsheets/d/1IYY_tgx_IHuhSq3AJ5eI5OnqOPBNLWSHKh2a30DoXe8/edit?usp=sharing"",""ระนอง!I371"")"),0)</f>
        <v>0</v>
      </c>
      <c r="J476" s="196">
        <f ca="1">IFERROR(__xludf.DUMMYFUNCTION("IMPORTRANGE(""https://docs.google.com/spreadsheets/d/1IYY_tgx_IHuhSq3AJ5eI5OnqOPBNLWSHKh2a30DoXe8/edit?usp=sharing"",""ระนอง!J371"")"),0)</f>
        <v>0</v>
      </c>
      <c r="K476" s="169">
        <f t="shared" ca="1" si="117"/>
        <v>0</v>
      </c>
      <c r="L476" s="189"/>
      <c r="M476" s="189"/>
      <c r="N476" s="189"/>
      <c r="O476" s="189"/>
      <c r="P476" s="189"/>
    </row>
    <row r="477" spans="1:16" ht="21.75" customHeight="1" x14ac:dyDescent="0.35">
      <c r="A477" s="408"/>
      <c r="B477" s="409"/>
      <c r="C477" s="409"/>
      <c r="D477" s="410"/>
      <c r="E477" s="203"/>
      <c r="F477" s="202" t="s">
        <v>173</v>
      </c>
      <c r="G477" s="427"/>
      <c r="H477" s="428" t="s">
        <v>122</v>
      </c>
      <c r="I477" s="210">
        <f ca="1">IFERROR(__xludf.DUMMYFUNCTION("IMPORTRANGE(""https://docs.google.com/spreadsheets/d/1IYY_tgx_IHuhSq3AJ5eI5OnqOPBNLWSHKh2a30DoXe8/edit?usp=sharing"",""ระนอง!I372"")"),0)</f>
        <v>0</v>
      </c>
      <c r="J477" s="196">
        <f ca="1">IFERROR(__xludf.DUMMYFUNCTION("IMPORTRANGE(""https://docs.google.com/spreadsheets/d/1IYY_tgx_IHuhSq3AJ5eI5OnqOPBNLWSHKh2a30DoXe8/edit?usp=sharing"",""ระนอง!J372"")"),0)</f>
        <v>0</v>
      </c>
      <c r="K477" s="169">
        <f t="shared" ca="1" si="117"/>
        <v>0</v>
      </c>
      <c r="L477" s="189"/>
      <c r="M477" s="189"/>
      <c r="N477" s="189"/>
      <c r="O477" s="189"/>
      <c r="P477" s="189"/>
    </row>
    <row r="478" spans="1:16" ht="21.75" customHeight="1" x14ac:dyDescent="0.35">
      <c r="A478" s="408"/>
      <c r="B478" s="409"/>
      <c r="C478" s="409"/>
      <c r="D478" s="410"/>
      <c r="E478" s="203"/>
      <c r="F478" s="203"/>
      <c r="G478" s="427"/>
      <c r="H478" s="428" t="s">
        <v>36</v>
      </c>
      <c r="I478" s="210">
        <f ca="1">IFERROR(__xludf.DUMMYFUNCTION("IMPORTRANGE(""https://docs.google.com/spreadsheets/d/1IYY_tgx_IHuhSq3AJ5eI5OnqOPBNLWSHKh2a30DoXe8/edit?usp=sharing"",""ระนอง!I373"")"),0)</f>
        <v>0</v>
      </c>
      <c r="J478" s="196">
        <f ca="1">IFERROR(__xludf.DUMMYFUNCTION("IMPORTRANGE(""https://docs.google.com/spreadsheets/d/1IYY_tgx_IHuhSq3AJ5eI5OnqOPBNLWSHKh2a30DoXe8/edit?usp=sharing"",""ระนอง!J373"")"),0)</f>
        <v>0</v>
      </c>
      <c r="K478" s="169">
        <f t="shared" ca="1" si="117"/>
        <v>0</v>
      </c>
      <c r="L478" s="189"/>
      <c r="M478" s="189"/>
      <c r="N478" s="189"/>
      <c r="O478" s="189"/>
      <c r="P478" s="189"/>
    </row>
    <row r="479" spans="1:16" ht="21.75" customHeight="1" x14ac:dyDescent="0.35">
      <c r="A479" s="408"/>
      <c r="B479" s="409"/>
      <c r="C479" s="409"/>
      <c r="D479" s="410"/>
      <c r="E479" s="203"/>
      <c r="F479" s="202" t="s">
        <v>174</v>
      </c>
      <c r="G479" s="427"/>
      <c r="H479" s="428" t="s">
        <v>122</v>
      </c>
      <c r="I479" s="210">
        <f ca="1">IFERROR(__xludf.DUMMYFUNCTION("IMPORTRANGE(""https://docs.google.com/spreadsheets/d/1IYY_tgx_IHuhSq3AJ5eI5OnqOPBNLWSHKh2a30DoXe8/edit?usp=sharing"",""ระนอง!I374"")"),0)</f>
        <v>0</v>
      </c>
      <c r="J479" s="196">
        <f ca="1">IFERROR(__xludf.DUMMYFUNCTION("IMPORTRANGE(""https://docs.google.com/spreadsheets/d/1IYY_tgx_IHuhSq3AJ5eI5OnqOPBNLWSHKh2a30DoXe8/edit?usp=sharing"",""ระนอง!J374"")"),0)</f>
        <v>0</v>
      </c>
      <c r="K479" s="169">
        <f t="shared" ca="1" si="117"/>
        <v>0</v>
      </c>
      <c r="L479" s="189"/>
      <c r="M479" s="189"/>
      <c r="N479" s="189"/>
      <c r="O479" s="189"/>
      <c r="P479" s="189"/>
    </row>
    <row r="480" spans="1:16" ht="21.75" customHeight="1" x14ac:dyDescent="0.35">
      <c r="A480" s="408"/>
      <c r="B480" s="409"/>
      <c r="C480" s="409"/>
      <c r="D480" s="410"/>
      <c r="E480" s="203"/>
      <c r="F480" s="203"/>
      <c r="G480" s="204"/>
      <c r="H480" s="428" t="s">
        <v>36</v>
      </c>
      <c r="I480" s="210">
        <f ca="1">IFERROR(__xludf.DUMMYFUNCTION("IMPORTRANGE(""https://docs.google.com/spreadsheets/d/1IYY_tgx_IHuhSq3AJ5eI5OnqOPBNLWSHKh2a30DoXe8/edit?usp=sharing"",""ระนอง!I375"")"),0)</f>
        <v>0</v>
      </c>
      <c r="J480" s="196">
        <f ca="1">IFERROR(__xludf.DUMMYFUNCTION("IMPORTRANGE(""https://docs.google.com/spreadsheets/d/1IYY_tgx_IHuhSq3AJ5eI5OnqOPBNLWSHKh2a30DoXe8/edit?usp=sharing"",""ระนอง!J375"")"),0)</f>
        <v>0</v>
      </c>
      <c r="K480" s="169">
        <f t="shared" ca="1" si="117"/>
        <v>0</v>
      </c>
      <c r="L480" s="189"/>
      <c r="M480" s="189"/>
      <c r="N480" s="189"/>
      <c r="O480" s="189"/>
      <c r="P480" s="189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IFERROR(__xludf.DUMMYFUNCTION("IMPORTRANGE(""https://docs.google.com/spreadsheets/d/1IYY_tgx_IHuhSq3AJ5eI5OnqOPBNLWSHKh2a30DoXe8/edit?usp=sharing"",""ระนอง!I376"")"),0)</f>
        <v>0</v>
      </c>
      <c r="J481" s="426">
        <f ca="1">IFERROR(__xludf.DUMMYFUNCTION("IMPORTRANGE(""https://docs.google.com/spreadsheets/d/1IYY_tgx_IHuhSq3AJ5eI5OnqOPBNLWSHKh2a30DoXe8/edit?usp=sharing"",""ระนอง!J376"")"),0)</f>
        <v>0</v>
      </c>
      <c r="K481" s="209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3"/>
      <c r="F482" s="203"/>
      <c r="G482" s="204"/>
      <c r="H482" s="424" t="s">
        <v>36</v>
      </c>
      <c r="I482" s="425">
        <f ca="1">IFERROR(__xludf.DUMMYFUNCTION("IMPORTRANGE(""https://docs.google.com/spreadsheets/d/1IYY_tgx_IHuhSq3AJ5eI5OnqOPBNLWSHKh2a30DoXe8/edit?usp=sharing"",""ระนอง!I377"")"),0)</f>
        <v>0</v>
      </c>
      <c r="J482" s="426">
        <f ca="1">IFERROR(__xludf.DUMMYFUNCTION("IMPORTRANGE(""https://docs.google.com/spreadsheets/d/1IYY_tgx_IHuhSq3AJ5eI5OnqOPBNLWSHKh2a30DoXe8/edit?usp=sharing"",""ระนอง!J377"")"),0)</f>
        <v>0</v>
      </c>
      <c r="K482" s="169">
        <f t="shared" ca="1" si="117"/>
        <v>0</v>
      </c>
      <c r="L482" s="189"/>
      <c r="M482" s="189"/>
      <c r="N482" s="189"/>
      <c r="O482" s="189"/>
      <c r="P482" s="189"/>
    </row>
    <row r="483" spans="1:16" ht="21.75" customHeight="1" x14ac:dyDescent="0.35">
      <c r="A483" s="408"/>
      <c r="B483" s="409"/>
      <c r="C483" s="409"/>
      <c r="D483" s="410"/>
      <c r="E483" s="203"/>
      <c r="F483" s="202" t="s">
        <v>176</v>
      </c>
      <c r="G483" s="427"/>
      <c r="H483" s="428" t="s">
        <v>122</v>
      </c>
      <c r="I483" s="210">
        <f ca="1">IFERROR(__xludf.DUMMYFUNCTION("IMPORTRANGE(""https://docs.google.com/spreadsheets/d/1IYY_tgx_IHuhSq3AJ5eI5OnqOPBNLWSHKh2a30DoXe8/edit?usp=sharing"",""ระนอง!I378"")"),0)</f>
        <v>0</v>
      </c>
      <c r="J483" s="196">
        <f ca="1">IFERROR(__xludf.DUMMYFUNCTION("IMPORTRANGE(""https://docs.google.com/spreadsheets/d/1IYY_tgx_IHuhSq3AJ5eI5OnqOPBNLWSHKh2a30DoXe8/edit?usp=sharing"",""ระนอง!J378"")"),0)</f>
        <v>0</v>
      </c>
      <c r="K483" s="169">
        <f t="shared" ca="1" si="117"/>
        <v>0</v>
      </c>
      <c r="L483" s="189"/>
      <c r="M483" s="189"/>
      <c r="N483" s="189"/>
      <c r="O483" s="189"/>
      <c r="P483" s="189"/>
    </row>
    <row r="484" spans="1:16" ht="21.75" customHeight="1" x14ac:dyDescent="0.35">
      <c r="A484" s="408"/>
      <c r="B484" s="409"/>
      <c r="C484" s="409"/>
      <c r="D484" s="410"/>
      <c r="E484" s="203"/>
      <c r="F484" s="203"/>
      <c r="G484" s="427"/>
      <c r="H484" s="428" t="s">
        <v>36</v>
      </c>
      <c r="I484" s="210">
        <f ca="1">IFERROR(__xludf.DUMMYFUNCTION("IMPORTRANGE(""https://docs.google.com/spreadsheets/d/1IYY_tgx_IHuhSq3AJ5eI5OnqOPBNLWSHKh2a30DoXe8/edit?usp=sharing"",""ระนอง!I379"")"),0)</f>
        <v>0</v>
      </c>
      <c r="J484" s="196">
        <f ca="1">IFERROR(__xludf.DUMMYFUNCTION("IMPORTRANGE(""https://docs.google.com/spreadsheets/d/1IYY_tgx_IHuhSq3AJ5eI5OnqOPBNLWSHKh2a30DoXe8/edit?usp=sharing"",""ระนอง!J379"")"),0)</f>
        <v>0</v>
      </c>
      <c r="K484" s="169">
        <f t="shared" ca="1" si="117"/>
        <v>0</v>
      </c>
      <c r="L484" s="189"/>
      <c r="M484" s="189"/>
      <c r="N484" s="189"/>
      <c r="O484" s="189"/>
      <c r="P484" s="189"/>
    </row>
    <row r="485" spans="1:16" ht="21.75" customHeight="1" x14ac:dyDescent="0.35">
      <c r="A485" s="408"/>
      <c r="B485" s="409"/>
      <c r="C485" s="409"/>
      <c r="D485" s="410"/>
      <c r="E485" s="203"/>
      <c r="F485" s="202" t="s">
        <v>177</v>
      </c>
      <c r="G485" s="427"/>
      <c r="H485" s="428" t="s">
        <v>122</v>
      </c>
      <c r="I485" s="210">
        <f ca="1">IFERROR(__xludf.DUMMYFUNCTION("IMPORTRANGE(""https://docs.google.com/spreadsheets/d/1IYY_tgx_IHuhSq3AJ5eI5OnqOPBNLWSHKh2a30DoXe8/edit?usp=sharing"",""ระนอง!I380"")"),0)</f>
        <v>0</v>
      </c>
      <c r="J485" s="196">
        <f ca="1">IFERROR(__xludf.DUMMYFUNCTION("IMPORTRANGE(""https://docs.google.com/spreadsheets/d/1IYY_tgx_IHuhSq3AJ5eI5OnqOPBNLWSHKh2a30DoXe8/edit?usp=sharing"",""ระนอง!J380"")"),0)</f>
        <v>0</v>
      </c>
      <c r="K485" s="169">
        <f t="shared" ca="1" si="117"/>
        <v>0</v>
      </c>
      <c r="L485" s="189"/>
      <c r="M485" s="189"/>
      <c r="N485" s="189"/>
      <c r="O485" s="189"/>
      <c r="P485" s="189"/>
    </row>
    <row r="486" spans="1:16" ht="21.75" customHeight="1" x14ac:dyDescent="0.35">
      <c r="A486" s="408"/>
      <c r="B486" s="409"/>
      <c r="C486" s="409"/>
      <c r="D486" s="410"/>
      <c r="E486" s="203"/>
      <c r="F486" s="203"/>
      <c r="G486" s="427"/>
      <c r="H486" s="428" t="s">
        <v>36</v>
      </c>
      <c r="I486" s="210">
        <f ca="1">IFERROR(__xludf.DUMMYFUNCTION("IMPORTRANGE(""https://docs.google.com/spreadsheets/d/1IYY_tgx_IHuhSq3AJ5eI5OnqOPBNLWSHKh2a30DoXe8/edit?usp=sharing"",""ระนอง!I381"")"),0)</f>
        <v>0</v>
      </c>
      <c r="J486" s="196">
        <f ca="1">IFERROR(__xludf.DUMMYFUNCTION("IMPORTRANGE(""https://docs.google.com/spreadsheets/d/1IYY_tgx_IHuhSq3AJ5eI5OnqOPBNLWSHKh2a30DoXe8/edit?usp=sharing"",""ระนอง!J381"")"),0)</f>
        <v>0</v>
      </c>
      <c r="K486" s="169">
        <f t="shared" ca="1" si="117"/>
        <v>0</v>
      </c>
      <c r="L486" s="189"/>
      <c r="M486" s="189"/>
      <c r="N486" s="189"/>
      <c r="O486" s="189"/>
      <c r="P486" s="189"/>
    </row>
    <row r="487" spans="1:16" ht="21.75" customHeight="1" x14ac:dyDescent="0.35">
      <c r="A487" s="408"/>
      <c r="B487" s="409"/>
      <c r="C487" s="409"/>
      <c r="D487" s="410"/>
      <c r="E487" s="203"/>
      <c r="F487" s="202" t="s">
        <v>178</v>
      </c>
      <c r="G487" s="427"/>
      <c r="H487" s="428" t="s">
        <v>122</v>
      </c>
      <c r="I487" s="210">
        <f ca="1">IFERROR(__xludf.DUMMYFUNCTION("IMPORTRANGE(""https://docs.google.com/spreadsheets/d/1IYY_tgx_IHuhSq3AJ5eI5OnqOPBNLWSHKh2a30DoXe8/edit?usp=sharing"",""ระนอง!I382"")"),0)</f>
        <v>0</v>
      </c>
      <c r="J487" s="426">
        <f ca="1">IFERROR(__xludf.DUMMYFUNCTION("IMPORTRANGE(""https://docs.google.com/spreadsheets/d/1IYY_tgx_IHuhSq3AJ5eI5OnqOPBNLWSHKh2a30DoXe8/edit?usp=sharing"",""ระนอง!J382"")"),0)</f>
        <v>0</v>
      </c>
      <c r="K487" s="169">
        <f t="shared" ca="1" si="117"/>
        <v>0</v>
      </c>
      <c r="L487" s="189"/>
      <c r="M487" s="189"/>
      <c r="N487" s="189"/>
      <c r="O487" s="189"/>
      <c r="P487" s="189"/>
    </row>
    <row r="488" spans="1:16" ht="21.75" customHeight="1" x14ac:dyDescent="0.35">
      <c r="A488" s="408"/>
      <c r="B488" s="409"/>
      <c r="C488" s="409"/>
      <c r="D488" s="410"/>
      <c r="E488" s="203"/>
      <c r="F488" s="203"/>
      <c r="G488" s="203"/>
      <c r="H488" s="428" t="s">
        <v>36</v>
      </c>
      <c r="I488" s="210">
        <f ca="1">IFERROR(__xludf.DUMMYFUNCTION("IMPORTRANGE(""https://docs.google.com/spreadsheets/d/1IYY_tgx_IHuhSq3AJ5eI5OnqOPBNLWSHKh2a30DoXe8/edit?usp=sharing"",""ระนอง!I383"")"),0)</f>
        <v>0</v>
      </c>
      <c r="J488" s="426">
        <f ca="1">IFERROR(__xludf.DUMMYFUNCTION("IMPORTRANGE(""https://docs.google.com/spreadsheets/d/1IYY_tgx_IHuhSq3AJ5eI5OnqOPBNLWSHKh2a30DoXe8/edit?usp=sharing"",""ระนอง!J383"")"),0)</f>
        <v>0</v>
      </c>
      <c r="K488" s="169">
        <f t="shared" ca="1" si="117"/>
        <v>0</v>
      </c>
      <c r="L488" s="189"/>
      <c r="M488" s="189"/>
      <c r="N488" s="189"/>
      <c r="O488" s="189"/>
      <c r="P488" s="189"/>
    </row>
    <row r="489" spans="1:16" ht="21.75" customHeight="1" x14ac:dyDescent="0.35">
      <c r="A489" s="408"/>
      <c r="B489" s="409"/>
      <c r="C489" s="409"/>
      <c r="D489" s="410"/>
      <c r="E489" s="203"/>
      <c r="F489" s="203"/>
      <c r="G489" s="202" t="s">
        <v>179</v>
      </c>
      <c r="H489" s="428" t="s">
        <v>122</v>
      </c>
      <c r="I489" s="210">
        <f ca="1">IFERROR(__xludf.DUMMYFUNCTION("IMPORTRANGE(""https://docs.google.com/spreadsheets/d/1IYY_tgx_IHuhSq3AJ5eI5OnqOPBNLWSHKh2a30DoXe8/edit?usp=sharing"",""ระนอง!I384"")"),0)</f>
        <v>0</v>
      </c>
      <c r="J489" s="196">
        <f ca="1">IFERROR(__xludf.DUMMYFUNCTION("IMPORTRANGE(""https://docs.google.com/spreadsheets/d/1IYY_tgx_IHuhSq3AJ5eI5OnqOPBNLWSHKh2a30DoXe8/edit?usp=sharing"",""ระนอง!J384"")"),0)</f>
        <v>0</v>
      </c>
      <c r="K489" s="169">
        <f t="shared" ca="1" si="117"/>
        <v>0</v>
      </c>
      <c r="L489" s="189"/>
      <c r="M489" s="189"/>
      <c r="N489" s="189"/>
      <c r="O489" s="189"/>
      <c r="P489" s="189"/>
    </row>
    <row r="490" spans="1:16" ht="21.75" customHeight="1" x14ac:dyDescent="0.35">
      <c r="A490" s="408"/>
      <c r="B490" s="409"/>
      <c r="C490" s="409"/>
      <c r="D490" s="410"/>
      <c r="E490" s="203"/>
      <c r="F490" s="203"/>
      <c r="G490" s="203"/>
      <c r="H490" s="428" t="s">
        <v>36</v>
      </c>
      <c r="I490" s="210">
        <f ca="1">IFERROR(__xludf.DUMMYFUNCTION("IMPORTRANGE(""https://docs.google.com/spreadsheets/d/1IYY_tgx_IHuhSq3AJ5eI5OnqOPBNLWSHKh2a30DoXe8/edit?usp=sharing"",""ระนอง!I385"")"),0)</f>
        <v>0</v>
      </c>
      <c r="J490" s="196">
        <f ca="1">IFERROR(__xludf.DUMMYFUNCTION("IMPORTRANGE(""https://docs.google.com/spreadsheets/d/1IYY_tgx_IHuhSq3AJ5eI5OnqOPBNLWSHKh2a30DoXe8/edit?usp=sharing"",""ระนอง!J385"")"),0)</f>
        <v>0</v>
      </c>
      <c r="K490" s="169">
        <f t="shared" ca="1" si="117"/>
        <v>0</v>
      </c>
      <c r="L490" s="189"/>
      <c r="M490" s="189"/>
      <c r="N490" s="189"/>
      <c r="O490" s="189"/>
      <c r="P490" s="189"/>
    </row>
    <row r="491" spans="1:16" ht="21.75" customHeight="1" x14ac:dyDescent="0.35">
      <c r="A491" s="408"/>
      <c r="B491" s="409"/>
      <c r="C491" s="409"/>
      <c r="D491" s="410"/>
      <c r="E491" s="203"/>
      <c r="F491" s="203"/>
      <c r="G491" s="202" t="s">
        <v>180</v>
      </c>
      <c r="H491" s="428" t="s">
        <v>122</v>
      </c>
      <c r="I491" s="210">
        <f ca="1">IFERROR(__xludf.DUMMYFUNCTION("IMPORTRANGE(""https://docs.google.com/spreadsheets/d/1IYY_tgx_IHuhSq3AJ5eI5OnqOPBNLWSHKh2a30DoXe8/edit?usp=sharing"",""ระนอง!I386"")"),0)</f>
        <v>0</v>
      </c>
      <c r="J491" s="196">
        <f ca="1">IFERROR(__xludf.DUMMYFUNCTION("IMPORTRANGE(""https://docs.google.com/spreadsheets/d/1IYY_tgx_IHuhSq3AJ5eI5OnqOPBNLWSHKh2a30DoXe8/edit?usp=sharing"",""ระนอง!J386"")"),0)</f>
        <v>0</v>
      </c>
      <c r="K491" s="169">
        <f t="shared" ca="1" si="117"/>
        <v>0</v>
      </c>
      <c r="L491" s="189"/>
      <c r="M491" s="189"/>
      <c r="N491" s="189"/>
      <c r="O491" s="189"/>
      <c r="P491" s="189"/>
    </row>
    <row r="492" spans="1:16" ht="21.75" customHeight="1" x14ac:dyDescent="0.35">
      <c r="A492" s="408"/>
      <c r="B492" s="409"/>
      <c r="C492" s="409"/>
      <c r="D492" s="410"/>
      <c r="E492" s="203"/>
      <c r="F492" s="203"/>
      <c r="G492" s="204"/>
      <c r="H492" s="428" t="s">
        <v>36</v>
      </c>
      <c r="I492" s="210">
        <f ca="1">IFERROR(__xludf.DUMMYFUNCTION("IMPORTRANGE(""https://docs.google.com/spreadsheets/d/1IYY_tgx_IHuhSq3AJ5eI5OnqOPBNLWSHKh2a30DoXe8/edit?usp=sharing"",""ระนอง!I387"")"),0)</f>
        <v>0</v>
      </c>
      <c r="J492" s="196">
        <f ca="1">IFERROR(__xludf.DUMMYFUNCTION("IMPORTRANGE(""https://docs.google.com/spreadsheets/d/1IYY_tgx_IHuhSq3AJ5eI5OnqOPBNLWSHKh2a30DoXe8/edit?usp=sharing"",""ระนอง!J387"")"),0)</f>
        <v>0</v>
      </c>
      <c r="K492" s="169">
        <f t="shared" ca="1" si="117"/>
        <v>0</v>
      </c>
      <c r="L492" s="189"/>
      <c r="M492" s="189"/>
      <c r="N492" s="189"/>
      <c r="O492" s="189"/>
      <c r="P492" s="189"/>
    </row>
    <row r="493" spans="1:16" ht="21.75" customHeight="1" x14ac:dyDescent="0.35">
      <c r="A493" s="408"/>
      <c r="B493" s="409"/>
      <c r="C493" s="409"/>
      <c r="D493" s="410"/>
      <c r="E493" s="203"/>
      <c r="F493" s="202" t="s">
        <v>181</v>
      </c>
      <c r="G493" s="427"/>
      <c r="H493" s="428" t="s">
        <v>122</v>
      </c>
      <c r="I493" s="210">
        <f ca="1">IFERROR(__xludf.DUMMYFUNCTION("IMPORTRANGE(""https://docs.google.com/spreadsheets/d/1IYY_tgx_IHuhSq3AJ5eI5OnqOPBNLWSHKh2a30DoXe8/edit?usp=sharing"",""ระนอง!I388"")"),0)</f>
        <v>0</v>
      </c>
      <c r="J493" s="196">
        <f ca="1">IFERROR(__xludf.DUMMYFUNCTION("IMPORTRANGE(""https://docs.google.com/spreadsheets/d/1IYY_tgx_IHuhSq3AJ5eI5OnqOPBNLWSHKh2a30DoXe8/edit?usp=sharing"",""ระนอง!J388"")"),0)</f>
        <v>0</v>
      </c>
      <c r="K493" s="169">
        <f t="shared" ca="1" si="117"/>
        <v>0</v>
      </c>
      <c r="L493" s="189"/>
      <c r="M493" s="189"/>
      <c r="N493" s="189"/>
      <c r="O493" s="189"/>
      <c r="P493" s="189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IFERROR(__xludf.DUMMYFUNCTION("IMPORTRANGE(""https://docs.google.com/spreadsheets/d/1IYY_tgx_IHuhSq3AJ5eI5OnqOPBNLWSHKh2a30DoXe8/edit?usp=sharing"",""ระนอง!I389"")"),0)</f>
        <v>0</v>
      </c>
      <c r="J494" s="442">
        <f ca="1">IFERROR(__xludf.DUMMYFUNCTION("IMPORTRANGE(""https://docs.google.com/spreadsheets/d/1IYY_tgx_IHuhSq3AJ5eI5OnqOPBNLWSHKh2a30DoXe8/edit?usp=sharing"",""ระนอง!J389"")"),0)</f>
        <v>0</v>
      </c>
      <c r="K494" s="294">
        <f t="shared" ca="1" si="117"/>
        <v>0</v>
      </c>
      <c r="L494" s="252"/>
      <c r="M494" s="252"/>
      <c r="N494" s="252"/>
      <c r="O494" s="252"/>
      <c r="P494" s="252"/>
    </row>
    <row r="495" spans="1:16" ht="21.75" customHeight="1" x14ac:dyDescent="0.35">
      <c r="A495" s="408"/>
      <c r="B495" s="409"/>
      <c r="C495" s="409"/>
      <c r="D495" s="410"/>
      <c r="E495" s="203"/>
      <c r="F495" s="203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IFERROR(__xludf.DUMMYFUNCTION("IMPORTRANGE(""https://docs.google.com/spreadsheets/d/1IYY_tgx_IHuhSq3AJ5eI5OnqOPBNLWSHKh2a30DoXe8/edit?usp=sharing"",""ระนอง!I390"")"),0)</f>
        <v>0</v>
      </c>
      <c r="J495" s="442">
        <f ca="1">IFERROR(__xludf.DUMMYFUNCTION("IMPORTRANGE(""https://docs.google.com/spreadsheets/d/1IYY_tgx_IHuhSq3AJ5eI5OnqOPBNLWSHKh2a30DoXe8/edit?usp=sharing"",""ระนอง!J390"")"),0)</f>
        <v>0</v>
      </c>
      <c r="K495" s="169">
        <f t="shared" ca="1" si="117"/>
        <v>0</v>
      </c>
      <c r="L495" s="189"/>
      <c r="M495" s="189"/>
      <c r="N495" s="189"/>
      <c r="O495" s="189"/>
      <c r="P495" s="189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IFERROR(__xludf.DUMMYFUNCTION("IMPORTRANGE(""https://docs.google.com/spreadsheets/d/1IYY_tgx_IHuhSq3AJ5eI5OnqOPBNLWSHKh2a30DoXe8/edit?usp=sharing"",""ระนอง!I391"")"),0)</f>
        <v>0</v>
      </c>
      <c r="J496" s="442">
        <f ca="1">IFERROR(__xludf.DUMMYFUNCTION("IMPORTRANGE(""https://docs.google.com/spreadsheets/d/1IYY_tgx_IHuhSq3AJ5eI5OnqOPBNLWSHKh2a30DoXe8/edit?usp=sharing"",""ระนอง!J391"")"),0)</f>
        <v>0</v>
      </c>
      <c r="K496" s="294">
        <f t="shared" ca="1" si="117"/>
        <v>0</v>
      </c>
      <c r="L496" s="252"/>
      <c r="M496" s="252"/>
      <c r="N496" s="252"/>
      <c r="O496" s="252"/>
      <c r="P496" s="252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IFERROR(__xludf.DUMMYFUNCTION("IMPORTRANGE(""https://docs.google.com/spreadsheets/d/1IYY_tgx_IHuhSq3AJ5eI5OnqOPBNLWSHKh2a30DoXe8/edit?usp=sharing"",""ระนอง!I392"")"),563)</f>
        <v>563</v>
      </c>
      <c r="J497" s="449">
        <f ca="1">IFERROR(__xludf.DUMMYFUNCTION("IMPORTRANGE(""https://docs.google.com/spreadsheets/d/1IYY_tgx_IHuhSq3AJ5eI5OnqOPBNLWSHKh2a30DoXe8/edit?usp=sharing"",""ระนอง!J392"")"),360.11)</f>
        <v>360.11</v>
      </c>
      <c r="K497" s="450">
        <f t="shared" ca="1" si="117"/>
        <v>63.96269982238011</v>
      </c>
      <c r="L497" s="451"/>
      <c r="M497" s="451"/>
      <c r="N497" s="451"/>
      <c r="O497" s="451"/>
      <c r="P497" s="451"/>
    </row>
    <row r="498" spans="1:16" ht="21.75" customHeight="1" x14ac:dyDescent="0.35">
      <c r="A498" s="183"/>
      <c r="B498" s="184"/>
      <c r="C498" s="184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IFERROR(__xludf.DUMMYFUNCTION("IMPORTRANGE(""https://docs.google.com/spreadsheets/d/1IYY_tgx_IHuhSq3AJ5eI5OnqOPBNLWSHKh2a30DoXe8/edit?usp=sharing"",""ระนอง!I393"")"),563)</f>
        <v>563</v>
      </c>
      <c r="J498" s="426">
        <f ca="1">IFERROR(__xludf.DUMMYFUNCTION("IMPORTRANGE(""https://docs.google.com/spreadsheets/d/1IYY_tgx_IHuhSq3AJ5eI5OnqOPBNLWSHKh2a30DoXe8/edit?usp=sharing"",""ระนอง!J393"")"),360.11)</f>
        <v>360.11</v>
      </c>
      <c r="K498" s="169">
        <f t="shared" ca="1" si="117"/>
        <v>63.96269982238011</v>
      </c>
      <c r="L498" s="189"/>
      <c r="M498" s="189"/>
      <c r="N498" s="189"/>
      <c r="O498" s="189"/>
      <c r="P498" s="189"/>
    </row>
    <row r="499" spans="1:16" ht="21.75" customHeight="1" x14ac:dyDescent="0.35">
      <c r="A499" s="183"/>
      <c r="B499" s="184"/>
      <c r="C499" s="184"/>
      <c r="D499" s="201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IFERROR(__xludf.DUMMYFUNCTION("IMPORTRANGE(""https://docs.google.com/spreadsheets/d/1IYY_tgx_IHuhSq3AJ5eI5OnqOPBNLWSHKh2a30DoXe8/edit?usp=sharing"",""ระนอง!I394"")"),72)</f>
        <v>72</v>
      </c>
      <c r="J499" s="426">
        <f ca="1">IFERROR(__xludf.DUMMYFUNCTION("IMPORTRANGE(""https://docs.google.com/spreadsheets/d/1IYY_tgx_IHuhSq3AJ5eI5OnqOPBNLWSHKh2a30DoXe8/edit?usp=sharing"",""ระนอง!J394"")"),44)</f>
        <v>44</v>
      </c>
      <c r="K499" s="209">
        <f t="shared" ca="1" si="117"/>
        <v>61.111111111111114</v>
      </c>
      <c r="L499" s="189"/>
      <c r="M499" s="189"/>
      <c r="N499" s="189"/>
      <c r="O499" s="189"/>
      <c r="P499" s="189"/>
    </row>
    <row r="500" spans="1:16" ht="21.75" customHeight="1" x14ac:dyDescent="0.35">
      <c r="A500" s="183"/>
      <c r="B500" s="184"/>
      <c r="C500" s="184"/>
      <c r="D500" s="410"/>
      <c r="E500" s="410" t="s">
        <v>185</v>
      </c>
      <c r="F500" s="203"/>
      <c r="G500" s="204"/>
      <c r="H500" s="428" t="s">
        <v>122</v>
      </c>
      <c r="I500" s="210">
        <f ca="1">IFERROR(__xludf.DUMMYFUNCTION("IMPORTRANGE(""https://docs.google.com/spreadsheets/d/1IYY_tgx_IHuhSq3AJ5eI5OnqOPBNLWSHKh2a30DoXe8/edit?usp=sharing"",""ระนอง!I395"")"),0)</f>
        <v>0</v>
      </c>
      <c r="J500" s="168">
        <f ca="1">IFERROR(__xludf.DUMMYFUNCTION("IMPORTRANGE(""https://docs.google.com/spreadsheets/d/1IYY_tgx_IHuhSq3AJ5eI5OnqOPBNLWSHKh2a30DoXe8/edit?usp=sharing"",""ระนอง!J395"")"),345.22)</f>
        <v>345.22</v>
      </c>
      <c r="K500" s="169">
        <f t="shared" ca="1" si="117"/>
        <v>0</v>
      </c>
      <c r="L500" s="189"/>
      <c r="M500" s="189"/>
      <c r="N500" s="189"/>
      <c r="O500" s="189"/>
      <c r="P500" s="189"/>
    </row>
    <row r="501" spans="1:16" ht="21.75" customHeight="1" x14ac:dyDescent="0.35">
      <c r="A501" s="183"/>
      <c r="B501" s="184"/>
      <c r="C501" s="184"/>
      <c r="D501" s="201"/>
      <c r="E501" s="203"/>
      <c r="F501" s="203"/>
      <c r="G501" s="204"/>
      <c r="H501" s="428" t="s">
        <v>36</v>
      </c>
      <c r="I501" s="210">
        <f ca="1">IFERROR(__xludf.DUMMYFUNCTION("IMPORTRANGE(""https://docs.google.com/spreadsheets/d/1IYY_tgx_IHuhSq3AJ5eI5OnqOPBNLWSHKh2a30DoXe8/edit?usp=sharing"",""ระนอง!I396"")"),0)</f>
        <v>0</v>
      </c>
      <c r="J501" s="168">
        <f ca="1">IFERROR(__xludf.DUMMYFUNCTION("IMPORTRANGE(""https://docs.google.com/spreadsheets/d/1IYY_tgx_IHuhSq3AJ5eI5OnqOPBNLWSHKh2a30DoXe8/edit?usp=sharing"",""ระนอง!J396"")"),43)</f>
        <v>43</v>
      </c>
      <c r="K501" s="169">
        <f t="shared" ca="1" si="117"/>
        <v>0</v>
      </c>
      <c r="L501" s="189"/>
      <c r="M501" s="189"/>
      <c r="N501" s="189"/>
      <c r="O501" s="189"/>
      <c r="P501" s="189"/>
    </row>
    <row r="502" spans="1:16" ht="21.75" customHeight="1" x14ac:dyDescent="0.35">
      <c r="A502" s="183"/>
      <c r="B502" s="184"/>
      <c r="C502" s="184"/>
      <c r="D502" s="201"/>
      <c r="E502" s="203"/>
      <c r="F502" s="405" t="s">
        <v>186</v>
      </c>
      <c r="G502" s="427"/>
      <c r="H502" s="428" t="s">
        <v>122</v>
      </c>
      <c r="I502" s="210">
        <f ca="1">IFERROR(__xludf.DUMMYFUNCTION("IMPORTRANGE(""https://docs.google.com/spreadsheets/d/1IYY_tgx_IHuhSq3AJ5eI5OnqOPBNLWSHKh2a30DoXe8/edit?usp=sharing"",""ระนอง!I397"")"),0)</f>
        <v>0</v>
      </c>
      <c r="J502" s="196">
        <f ca="1">IFERROR(__xludf.DUMMYFUNCTION("IMPORTRANGE(""https://docs.google.com/spreadsheets/d/1IYY_tgx_IHuhSq3AJ5eI5OnqOPBNLWSHKh2a30DoXe8/edit?usp=sharing"",""ระนอง!J397"")"),181.55)</f>
        <v>181.55</v>
      </c>
      <c r="K502" s="169">
        <f t="shared" ca="1" si="117"/>
        <v>0</v>
      </c>
      <c r="L502" s="189"/>
      <c r="M502" s="189"/>
      <c r="N502" s="189"/>
      <c r="O502" s="189"/>
      <c r="P502" s="189"/>
    </row>
    <row r="503" spans="1:16" ht="21.75" customHeight="1" x14ac:dyDescent="0.35">
      <c r="A503" s="183"/>
      <c r="B503" s="184"/>
      <c r="C503" s="184"/>
      <c r="D503" s="201"/>
      <c r="E503" s="203"/>
      <c r="F503" s="203"/>
      <c r="G503" s="427"/>
      <c r="H503" s="428" t="s">
        <v>36</v>
      </c>
      <c r="I503" s="195">
        <f ca="1">IFERROR(__xludf.DUMMYFUNCTION("IMPORTRANGE(""https://docs.google.com/spreadsheets/d/1IYY_tgx_IHuhSq3AJ5eI5OnqOPBNLWSHKh2a30DoXe8/edit?usp=sharing"",""ระนอง!I398"")"),0)</f>
        <v>0</v>
      </c>
      <c r="J503" s="205">
        <f ca="1">IFERROR(__xludf.DUMMYFUNCTION("IMPORTRANGE(""https://docs.google.com/spreadsheets/d/1IYY_tgx_IHuhSq3AJ5eI5OnqOPBNLWSHKh2a30DoXe8/edit?usp=sharing"",""ระนอง!J398"")"),20)</f>
        <v>20</v>
      </c>
      <c r="K503" s="169">
        <f t="shared" ca="1" si="117"/>
        <v>0</v>
      </c>
      <c r="L503" s="189"/>
      <c r="M503" s="189"/>
      <c r="N503" s="189"/>
      <c r="O503" s="189"/>
      <c r="P503" s="189"/>
    </row>
    <row r="504" spans="1:16" ht="21.75" customHeight="1" x14ac:dyDescent="0.35">
      <c r="A504" s="183"/>
      <c r="B504" s="184"/>
      <c r="C504" s="184"/>
      <c r="D504" s="201"/>
      <c r="E504" s="203"/>
      <c r="F504" s="396" t="s">
        <v>187</v>
      </c>
      <c r="G504" s="427"/>
      <c r="H504" s="428" t="s">
        <v>122</v>
      </c>
      <c r="I504" s="211">
        <f ca="1">IFERROR(__xludf.DUMMYFUNCTION("IMPORTRANGE(""https://docs.google.com/spreadsheets/d/1IYY_tgx_IHuhSq3AJ5eI5OnqOPBNLWSHKh2a30DoXe8/edit?usp=sharing"",""ระนอง!I399"")"),0)</f>
        <v>0</v>
      </c>
      <c r="J504" s="196">
        <f ca="1">IFERROR(__xludf.DUMMYFUNCTION("IMPORTRANGE(""https://docs.google.com/spreadsheets/d/1IYY_tgx_IHuhSq3AJ5eI5OnqOPBNLWSHKh2a30DoXe8/edit?usp=sharing"",""ระนอง!J399"")"),163.67)</f>
        <v>163.66999999999999</v>
      </c>
      <c r="K504" s="169">
        <f t="shared" ca="1" si="117"/>
        <v>0</v>
      </c>
      <c r="L504" s="189"/>
      <c r="M504" s="189"/>
      <c r="N504" s="189"/>
      <c r="O504" s="189"/>
      <c r="P504" s="189"/>
    </row>
    <row r="505" spans="1:16" ht="21.75" customHeight="1" x14ac:dyDescent="0.35">
      <c r="A505" s="183"/>
      <c r="B505" s="184"/>
      <c r="C505" s="184"/>
      <c r="D505" s="201"/>
      <c r="E505" s="203"/>
      <c r="F505" s="203"/>
      <c r="G505" s="427"/>
      <c r="H505" s="428" t="s">
        <v>36</v>
      </c>
      <c r="I505" s="195">
        <f ca="1">IFERROR(__xludf.DUMMYFUNCTION("IMPORTRANGE(""https://docs.google.com/spreadsheets/d/1IYY_tgx_IHuhSq3AJ5eI5OnqOPBNLWSHKh2a30DoXe8/edit?usp=sharing"",""ระนอง!I400"")"),0)</f>
        <v>0</v>
      </c>
      <c r="J505" s="205">
        <f ca="1">IFERROR(__xludf.DUMMYFUNCTION("IMPORTRANGE(""https://docs.google.com/spreadsheets/d/1IYY_tgx_IHuhSq3AJ5eI5OnqOPBNLWSHKh2a30DoXe8/edit?usp=sharing"",""ระนอง!J400"")"),23)</f>
        <v>23</v>
      </c>
      <c r="K505" s="169">
        <f t="shared" ca="1" si="117"/>
        <v>0</v>
      </c>
      <c r="L505" s="189"/>
      <c r="M505" s="189"/>
      <c r="N505" s="189"/>
      <c r="O505" s="189"/>
      <c r="P505" s="189"/>
    </row>
    <row r="506" spans="1:16" ht="21.75" customHeight="1" x14ac:dyDescent="0.35">
      <c r="A506" s="183"/>
      <c r="B506" s="184"/>
      <c r="C506" s="184"/>
      <c r="D506" s="201"/>
      <c r="E506" s="203"/>
      <c r="F506" s="405" t="s">
        <v>188</v>
      </c>
      <c r="G506" s="427"/>
      <c r="H506" s="428" t="s">
        <v>122</v>
      </c>
      <c r="I506" s="211">
        <f ca="1">IFERROR(__xludf.DUMMYFUNCTION("IMPORTRANGE(""https://docs.google.com/spreadsheets/d/1IYY_tgx_IHuhSq3AJ5eI5OnqOPBNLWSHKh2a30DoXe8/edit?usp=sharing"",""ระนอง!I401"")"),0)</f>
        <v>0</v>
      </c>
      <c r="J506" s="196">
        <f ca="1">IFERROR(__xludf.DUMMYFUNCTION("IMPORTRANGE(""https://docs.google.com/spreadsheets/d/1IYY_tgx_IHuhSq3AJ5eI5OnqOPBNLWSHKh2a30DoXe8/edit?usp=sharing"",""ระนอง!J401"")"),0)</f>
        <v>0</v>
      </c>
      <c r="K506" s="169">
        <f t="shared" ca="1" si="117"/>
        <v>0</v>
      </c>
      <c r="L506" s="189"/>
      <c r="M506" s="189"/>
      <c r="N506" s="189"/>
      <c r="O506" s="189"/>
      <c r="P506" s="189"/>
    </row>
    <row r="507" spans="1:16" ht="21.75" customHeight="1" x14ac:dyDescent="0.35">
      <c r="A507" s="183"/>
      <c r="B507" s="184"/>
      <c r="C507" s="184"/>
      <c r="D507" s="201"/>
      <c r="E507" s="203"/>
      <c r="F507" s="203"/>
      <c r="G507" s="203"/>
      <c r="H507" s="428" t="s">
        <v>36</v>
      </c>
      <c r="I507" s="195">
        <f ca="1">IFERROR(__xludf.DUMMYFUNCTION("IMPORTRANGE(""https://docs.google.com/spreadsheets/d/1IYY_tgx_IHuhSq3AJ5eI5OnqOPBNLWSHKh2a30DoXe8/edit?usp=sharing"",""ระนอง!I402"")"),0)</f>
        <v>0</v>
      </c>
      <c r="J507" s="205">
        <f ca="1">IFERROR(__xludf.DUMMYFUNCTION("IMPORTRANGE(""https://docs.google.com/spreadsheets/d/1IYY_tgx_IHuhSq3AJ5eI5OnqOPBNLWSHKh2a30DoXe8/edit?usp=sharing"",""ระนอง!J402"")"),0)</f>
        <v>0</v>
      </c>
      <c r="K507" s="169">
        <f t="shared" ca="1" si="117"/>
        <v>0</v>
      </c>
      <c r="L507" s="189"/>
      <c r="M507" s="189"/>
      <c r="N507" s="189"/>
      <c r="O507" s="189"/>
      <c r="P507" s="189"/>
    </row>
    <row r="508" spans="1:16" ht="21.75" customHeight="1" x14ac:dyDescent="0.35">
      <c r="A508" s="183"/>
      <c r="B508" s="184"/>
      <c r="C508" s="184"/>
      <c r="D508" s="201"/>
      <c r="E508" s="202" t="s">
        <v>189</v>
      </c>
      <c r="F508" s="203"/>
      <c r="G508" s="427"/>
      <c r="H508" s="428" t="s">
        <v>122</v>
      </c>
      <c r="I508" s="195">
        <f ca="1">IFERROR(__xludf.DUMMYFUNCTION("IMPORTRANGE(""https://docs.google.com/spreadsheets/d/1IYY_tgx_IHuhSq3AJ5eI5OnqOPBNLWSHKh2a30DoXe8/edit?usp=sharing"",""ระนอง!I403"")"),0)</f>
        <v>0</v>
      </c>
      <c r="J508" s="168">
        <f ca="1">IFERROR(__xludf.DUMMYFUNCTION("IMPORTRANGE(""https://docs.google.com/spreadsheets/d/1IYY_tgx_IHuhSq3AJ5eI5OnqOPBNLWSHKh2a30DoXe8/edit?usp=sharing"",""ระนอง!J403"")"),14.89)</f>
        <v>14.89</v>
      </c>
      <c r="K508" s="169">
        <f t="shared" ca="1" si="117"/>
        <v>0</v>
      </c>
      <c r="L508" s="189"/>
      <c r="M508" s="189"/>
      <c r="N508" s="189"/>
      <c r="O508" s="189"/>
      <c r="P508" s="189"/>
    </row>
    <row r="509" spans="1:16" ht="21.75" customHeight="1" x14ac:dyDescent="0.35">
      <c r="A509" s="183"/>
      <c r="B509" s="184"/>
      <c r="C509" s="184"/>
      <c r="D509" s="201"/>
      <c r="E509" s="203"/>
      <c r="F509" s="203"/>
      <c r="G509" s="203"/>
      <c r="H509" s="428" t="s">
        <v>36</v>
      </c>
      <c r="I509" s="195">
        <f ca="1">IFERROR(__xludf.DUMMYFUNCTION("IMPORTRANGE(""https://docs.google.com/spreadsheets/d/1IYY_tgx_IHuhSq3AJ5eI5OnqOPBNLWSHKh2a30DoXe8/edit?usp=sharing"",""ระนอง!I404"")"),0)</f>
        <v>0</v>
      </c>
      <c r="J509" s="168">
        <f ca="1">IFERROR(__xludf.DUMMYFUNCTION("IMPORTRANGE(""https://docs.google.com/spreadsheets/d/1IYY_tgx_IHuhSq3AJ5eI5OnqOPBNLWSHKh2a30DoXe8/edit?usp=sharing"",""ระนอง!J404"")"),1)</f>
        <v>1</v>
      </c>
      <c r="K509" s="169">
        <f t="shared" ca="1" si="117"/>
        <v>0</v>
      </c>
      <c r="L509" s="189"/>
      <c r="M509" s="189"/>
      <c r="N509" s="189"/>
      <c r="O509" s="189"/>
      <c r="P509" s="189"/>
    </row>
    <row r="510" spans="1:16" ht="21.75" customHeight="1" x14ac:dyDescent="0.35">
      <c r="A510" s="183"/>
      <c r="B510" s="184"/>
      <c r="C510" s="184"/>
      <c r="D510" s="201"/>
      <c r="E510" s="203"/>
      <c r="F510" s="202" t="s">
        <v>190</v>
      </c>
      <c r="G510" s="203"/>
      <c r="H510" s="428" t="s">
        <v>122</v>
      </c>
      <c r="I510" s="195">
        <f ca="1">IFERROR(__xludf.DUMMYFUNCTION("IMPORTRANGE(""https://docs.google.com/spreadsheets/d/1IYY_tgx_IHuhSq3AJ5eI5OnqOPBNLWSHKh2a30DoXe8/edit?usp=sharing"",""ระนอง!I405"")"),0)</f>
        <v>0</v>
      </c>
      <c r="J510" s="205">
        <f ca="1">IFERROR(__xludf.DUMMYFUNCTION("IMPORTRANGE(""https://docs.google.com/spreadsheets/d/1IYY_tgx_IHuhSq3AJ5eI5OnqOPBNLWSHKh2a30DoXe8/edit?usp=sharing"",""ระนอง!J405"")"),0)</f>
        <v>0</v>
      </c>
      <c r="K510" s="169">
        <f t="shared" ca="1" si="117"/>
        <v>0</v>
      </c>
      <c r="L510" s="189"/>
      <c r="M510" s="189"/>
      <c r="N510" s="189"/>
      <c r="O510" s="189"/>
      <c r="P510" s="189"/>
    </row>
    <row r="511" spans="1:16" ht="21.75" customHeight="1" x14ac:dyDescent="0.35">
      <c r="A511" s="183"/>
      <c r="B511" s="184"/>
      <c r="C511" s="184"/>
      <c r="D511" s="201"/>
      <c r="E511" s="203"/>
      <c r="F511" s="203"/>
      <c r="G511" s="203"/>
      <c r="H511" s="428" t="s">
        <v>36</v>
      </c>
      <c r="I511" s="195">
        <f ca="1">IFERROR(__xludf.DUMMYFUNCTION("IMPORTRANGE(""https://docs.google.com/spreadsheets/d/1IYY_tgx_IHuhSq3AJ5eI5OnqOPBNLWSHKh2a30DoXe8/edit?usp=sharing"",""ระนอง!I406"")"),0)</f>
        <v>0</v>
      </c>
      <c r="J511" s="205">
        <f ca="1">IFERROR(__xludf.DUMMYFUNCTION("IMPORTRANGE(""https://docs.google.com/spreadsheets/d/1IYY_tgx_IHuhSq3AJ5eI5OnqOPBNLWSHKh2a30DoXe8/edit?usp=sharing"",""ระนอง!J406"")"),0)</f>
        <v>0</v>
      </c>
      <c r="K511" s="169">
        <f t="shared" ca="1" si="117"/>
        <v>0</v>
      </c>
      <c r="L511" s="189"/>
      <c r="M511" s="189"/>
      <c r="N511" s="189"/>
      <c r="O511" s="189"/>
      <c r="P511" s="189"/>
    </row>
    <row r="512" spans="1:16" ht="21.75" customHeight="1" x14ac:dyDescent="0.35">
      <c r="A512" s="183"/>
      <c r="B512" s="184"/>
      <c r="C512" s="184"/>
      <c r="D512" s="201"/>
      <c r="E512" s="203"/>
      <c r="F512" s="202" t="s">
        <v>191</v>
      </c>
      <c r="G512" s="203"/>
      <c r="H512" s="428" t="s">
        <v>122</v>
      </c>
      <c r="I512" s="195">
        <f ca="1">IFERROR(__xludf.DUMMYFUNCTION("IMPORTRANGE(""https://docs.google.com/spreadsheets/d/1IYY_tgx_IHuhSq3AJ5eI5OnqOPBNLWSHKh2a30DoXe8/edit?usp=sharing"",""ระนอง!I407"")"),0)</f>
        <v>0</v>
      </c>
      <c r="J512" s="205">
        <f ca="1">IFERROR(__xludf.DUMMYFUNCTION("IMPORTRANGE(""https://docs.google.com/spreadsheets/d/1IYY_tgx_IHuhSq3AJ5eI5OnqOPBNLWSHKh2a30DoXe8/edit?usp=sharing"",""ระนอง!J407"")"),14.89)</f>
        <v>14.89</v>
      </c>
      <c r="K512" s="169">
        <f t="shared" ca="1" si="117"/>
        <v>0</v>
      </c>
      <c r="L512" s="189"/>
      <c r="M512" s="189"/>
      <c r="N512" s="189"/>
      <c r="O512" s="189"/>
      <c r="P512" s="189"/>
    </row>
    <row r="513" spans="1:16" ht="21.75" customHeight="1" x14ac:dyDescent="0.35">
      <c r="A513" s="183"/>
      <c r="B513" s="184"/>
      <c r="C513" s="184"/>
      <c r="D513" s="201"/>
      <c r="E513" s="203"/>
      <c r="F513" s="203"/>
      <c r="G513" s="204"/>
      <c r="H513" s="428" t="s">
        <v>36</v>
      </c>
      <c r="I513" s="195">
        <f ca="1">IFERROR(__xludf.DUMMYFUNCTION("IMPORTRANGE(""https://docs.google.com/spreadsheets/d/1IYY_tgx_IHuhSq3AJ5eI5OnqOPBNLWSHKh2a30DoXe8/edit?usp=sharing"",""ระนอง!I408"")"),0)</f>
        <v>0</v>
      </c>
      <c r="J513" s="205">
        <f ca="1">IFERROR(__xludf.DUMMYFUNCTION("IMPORTRANGE(""https://docs.google.com/spreadsheets/d/1IYY_tgx_IHuhSq3AJ5eI5OnqOPBNLWSHKh2a30DoXe8/edit?usp=sharing"",""ระนอง!J408"")"),1)</f>
        <v>1</v>
      </c>
      <c r="K513" s="169">
        <f t="shared" ca="1" si="117"/>
        <v>0</v>
      </c>
      <c r="L513" s="189"/>
      <c r="M513" s="189"/>
      <c r="N513" s="189"/>
      <c r="O513" s="189"/>
      <c r="P513" s="189"/>
    </row>
    <row r="514" spans="1:16" ht="21.75" customHeight="1" x14ac:dyDescent="0.35">
      <c r="A514" s="183"/>
      <c r="B514" s="184"/>
      <c r="C514" s="184"/>
      <c r="D514" s="410"/>
      <c r="E514" s="456" t="s">
        <v>192</v>
      </c>
      <c r="F514" s="203"/>
      <c r="G514" s="204"/>
      <c r="H514" s="428" t="s">
        <v>122</v>
      </c>
      <c r="I514" s="195">
        <f ca="1">IFERROR(__xludf.DUMMYFUNCTION("IMPORTRANGE(""https://docs.google.com/spreadsheets/d/1IYY_tgx_IHuhSq3AJ5eI5OnqOPBNLWSHKh2a30DoXe8/edit?usp=sharing"",""ระนอง!I409"")"),0)</f>
        <v>0</v>
      </c>
      <c r="J514" s="205">
        <f ca="1">IFERROR(__xludf.DUMMYFUNCTION("IMPORTRANGE(""https://docs.google.com/spreadsheets/d/1IYY_tgx_IHuhSq3AJ5eI5OnqOPBNLWSHKh2a30DoXe8/edit?usp=sharing"",""ระนอง!J409"")"),0)</f>
        <v>0</v>
      </c>
      <c r="K514" s="169">
        <f t="shared" ca="1" si="117"/>
        <v>0</v>
      </c>
      <c r="L514" s="189"/>
      <c r="M514" s="189"/>
      <c r="N514" s="189"/>
      <c r="O514" s="189"/>
      <c r="P514" s="189"/>
    </row>
    <row r="515" spans="1:16" ht="21.75" customHeight="1" x14ac:dyDescent="0.35">
      <c r="A515" s="183"/>
      <c r="B515" s="184"/>
      <c r="C515" s="184"/>
      <c r="D515" s="201"/>
      <c r="E515" s="203"/>
      <c r="F515" s="203"/>
      <c r="G515" s="204"/>
      <c r="H515" s="428" t="s">
        <v>36</v>
      </c>
      <c r="I515" s="195">
        <f ca="1">IFERROR(__xludf.DUMMYFUNCTION("IMPORTRANGE(""https://docs.google.com/spreadsheets/d/1IYY_tgx_IHuhSq3AJ5eI5OnqOPBNLWSHKh2a30DoXe8/edit?usp=sharing"",""ระนอง!I410"")"),0)</f>
        <v>0</v>
      </c>
      <c r="J515" s="205">
        <f ca="1">IFERROR(__xludf.DUMMYFUNCTION("IMPORTRANGE(""https://docs.google.com/spreadsheets/d/1IYY_tgx_IHuhSq3AJ5eI5OnqOPBNLWSHKh2a30DoXe8/edit?usp=sharing"",""ระนอง!J410"")"),0)</f>
        <v>0</v>
      </c>
      <c r="K515" s="169">
        <f t="shared" ca="1" si="117"/>
        <v>0</v>
      </c>
      <c r="L515" s="189"/>
      <c r="M515" s="189"/>
      <c r="N515" s="189"/>
      <c r="O515" s="189"/>
      <c r="P515" s="189"/>
    </row>
    <row r="516" spans="1:16" ht="21.75" customHeight="1" x14ac:dyDescent="0.35">
      <c r="A516" s="183"/>
      <c r="B516" s="184"/>
      <c r="C516" s="421" t="s">
        <v>193</v>
      </c>
      <c r="D516" s="421"/>
      <c r="E516" s="457"/>
      <c r="F516" s="457"/>
      <c r="G516" s="458"/>
      <c r="H516" s="459" t="s">
        <v>122</v>
      </c>
      <c r="I516" s="274">
        <f ca="1">IFERROR(__xludf.DUMMYFUNCTION("IMPORTRANGE(""https://docs.google.com/spreadsheets/d/1IYY_tgx_IHuhSq3AJ5eI5OnqOPBNLWSHKh2a30DoXe8/edit?usp=sharing"",""ระนอง!I411"")"),0)</f>
        <v>0</v>
      </c>
      <c r="J516" s="274">
        <f ca="1">IFERROR(__xludf.DUMMYFUNCTION("IMPORTRANGE(""https://docs.google.com/spreadsheets/d/1IYY_tgx_IHuhSq3AJ5eI5OnqOPBNLWSHKh2a30DoXe8/edit?usp=sharing"",""ระนอง!J411"")"),0)</f>
        <v>0</v>
      </c>
      <c r="K516" s="275">
        <v>0</v>
      </c>
      <c r="L516" s="189"/>
      <c r="M516" s="189"/>
      <c r="N516" s="189"/>
      <c r="O516" s="189"/>
      <c r="P516" s="189"/>
    </row>
    <row r="517" spans="1:16" ht="21.75" customHeight="1" x14ac:dyDescent="0.35">
      <c r="A517" s="183"/>
      <c r="B517" s="184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IFERROR(__xludf.DUMMYFUNCTION("IMPORTRANGE(""https://docs.google.com/spreadsheets/d/1IYY_tgx_IHuhSq3AJ5eI5OnqOPBNLWSHKh2a30DoXe8/edit?usp=sharing"",""ระนอง!I412"")"),0)</f>
        <v>0</v>
      </c>
      <c r="J517" s="290">
        <f ca="1">IFERROR(__xludf.DUMMYFUNCTION("IMPORTRANGE(""https://docs.google.com/spreadsheets/d/1IYY_tgx_IHuhSq3AJ5eI5OnqOPBNLWSHKh2a30DoXe8/edit?usp=sharing"",""ระนอง!J412"")"),0)</f>
        <v>0</v>
      </c>
      <c r="K517" s="291">
        <v>0</v>
      </c>
      <c r="L517" s="189"/>
      <c r="M517" s="189"/>
      <c r="N517" s="189"/>
      <c r="O517" s="189"/>
      <c r="P517" s="189"/>
    </row>
    <row r="518" spans="1:16" ht="21.75" customHeight="1" x14ac:dyDescent="0.35">
      <c r="A518" s="183"/>
      <c r="B518" s="184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IFERROR(__xludf.DUMMYFUNCTION("IMPORTRANGE(""https://docs.google.com/spreadsheets/d/1IYY_tgx_IHuhSq3AJ5eI5OnqOPBNLWSHKh2a30DoXe8/edit?usp=sharing"",""ระนอง!I413"")"),0)</f>
        <v>0</v>
      </c>
      <c r="J518" s="290">
        <f ca="1">IFERROR(__xludf.DUMMYFUNCTION("IMPORTRANGE(""https://docs.google.com/spreadsheets/d/1IYY_tgx_IHuhSq3AJ5eI5OnqOPBNLWSHKh2a30DoXe8/edit?usp=sharing"",""ระนอง!J413"")"),0)</f>
        <v>0</v>
      </c>
      <c r="K518" s="291">
        <v>0</v>
      </c>
      <c r="L518" s="189"/>
      <c r="M518" s="189"/>
      <c r="N518" s="189"/>
      <c r="O518" s="189"/>
      <c r="P518" s="189"/>
    </row>
    <row r="519" spans="1:16" ht="21.75" customHeight="1" x14ac:dyDescent="0.35">
      <c r="A519" s="183"/>
      <c r="B519" s="184"/>
      <c r="C519" s="184"/>
      <c r="D519" s="201"/>
      <c r="E519" s="203"/>
      <c r="F519" s="203"/>
      <c r="G519" s="233" t="s">
        <v>196</v>
      </c>
      <c r="H519" s="428" t="s">
        <v>122</v>
      </c>
      <c r="I519" s="195">
        <f ca="1">IFERROR(__xludf.DUMMYFUNCTION("IMPORTRANGE(""https://docs.google.com/spreadsheets/d/1IYY_tgx_IHuhSq3AJ5eI5OnqOPBNLWSHKh2a30DoXe8/edit?usp=sharing"",""ระนอง!I414"")"),0)</f>
        <v>0</v>
      </c>
      <c r="J519" s="195">
        <f ca="1">IFERROR(__xludf.DUMMYFUNCTION("IMPORTRANGE(""https://docs.google.com/spreadsheets/d/1IYY_tgx_IHuhSq3AJ5eI5OnqOPBNLWSHKh2a30DoXe8/edit?usp=sharing"",""ระนอง!J414"")"),0)</f>
        <v>0</v>
      </c>
      <c r="K519" s="169">
        <v>0</v>
      </c>
      <c r="L519" s="189"/>
      <c r="M519" s="189"/>
      <c r="N519" s="189"/>
      <c r="O519" s="189"/>
      <c r="P519" s="189"/>
    </row>
    <row r="520" spans="1:16" ht="21.75" customHeight="1" x14ac:dyDescent="0.35">
      <c r="A520" s="183"/>
      <c r="B520" s="184"/>
      <c r="C520" s="184"/>
      <c r="D520" s="201"/>
      <c r="E520" s="203"/>
      <c r="F520" s="203"/>
      <c r="G520" s="204"/>
      <c r="H520" s="428" t="s">
        <v>36</v>
      </c>
      <c r="I520" s="195">
        <f ca="1">IFERROR(__xludf.DUMMYFUNCTION("IMPORTRANGE(""https://docs.google.com/spreadsheets/d/1IYY_tgx_IHuhSq3AJ5eI5OnqOPBNLWSHKh2a30DoXe8/edit?usp=sharing"",""ระนอง!I415"")"),0)</f>
        <v>0</v>
      </c>
      <c r="J520" s="195">
        <f ca="1">IFERROR(__xludf.DUMMYFUNCTION("IMPORTRANGE(""https://docs.google.com/spreadsheets/d/1IYY_tgx_IHuhSq3AJ5eI5OnqOPBNLWSHKh2a30DoXe8/edit?usp=sharing"",""ระนอง!J415"")"),0)</f>
        <v>0</v>
      </c>
      <c r="K520" s="169">
        <v>0</v>
      </c>
      <c r="L520" s="189"/>
      <c r="M520" s="189"/>
      <c r="N520" s="189"/>
      <c r="O520" s="189"/>
      <c r="P520" s="189"/>
    </row>
    <row r="521" spans="1:16" ht="21.75" customHeight="1" x14ac:dyDescent="0.35">
      <c r="A521" s="183"/>
      <c r="B521" s="184"/>
      <c r="C521" s="184"/>
      <c r="D521" s="201"/>
      <c r="E521" s="203"/>
      <c r="F521" s="203"/>
      <c r="G521" s="233" t="s">
        <v>197</v>
      </c>
      <c r="H521" s="428" t="s">
        <v>122</v>
      </c>
      <c r="I521" s="195">
        <f ca="1">IFERROR(__xludf.DUMMYFUNCTION("IMPORTRANGE(""https://docs.google.com/spreadsheets/d/1IYY_tgx_IHuhSq3AJ5eI5OnqOPBNLWSHKh2a30DoXe8/edit?usp=sharing"",""ระนอง!I416"")"),0)</f>
        <v>0</v>
      </c>
      <c r="J521" s="195">
        <f ca="1">IFERROR(__xludf.DUMMYFUNCTION("IMPORTRANGE(""https://docs.google.com/spreadsheets/d/1IYY_tgx_IHuhSq3AJ5eI5OnqOPBNLWSHKh2a30DoXe8/edit?usp=sharing"",""ระนอง!J416"")"),0)</f>
        <v>0</v>
      </c>
      <c r="K521" s="169">
        <v>0</v>
      </c>
      <c r="L521" s="189"/>
      <c r="M521" s="189"/>
      <c r="N521" s="189"/>
      <c r="O521" s="189"/>
      <c r="P521" s="189"/>
    </row>
    <row r="522" spans="1:16" ht="21.75" customHeight="1" x14ac:dyDescent="0.35">
      <c r="A522" s="183"/>
      <c r="B522" s="184"/>
      <c r="C522" s="184"/>
      <c r="D522" s="201"/>
      <c r="E522" s="203"/>
      <c r="F522" s="203"/>
      <c r="G522" s="204"/>
      <c r="H522" s="428" t="s">
        <v>36</v>
      </c>
      <c r="I522" s="195">
        <f ca="1">IFERROR(__xludf.DUMMYFUNCTION("IMPORTRANGE(""https://docs.google.com/spreadsheets/d/1IYY_tgx_IHuhSq3AJ5eI5OnqOPBNLWSHKh2a30DoXe8/edit?usp=sharing"",""ระนอง!I417"")"),0)</f>
        <v>0</v>
      </c>
      <c r="J522" s="195">
        <f ca="1">IFERROR(__xludf.DUMMYFUNCTION("IMPORTRANGE(""https://docs.google.com/spreadsheets/d/1IYY_tgx_IHuhSq3AJ5eI5OnqOPBNLWSHKh2a30DoXe8/edit?usp=sharing"",""ระนอง!J417"")"),0)</f>
        <v>0</v>
      </c>
      <c r="K522" s="169">
        <v>0</v>
      </c>
      <c r="L522" s="189"/>
      <c r="M522" s="189"/>
      <c r="N522" s="189"/>
      <c r="O522" s="189"/>
      <c r="P522" s="189"/>
    </row>
    <row r="523" spans="1:16" ht="21.75" customHeight="1" x14ac:dyDescent="0.35">
      <c r="A523" s="183"/>
      <c r="B523" s="184"/>
      <c r="C523" s="184"/>
      <c r="D523" s="201"/>
      <c r="E523" s="203"/>
      <c r="F523" s="203"/>
      <c r="G523" s="464" t="s">
        <v>198</v>
      </c>
      <c r="H523" s="428" t="s">
        <v>122</v>
      </c>
      <c r="I523" s="195">
        <f ca="1">IFERROR(__xludf.DUMMYFUNCTION("IMPORTRANGE(""https://docs.google.com/spreadsheets/d/1IYY_tgx_IHuhSq3AJ5eI5OnqOPBNLWSHKh2a30DoXe8/edit?usp=sharing"",""ระนอง!I418"")"),0)</f>
        <v>0</v>
      </c>
      <c r="J523" s="195">
        <f ca="1">IFERROR(__xludf.DUMMYFUNCTION("IMPORTRANGE(""https://docs.google.com/spreadsheets/d/1IYY_tgx_IHuhSq3AJ5eI5OnqOPBNLWSHKh2a30DoXe8/edit?usp=sharing"",""ระนอง!J418"")"),0)</f>
        <v>0</v>
      </c>
      <c r="K523" s="169">
        <v>0</v>
      </c>
      <c r="L523" s="189"/>
      <c r="M523" s="189"/>
      <c r="N523" s="189"/>
      <c r="O523" s="189"/>
      <c r="P523" s="189"/>
    </row>
    <row r="524" spans="1:16" ht="21.75" customHeight="1" x14ac:dyDescent="0.35">
      <c r="A524" s="183"/>
      <c r="B524" s="184"/>
      <c r="C524" s="184"/>
      <c r="D524" s="201"/>
      <c r="E524" s="203"/>
      <c r="F524" s="203"/>
      <c r="G524" s="204"/>
      <c r="H524" s="428" t="s">
        <v>36</v>
      </c>
      <c r="I524" s="195">
        <f ca="1">IFERROR(__xludf.DUMMYFUNCTION("IMPORTRANGE(""https://docs.google.com/spreadsheets/d/1IYY_tgx_IHuhSq3AJ5eI5OnqOPBNLWSHKh2a30DoXe8/edit?usp=sharing"",""ระนอง!I419"")"),0)</f>
        <v>0</v>
      </c>
      <c r="J524" s="195">
        <f ca="1">IFERROR(__xludf.DUMMYFUNCTION("IMPORTRANGE(""https://docs.google.com/spreadsheets/d/1IYY_tgx_IHuhSq3AJ5eI5OnqOPBNLWSHKh2a30DoXe8/edit?usp=sharing"",""ระนอง!J419"")"),0)</f>
        <v>0</v>
      </c>
      <c r="K524" s="169">
        <v>0</v>
      </c>
      <c r="L524" s="189"/>
      <c r="M524" s="189"/>
      <c r="N524" s="189"/>
      <c r="O524" s="189"/>
      <c r="P524" s="189"/>
    </row>
    <row r="525" spans="1:16" ht="21.75" customHeight="1" x14ac:dyDescent="0.35">
      <c r="A525" s="183"/>
      <c r="B525" s="184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IFERROR(__xludf.DUMMYFUNCTION("IMPORTRANGE(""https://docs.google.com/spreadsheets/d/1IYY_tgx_IHuhSq3AJ5eI5OnqOPBNLWSHKh2a30DoXe8/edit?usp=sharing"",""ระนอง!I420"")"),0)</f>
        <v>0</v>
      </c>
      <c r="J525" s="290">
        <f ca="1">IFERROR(__xludf.DUMMYFUNCTION("IMPORTRANGE(""https://docs.google.com/spreadsheets/d/1IYY_tgx_IHuhSq3AJ5eI5OnqOPBNLWSHKh2a30DoXe8/edit?usp=sharing"",""ระนอง!J420"")"),0)</f>
        <v>0</v>
      </c>
      <c r="K525" s="291">
        <v>0</v>
      </c>
      <c r="L525" s="189"/>
      <c r="M525" s="189"/>
      <c r="N525" s="189"/>
      <c r="O525" s="189"/>
      <c r="P525" s="189"/>
    </row>
    <row r="526" spans="1:16" ht="21.75" customHeight="1" x14ac:dyDescent="0.35">
      <c r="A526" s="183"/>
      <c r="B526" s="184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IFERROR(__xludf.DUMMYFUNCTION("IMPORTRANGE(""https://docs.google.com/spreadsheets/d/1IYY_tgx_IHuhSq3AJ5eI5OnqOPBNLWSHKh2a30DoXe8/edit?usp=sharing"",""ระนอง!I421"")"),0)</f>
        <v>0</v>
      </c>
      <c r="J526" s="290">
        <f ca="1">IFERROR(__xludf.DUMMYFUNCTION("IMPORTRANGE(""https://docs.google.com/spreadsheets/d/1IYY_tgx_IHuhSq3AJ5eI5OnqOPBNLWSHKh2a30DoXe8/edit?usp=sharing"",""ระนอง!J421"")"),0)</f>
        <v>0</v>
      </c>
      <c r="K526" s="291">
        <v>0</v>
      </c>
      <c r="L526" s="189"/>
      <c r="M526" s="189"/>
      <c r="N526" s="189"/>
      <c r="O526" s="189"/>
      <c r="P526" s="189"/>
    </row>
    <row r="527" spans="1:16" ht="21.75" customHeight="1" x14ac:dyDescent="0.35">
      <c r="A527" s="183"/>
      <c r="B527" s="184"/>
      <c r="C527" s="184"/>
      <c r="D527" s="201"/>
      <c r="E527" s="203"/>
      <c r="F527" s="203"/>
      <c r="G527" s="233" t="s">
        <v>196</v>
      </c>
      <c r="H527" s="428" t="s">
        <v>122</v>
      </c>
      <c r="I527" s="195">
        <f ca="1">IFERROR(__xludf.DUMMYFUNCTION("IMPORTRANGE(""https://docs.google.com/spreadsheets/d/1IYY_tgx_IHuhSq3AJ5eI5OnqOPBNLWSHKh2a30DoXe8/edit?usp=sharing"",""ระนอง!I422"")"),0)</f>
        <v>0</v>
      </c>
      <c r="J527" s="205">
        <f ca="1">IFERROR(__xludf.DUMMYFUNCTION("IMPORTRANGE(""https://docs.google.com/spreadsheets/d/1IYY_tgx_IHuhSq3AJ5eI5OnqOPBNLWSHKh2a30DoXe8/edit?usp=sharing"",""ระนอง!J422"")"),0)</f>
        <v>0</v>
      </c>
      <c r="K527" s="169">
        <v>0</v>
      </c>
      <c r="L527" s="189"/>
      <c r="M527" s="189"/>
      <c r="N527" s="189"/>
      <c r="O527" s="189"/>
      <c r="P527" s="189"/>
    </row>
    <row r="528" spans="1:16" ht="21.75" customHeight="1" x14ac:dyDescent="0.35">
      <c r="A528" s="183"/>
      <c r="B528" s="184"/>
      <c r="C528" s="184"/>
      <c r="D528" s="201"/>
      <c r="E528" s="203"/>
      <c r="F528" s="203"/>
      <c r="G528" s="204"/>
      <c r="H528" s="428" t="s">
        <v>36</v>
      </c>
      <c r="I528" s="195">
        <f ca="1">IFERROR(__xludf.DUMMYFUNCTION("IMPORTRANGE(""https://docs.google.com/spreadsheets/d/1IYY_tgx_IHuhSq3AJ5eI5OnqOPBNLWSHKh2a30DoXe8/edit?usp=sharing"",""ระนอง!I423"")"),0)</f>
        <v>0</v>
      </c>
      <c r="J528" s="205">
        <f ca="1">IFERROR(__xludf.DUMMYFUNCTION("IMPORTRANGE(""https://docs.google.com/spreadsheets/d/1IYY_tgx_IHuhSq3AJ5eI5OnqOPBNLWSHKh2a30DoXe8/edit?usp=sharing"",""ระนอง!J423"")"),0)</f>
        <v>0</v>
      </c>
      <c r="K528" s="169">
        <v>0</v>
      </c>
      <c r="L528" s="189"/>
      <c r="M528" s="189"/>
      <c r="N528" s="189"/>
      <c r="O528" s="189"/>
      <c r="P528" s="189"/>
    </row>
    <row r="529" spans="1:16" ht="21.75" customHeight="1" x14ac:dyDescent="0.35">
      <c r="A529" s="183"/>
      <c r="B529" s="184"/>
      <c r="C529" s="184"/>
      <c r="D529" s="201"/>
      <c r="E529" s="203"/>
      <c r="F529" s="203"/>
      <c r="G529" s="233" t="s">
        <v>197</v>
      </c>
      <c r="H529" s="428" t="s">
        <v>122</v>
      </c>
      <c r="I529" s="195">
        <f ca="1">IFERROR(__xludf.DUMMYFUNCTION("IMPORTRANGE(""https://docs.google.com/spreadsheets/d/1IYY_tgx_IHuhSq3AJ5eI5OnqOPBNLWSHKh2a30DoXe8/edit?usp=sharing"",""ระนอง!I424"")"),0)</f>
        <v>0</v>
      </c>
      <c r="J529" s="205">
        <f ca="1">IFERROR(__xludf.DUMMYFUNCTION("IMPORTRANGE(""https://docs.google.com/spreadsheets/d/1IYY_tgx_IHuhSq3AJ5eI5OnqOPBNLWSHKh2a30DoXe8/edit?usp=sharing"",""ระนอง!J424"")"),0)</f>
        <v>0</v>
      </c>
      <c r="K529" s="169">
        <v>0</v>
      </c>
      <c r="L529" s="189"/>
      <c r="M529" s="189"/>
      <c r="N529" s="189"/>
      <c r="O529" s="189"/>
      <c r="P529" s="189"/>
    </row>
    <row r="530" spans="1:16" ht="21.75" customHeight="1" x14ac:dyDescent="0.35">
      <c r="A530" s="183"/>
      <c r="B530" s="184"/>
      <c r="C530" s="184"/>
      <c r="D530" s="201"/>
      <c r="E530" s="203"/>
      <c r="F530" s="203"/>
      <c r="G530" s="204"/>
      <c r="H530" s="428" t="s">
        <v>36</v>
      </c>
      <c r="I530" s="195">
        <f ca="1">IFERROR(__xludf.DUMMYFUNCTION("IMPORTRANGE(""https://docs.google.com/spreadsheets/d/1IYY_tgx_IHuhSq3AJ5eI5OnqOPBNLWSHKh2a30DoXe8/edit?usp=sharing"",""ระนอง!I425"")"),0)</f>
        <v>0</v>
      </c>
      <c r="J530" s="205">
        <f ca="1">IFERROR(__xludf.DUMMYFUNCTION("IMPORTRANGE(""https://docs.google.com/spreadsheets/d/1IYY_tgx_IHuhSq3AJ5eI5OnqOPBNLWSHKh2a30DoXe8/edit?usp=sharing"",""ระนอง!J425"")"),0)</f>
        <v>0</v>
      </c>
      <c r="K530" s="169">
        <v>0</v>
      </c>
      <c r="L530" s="189"/>
      <c r="M530" s="189"/>
      <c r="N530" s="189"/>
      <c r="O530" s="189"/>
      <c r="P530" s="189"/>
    </row>
    <row r="531" spans="1:16" ht="21.75" customHeight="1" x14ac:dyDescent="0.35">
      <c r="A531" s="183"/>
      <c r="B531" s="184"/>
      <c r="C531" s="184"/>
      <c r="D531" s="201"/>
      <c r="E531" s="203"/>
      <c r="F531" s="203"/>
      <c r="G531" s="233" t="s">
        <v>201</v>
      </c>
      <c r="H531" s="428" t="s">
        <v>122</v>
      </c>
      <c r="I531" s="195">
        <f ca="1">IFERROR(__xludf.DUMMYFUNCTION("IMPORTRANGE(""https://docs.google.com/spreadsheets/d/1IYY_tgx_IHuhSq3AJ5eI5OnqOPBNLWSHKh2a30DoXe8/edit?usp=sharing"",""ระนอง!I426"")"),0)</f>
        <v>0</v>
      </c>
      <c r="J531" s="205">
        <f ca="1">IFERROR(__xludf.DUMMYFUNCTION("IMPORTRANGE(""https://docs.google.com/spreadsheets/d/1IYY_tgx_IHuhSq3AJ5eI5OnqOPBNLWSHKh2a30DoXe8/edit?usp=sharing"",""ระนอง!J426"")"),0)</f>
        <v>0</v>
      </c>
      <c r="K531" s="169">
        <v>0</v>
      </c>
      <c r="L531" s="189"/>
      <c r="M531" s="189"/>
      <c r="N531" s="189"/>
      <c r="O531" s="189"/>
      <c r="P531" s="189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IFERROR(__xludf.DUMMYFUNCTION("IMPORTRANGE(""https://docs.google.com/spreadsheets/d/1IYY_tgx_IHuhSq3AJ5eI5OnqOPBNLWSHKh2a30DoXe8/edit?usp=sharing"",""ระนอง!I427"")"),0)</f>
        <v>0</v>
      </c>
      <c r="J532" s="472">
        <f ca="1">IFERROR(__xludf.DUMMYFUNCTION("IMPORTRANGE(""https://docs.google.com/spreadsheets/d/1IYY_tgx_IHuhSq3AJ5eI5OnqOPBNLWSHKh2a30DoXe8/edit?usp=sharing"",""ระนอง!J427"")"),0)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IFERROR(__xludf.DUMMYFUNCTION("IMPORTRANGE(""https://docs.google.com/spreadsheets/d/1IYY_tgx_IHuhSq3AJ5eI5OnqOPBNLWSHKh2a30DoXe8/edit?usp=sharing"",""ระนอง!I428"")"),20)</f>
        <v>20</v>
      </c>
      <c r="J533" s="416">
        <f ca="1">IFERROR(__xludf.DUMMYFUNCTION("IMPORTRANGE(""https://docs.google.com/spreadsheets/d/1IYY_tgx_IHuhSq3AJ5eI5OnqOPBNLWSHKh2a30DoXe8/edit?usp=sharing"",""ระนอง!J428"")"),20)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IFERROR(__xludf.DUMMYFUNCTION("IMPORTRANGE(""https://docs.google.com/spreadsheets/d/1IYY_tgx_IHuhSq3AJ5eI5OnqOPBNLWSHKh2a30DoXe8/edit?usp=sharing"",""ระนอง!L428"")"),32640)</f>
        <v>32640</v>
      </c>
      <c r="M533" s="418"/>
      <c r="N533" s="418">
        <f ca="1">IFERROR(__xludf.DUMMYFUNCTION("IMPORTRANGE(""https://docs.google.com/spreadsheets/d/1IYY_tgx_IHuhSq3AJ5eI5OnqOPBNLWSHKh2a30DoXe8/edit?usp=sharing"",""ระนอง!M428"")"),29040)</f>
        <v>29040</v>
      </c>
      <c r="O533" s="418">
        <f t="shared" ref="O533:O537" ca="1" si="118">+IF(L533&gt;0,N533*100/L533,0)</f>
        <v>88.970588235294116</v>
      </c>
      <c r="P533" s="418"/>
    </row>
    <row r="534" spans="1:16" ht="21.75" customHeight="1" x14ac:dyDescent="0.35">
      <c r="A534" s="162"/>
      <c r="B534" s="163"/>
      <c r="C534" s="163" t="s">
        <v>16</v>
      </c>
      <c r="D534" s="164" t="s">
        <v>38</v>
      </c>
      <c r="E534" s="165"/>
      <c r="F534" s="165"/>
      <c r="G534" s="166" t="s">
        <v>39</v>
      </c>
      <c r="H534" s="167" t="s">
        <v>12</v>
      </c>
      <c r="I534" s="168" t="s">
        <v>40</v>
      </c>
      <c r="J534" s="168"/>
      <c r="K534" s="169"/>
      <c r="L534" s="170">
        <f ca="1">IFERROR(__xludf.DUMMYFUNCTION("IMPORTRANGE(""https://docs.google.com/spreadsheets/d/1IYY_tgx_IHuhSq3AJ5eI5OnqOPBNLWSHKh2a30DoXe8/edit?usp=sharing"",""ระนอง!L429"")"),0)</f>
        <v>0</v>
      </c>
      <c r="M534" s="170"/>
      <c r="N534" s="176">
        <f ca="1">IFERROR(__xludf.DUMMYFUNCTION("IMPORTRANGE(""https://docs.google.com/spreadsheets/d/1IYY_tgx_IHuhSq3AJ5eI5OnqOPBNLWSHKh2a30DoXe8/edit?usp=sharing"",""ระนอง!M429"")"),0)</f>
        <v>0</v>
      </c>
      <c r="O534" s="176">
        <f t="shared" ca="1" si="118"/>
        <v>0</v>
      </c>
      <c r="P534" s="176"/>
    </row>
    <row r="535" spans="1:16" ht="21.75" customHeight="1" x14ac:dyDescent="0.35">
      <c r="A535" s="162"/>
      <c r="B535" s="163"/>
      <c r="C535" s="163"/>
      <c r="D535" s="172"/>
      <c r="E535" s="165"/>
      <c r="F535" s="165" t="s">
        <v>40</v>
      </c>
      <c r="G535" s="166" t="s">
        <v>41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IFERROR(__xludf.DUMMYFUNCTION("IMPORTRANGE(""https://docs.google.com/spreadsheets/d/1IYY_tgx_IHuhSq3AJ5eI5OnqOPBNLWSHKh2a30DoXe8/edit?usp=sharing"",""ระนอง!L430"")"),32640)</f>
        <v>32640</v>
      </c>
      <c r="M535" s="171"/>
      <c r="N535" s="176">
        <f ca="1">IFERROR(__xludf.DUMMYFUNCTION("IMPORTRANGE(""https://docs.google.com/spreadsheets/d/1IYY_tgx_IHuhSq3AJ5eI5OnqOPBNLWSHKh2a30DoXe8/edit?usp=sharing"",""ระนอง!M430"")"),29040)</f>
        <v>29040</v>
      </c>
      <c r="O535" s="176">
        <f t="shared" ca="1" si="118"/>
        <v>88.970588235294116</v>
      </c>
      <c r="P535" s="176"/>
    </row>
    <row r="536" spans="1:16" ht="21.75" customHeight="1" x14ac:dyDescent="0.35">
      <c r="A536" s="162"/>
      <c r="B536" s="163"/>
      <c r="C536" s="163"/>
      <c r="D536" s="172"/>
      <c r="E536" s="165"/>
      <c r="F536" s="165"/>
      <c r="G536" s="380" t="s">
        <v>129</v>
      </c>
      <c r="H536" s="167" t="s">
        <v>12</v>
      </c>
      <c r="I536" s="168"/>
      <c r="J536" s="168"/>
      <c r="K536" s="169"/>
      <c r="L536" s="176">
        <f ca="1">IFERROR(__xludf.DUMMYFUNCTION("IMPORTRANGE(""https://docs.google.com/spreadsheets/d/1IYY_tgx_IHuhSq3AJ5eI5OnqOPBNLWSHKh2a30DoXe8/edit?usp=sharing"",""ระนอง!L431"")"),0)</f>
        <v>0</v>
      </c>
      <c r="M536" s="176"/>
      <c r="N536" s="176">
        <f ca="1">IFERROR(__xludf.DUMMYFUNCTION("IMPORTRANGE(""https://docs.google.com/spreadsheets/d/1IYY_tgx_IHuhSq3AJ5eI5OnqOPBNLWSHKh2a30DoXe8/edit?usp=sharing"",""ระนอง!M431"")"),0)</f>
        <v>0</v>
      </c>
      <c r="O536" s="176">
        <f t="shared" ca="1" si="118"/>
        <v>0</v>
      </c>
      <c r="P536" s="176"/>
    </row>
    <row r="537" spans="1:16" ht="21.75" customHeight="1" x14ac:dyDescent="0.35">
      <c r="A537" s="162"/>
      <c r="B537" s="163"/>
      <c r="C537" s="163"/>
      <c r="D537" s="172"/>
      <c r="E537" s="165"/>
      <c r="F537" s="165"/>
      <c r="G537" s="380" t="s">
        <v>130</v>
      </c>
      <c r="H537" s="167" t="s">
        <v>12</v>
      </c>
      <c r="I537" s="168"/>
      <c r="J537" s="168"/>
      <c r="K537" s="169"/>
      <c r="L537" s="176">
        <f ca="1">IFERROR(__xludf.DUMMYFUNCTION("IMPORTRANGE(""https://docs.google.com/spreadsheets/d/1IYY_tgx_IHuhSq3AJ5eI5OnqOPBNLWSHKh2a30DoXe8/edit?usp=sharing"",""ระนอง!L432"")"),32640)</f>
        <v>32640</v>
      </c>
      <c r="M537" s="176"/>
      <c r="N537" s="176">
        <f ca="1">IFERROR(__xludf.DUMMYFUNCTION("IMPORTRANGE(""https://docs.google.com/spreadsheets/d/1IYY_tgx_IHuhSq3AJ5eI5OnqOPBNLWSHKh2a30DoXe8/edit?usp=sharing"",""ระนอง!M432"")"),29040)</f>
        <v>29040</v>
      </c>
      <c r="O537" s="176">
        <f t="shared" ca="1" si="118"/>
        <v>88.970588235294116</v>
      </c>
      <c r="P537" s="176"/>
    </row>
    <row r="538" spans="1:16" ht="21.75" customHeight="1" x14ac:dyDescent="0.35">
      <c r="A538" s="381"/>
      <c r="B538" s="382"/>
      <c r="C538" s="163"/>
      <c r="D538" s="383"/>
      <c r="E538" s="165"/>
      <c r="F538" s="165"/>
      <c r="G538" s="384" t="s">
        <v>131</v>
      </c>
      <c r="H538" s="167" t="s">
        <v>12</v>
      </c>
      <c r="I538" s="195"/>
      <c r="J538" s="195"/>
      <c r="K538" s="231"/>
      <c r="L538" s="176"/>
      <c r="M538" s="176"/>
      <c r="N538" s="385">
        <f ca="1">IFERROR(__xludf.DUMMYFUNCTION("IMPORTRANGE(""https://docs.google.com/spreadsheets/d/1IYY_tgx_IHuhSq3AJ5eI5OnqOPBNLWSHKh2a30DoXe8/edit?usp=sharing"",""ระนอง!M433"")"),12300)</f>
        <v>12300</v>
      </c>
      <c r="O538" s="176"/>
      <c r="P538" s="176"/>
    </row>
    <row r="539" spans="1:16" ht="21.75" customHeight="1" x14ac:dyDescent="0.35">
      <c r="A539" s="381"/>
      <c r="B539" s="382"/>
      <c r="C539" s="163"/>
      <c r="D539" s="383"/>
      <c r="E539" s="165"/>
      <c r="F539" s="165"/>
      <c r="G539" s="384" t="s">
        <v>132</v>
      </c>
      <c r="H539" s="167" t="s">
        <v>12</v>
      </c>
      <c r="I539" s="195"/>
      <c r="J539" s="195"/>
      <c r="K539" s="231"/>
      <c r="L539" s="176"/>
      <c r="M539" s="176"/>
      <c r="N539" s="385">
        <f ca="1">IFERROR(__xludf.DUMMYFUNCTION("IMPORTRANGE(""https://docs.google.com/spreadsheets/d/1IYY_tgx_IHuhSq3AJ5eI5OnqOPBNLWSHKh2a30DoXe8/edit?usp=sharing"",""ระนอง!M434"")"),0)</f>
        <v>0</v>
      </c>
      <c r="O539" s="176"/>
      <c r="P539" s="176"/>
    </row>
    <row r="540" spans="1:16" ht="21.75" customHeight="1" x14ac:dyDescent="0.35">
      <c r="A540" s="381"/>
      <c r="B540" s="382"/>
      <c r="C540" s="163"/>
      <c r="D540" s="383"/>
      <c r="E540" s="165"/>
      <c r="F540" s="165"/>
      <c r="G540" s="384" t="s">
        <v>133</v>
      </c>
      <c r="H540" s="167" t="s">
        <v>12</v>
      </c>
      <c r="I540" s="195"/>
      <c r="J540" s="195"/>
      <c r="K540" s="231"/>
      <c r="L540" s="176"/>
      <c r="M540" s="176"/>
      <c r="N540" s="385">
        <f ca="1">IFERROR(__xludf.DUMMYFUNCTION("IMPORTRANGE(""https://docs.google.com/spreadsheets/d/1IYY_tgx_IHuhSq3AJ5eI5OnqOPBNLWSHKh2a30DoXe8/edit?usp=sharing"",""ระนอง!M435"")"),0)</f>
        <v>0</v>
      </c>
      <c r="O540" s="176"/>
      <c r="P540" s="176"/>
    </row>
    <row r="541" spans="1:16" ht="21.75" customHeight="1" x14ac:dyDescent="0.35">
      <c r="A541" s="381"/>
      <c r="B541" s="382"/>
      <c r="C541" s="163"/>
      <c r="D541" s="383"/>
      <c r="E541" s="165"/>
      <c r="F541" s="165"/>
      <c r="G541" s="384" t="s">
        <v>134</v>
      </c>
      <c r="H541" s="167" t="s">
        <v>12</v>
      </c>
      <c r="I541" s="195"/>
      <c r="J541" s="195"/>
      <c r="K541" s="231"/>
      <c r="L541" s="176"/>
      <c r="M541" s="176"/>
      <c r="N541" s="385">
        <f ca="1">IFERROR(__xludf.DUMMYFUNCTION("IMPORTRANGE(""https://docs.google.com/spreadsheets/d/1IYY_tgx_IHuhSq3AJ5eI5OnqOPBNLWSHKh2a30DoXe8/edit?usp=sharing"",""ระนอง!M436"")"),16740)</f>
        <v>16740</v>
      </c>
      <c r="O541" s="176"/>
      <c r="P541" s="176"/>
    </row>
    <row r="542" spans="1:16" ht="21.75" customHeight="1" x14ac:dyDescent="0.35">
      <c r="A542" s="183"/>
      <c r="B542" s="184"/>
      <c r="C542" s="163" t="s">
        <v>16</v>
      </c>
      <c r="D542" s="185" t="s">
        <v>44</v>
      </c>
      <c r="E542" s="186"/>
      <c r="F542" s="186"/>
      <c r="G542" s="187"/>
      <c r="H542" s="188"/>
      <c r="I542" s="168"/>
      <c r="J542" s="168"/>
      <c r="K542" s="169"/>
      <c r="L542" s="189"/>
      <c r="M542" s="189"/>
      <c r="N542" s="189"/>
      <c r="O542" s="189"/>
      <c r="P542" s="189"/>
    </row>
    <row r="543" spans="1:16" ht="21.75" customHeight="1" x14ac:dyDescent="0.35">
      <c r="A543" s="183"/>
      <c r="B543" s="184"/>
      <c r="C543" s="184"/>
      <c r="D543" s="190">
        <v>1</v>
      </c>
      <c r="E543" s="191" t="s">
        <v>45</v>
      </c>
      <c r="F543" s="192"/>
      <c r="G543" s="193"/>
      <c r="H543" s="194"/>
      <c r="I543" s="195"/>
      <c r="J543" s="205">
        <f ca="1">IFERROR(__xludf.DUMMYFUNCTION("IMPORTRANGE(""https://docs.google.com/spreadsheets/d/1IYY_tgx_IHuhSq3AJ5eI5OnqOPBNLWSHKh2a30DoXe8/edit?usp=sharing"",""ระนอง!J438"")"),0)</f>
        <v>0</v>
      </c>
      <c r="K543" s="169"/>
      <c r="L543" s="189"/>
      <c r="M543" s="189"/>
      <c r="N543" s="189"/>
      <c r="O543" s="189"/>
      <c r="P543" s="189"/>
    </row>
    <row r="544" spans="1:16" ht="21.75" customHeight="1" x14ac:dyDescent="0.35">
      <c r="A544" s="183"/>
      <c r="B544" s="184"/>
      <c r="C544" s="184"/>
      <c r="D544" s="197">
        <v>2</v>
      </c>
      <c r="E544" s="198" t="s">
        <v>46</v>
      </c>
      <c r="F544" s="199"/>
      <c r="G544" s="200"/>
      <c r="H544" s="194"/>
      <c r="I544" s="195"/>
      <c r="J544" s="196">
        <f ca="1">IFERROR(__xludf.DUMMYFUNCTION("IMPORTRANGE(""https://docs.google.com/spreadsheets/d/1IYY_tgx_IHuhSq3AJ5eI5OnqOPBNLWSHKh2a30DoXe8/edit?usp=sharing"",""ระนอง!J439"")"),1)</f>
        <v>1</v>
      </c>
      <c r="K544" s="169"/>
      <c r="L544" s="189" t="s">
        <v>40</v>
      </c>
      <c r="M544" s="189"/>
      <c r="N544" s="189" t="s">
        <v>40</v>
      </c>
      <c r="O544" s="189"/>
      <c r="P544" s="189"/>
    </row>
    <row r="545" spans="1:16" ht="21.75" customHeight="1" x14ac:dyDescent="0.35">
      <c r="A545" s="183"/>
      <c r="B545" s="184"/>
      <c r="C545" s="184"/>
      <c r="D545" s="201"/>
      <c r="E545" s="202" t="s">
        <v>47</v>
      </c>
      <c r="F545" s="203"/>
      <c r="G545" s="204"/>
      <c r="H545" s="194"/>
      <c r="I545" s="195"/>
      <c r="J545" s="196">
        <f ca="1">IFERROR(__xludf.DUMMYFUNCTION("IMPORTRANGE(""https://docs.google.com/spreadsheets/d/1IYY_tgx_IHuhSq3AJ5eI5OnqOPBNLWSHKh2a30DoXe8/edit?usp=sharing"",""ระนอง!J440"")"),1)</f>
        <v>1</v>
      </c>
      <c r="K545" s="169"/>
      <c r="L545" s="189"/>
      <c r="M545" s="189"/>
      <c r="N545" s="189"/>
      <c r="O545" s="189"/>
      <c r="P545" s="189"/>
    </row>
    <row r="546" spans="1:16" ht="21.75" customHeight="1" x14ac:dyDescent="0.35">
      <c r="A546" s="183"/>
      <c r="B546" s="184"/>
      <c r="C546" s="184"/>
      <c r="D546" s="201"/>
      <c r="E546" s="202" t="s">
        <v>48</v>
      </c>
      <c r="F546" s="203"/>
      <c r="G546" s="204"/>
      <c r="H546" s="194"/>
      <c r="I546" s="195"/>
      <c r="J546" s="205">
        <f ca="1">IFERROR(__xludf.DUMMYFUNCTION("IMPORTRANGE(""https://docs.google.com/spreadsheets/d/1IYY_tgx_IHuhSq3AJ5eI5OnqOPBNLWSHKh2a30DoXe8/edit?usp=sharing"",""ระนอง!J441"")"),1)</f>
        <v>1</v>
      </c>
      <c r="K546" s="169"/>
      <c r="L546" s="189"/>
      <c r="M546" s="189"/>
      <c r="N546" s="189"/>
      <c r="O546" s="189"/>
      <c r="P546" s="189"/>
    </row>
    <row r="547" spans="1:16" ht="21.75" customHeight="1" x14ac:dyDescent="0.35">
      <c r="A547" s="183"/>
      <c r="B547" s="184"/>
      <c r="C547" s="184"/>
      <c r="D547" s="201"/>
      <c r="E547" s="206"/>
      <c r="F547" s="203"/>
      <c r="G547" s="233" t="s">
        <v>203</v>
      </c>
      <c r="H547" s="194" t="s">
        <v>37</v>
      </c>
      <c r="I547" s="211">
        <f ca="1">IFERROR(__xludf.DUMMYFUNCTION("IMPORTRANGE(""https://docs.google.com/spreadsheets/d/1IYY_tgx_IHuhSq3AJ5eI5OnqOPBNLWSHKh2a30DoXe8/edit?usp=sharing"",""ระนอง!I442"")"),20)</f>
        <v>20</v>
      </c>
      <c r="J547" s="196">
        <f ca="1">IFERROR(__xludf.DUMMYFUNCTION("IMPORTRANGE(""https://docs.google.com/spreadsheets/d/1IYY_tgx_IHuhSq3AJ5eI5OnqOPBNLWSHKh2a30DoXe8/edit?usp=sharing"",""ระนอง!J442"")"),20)</f>
        <v>20</v>
      </c>
      <c r="K547" s="169">
        <f t="shared" ref="K547:K548" ca="1" si="119">IF(I547&gt;0,J547*100/I547,0)</f>
        <v>100</v>
      </c>
      <c r="L547" s="189"/>
      <c r="M547" s="189"/>
      <c r="N547" s="189"/>
      <c r="O547" s="189"/>
      <c r="P547" s="189"/>
    </row>
    <row r="548" spans="1:16" ht="21.75" hidden="1" customHeight="1" x14ac:dyDescent="0.35">
      <c r="A548" s="183"/>
      <c r="B548" s="184"/>
      <c r="C548" s="184"/>
      <c r="D548" s="201"/>
      <c r="E548" s="206"/>
      <c r="F548" s="203"/>
      <c r="G548" s="233" t="s">
        <v>204</v>
      </c>
      <c r="H548" s="194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5">
        <f ca="1">IFERROR(__xludf.DUMMYFUNCTION("IMPORTRANGE(""https://docs.google.com/spreadsheets/d/1IYY_tgx_IHuhSq3AJ5eI5OnqOPBNLWSHKh2a30DoXe8/edit?usp=sharing"",""ระนอง!J166"")"),0)</f>
        <v>0</v>
      </c>
      <c r="K548" s="169">
        <f t="shared" ca="1" si="119"/>
        <v>0</v>
      </c>
      <c r="L548" s="189"/>
      <c r="M548" s="189"/>
      <c r="N548" s="189"/>
      <c r="O548" s="189"/>
      <c r="P548" s="189"/>
    </row>
    <row r="549" spans="1:16" ht="21.75" customHeight="1" x14ac:dyDescent="0.35">
      <c r="A549" s="183"/>
      <c r="B549" s="184"/>
      <c r="C549" s="184"/>
      <c r="D549" s="201"/>
      <c r="E549" s="202" t="s">
        <v>54</v>
      </c>
      <c r="F549" s="203"/>
      <c r="G549" s="204"/>
      <c r="H549" s="194"/>
      <c r="I549" s="195"/>
      <c r="J549" s="205">
        <f ca="1">IFERROR(__xludf.DUMMYFUNCTION("IMPORTRANGE(""https://docs.google.com/spreadsheets/d/1IYY_tgx_IHuhSq3AJ5eI5OnqOPBNLWSHKh2a30DoXe8/edit?usp=sharing"",""ระนอง!J444"")"),0)</f>
        <v>0</v>
      </c>
      <c r="K549" s="169"/>
      <c r="L549" s="189"/>
      <c r="M549" s="189"/>
      <c r="N549" s="189"/>
      <c r="O549" s="189"/>
      <c r="P549" s="189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IFERROR(__xludf.DUMMYFUNCTION("IMPORTRANGE(""https://docs.google.com/spreadsheets/d/1IYY_tgx_IHuhSq3AJ5eI5OnqOPBNLWSHKh2a30DoXe8/edit?usp=sharing"",""ระนอง!J445"")"),0)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IFERROR(__xludf.DUMMYFUNCTION("IMPORTRANGE(""https://docs.google.com/spreadsheets/d/1IYY_tgx_IHuhSq3AJ5eI5OnqOPBNLWSHKh2a30DoXe8/edit?usp=sharing"",""ระนอง!I446"")"),0)</f>
        <v>0</v>
      </c>
      <c r="J551" s="416">
        <f ca="1">IFERROR(__xludf.DUMMYFUNCTION("IMPORTRANGE(""https://docs.google.com/spreadsheets/d/1IYY_tgx_IHuhSq3AJ5eI5OnqOPBNLWSHKh2a30DoXe8/edit?usp=sharing"",""ระนอง!J446"")"),0)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IFERROR(__xludf.DUMMYFUNCTION("IMPORTRANGE(""https://docs.google.com/spreadsheets/d/1IYY_tgx_IHuhSq3AJ5eI5OnqOPBNLWSHKh2a30DoXe8/edit?usp=sharing"",""ระนอง!L446"")"),0)</f>
        <v>0</v>
      </c>
      <c r="M551" s="418"/>
      <c r="N551" s="418">
        <f ca="1">IFERROR(__xludf.DUMMYFUNCTION("IMPORTRANGE(""https://docs.google.com/spreadsheets/d/1IYY_tgx_IHuhSq3AJ5eI5OnqOPBNLWSHKh2a30DoXe8/edit?usp=sharing"",""ระนอง!M446"")"),0)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164" t="s">
        <v>38</v>
      </c>
      <c r="E552" s="165"/>
      <c r="F552" s="165"/>
      <c r="G552" s="166" t="s">
        <v>39</v>
      </c>
      <c r="H552" s="167" t="s">
        <v>12</v>
      </c>
      <c r="I552" s="168" t="s">
        <v>40</v>
      </c>
      <c r="J552" s="168"/>
      <c r="K552" s="169"/>
      <c r="L552" s="170">
        <f ca="1">IFERROR(__xludf.DUMMYFUNCTION("IMPORTRANGE(""https://docs.google.com/spreadsheets/d/1IYY_tgx_IHuhSq3AJ5eI5OnqOPBNLWSHKh2a30DoXe8/edit?usp=sharing"",""ระนอง!L447"")"),0)</f>
        <v>0</v>
      </c>
      <c r="M552" s="170"/>
      <c r="N552" s="176">
        <f ca="1">IFERROR(__xludf.DUMMYFUNCTION("IMPORTRANGE(""https://docs.google.com/spreadsheets/d/1IYY_tgx_IHuhSq3AJ5eI5OnqOPBNLWSHKh2a30DoXe8/edit?usp=sharing"",""ระนอง!M447"")"),0)</f>
        <v>0</v>
      </c>
      <c r="O552" s="176">
        <f t="shared" ca="1" si="120"/>
        <v>0</v>
      </c>
      <c r="P552" s="176"/>
    </row>
    <row r="553" spans="1:16" ht="21.75" customHeight="1" x14ac:dyDescent="0.35">
      <c r="A553" s="162"/>
      <c r="B553" s="163"/>
      <c r="C553" s="163"/>
      <c r="D553" s="172"/>
      <c r="E553" s="165"/>
      <c r="F553" s="165" t="s">
        <v>40</v>
      </c>
      <c r="G553" s="166" t="s">
        <v>41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IFERROR(__xludf.DUMMYFUNCTION("IMPORTRANGE(""https://docs.google.com/spreadsheets/d/1IYY_tgx_IHuhSq3AJ5eI5OnqOPBNLWSHKh2a30DoXe8/edit?usp=sharing"",""ระนอง!L448"")"),0)</f>
        <v>0</v>
      </c>
      <c r="M553" s="171"/>
      <c r="N553" s="176">
        <f ca="1">IFERROR(__xludf.DUMMYFUNCTION("IMPORTRANGE(""https://docs.google.com/spreadsheets/d/1IYY_tgx_IHuhSq3AJ5eI5OnqOPBNLWSHKh2a30DoXe8/edit?usp=sharing"",""ระนอง!M448"")"),0)</f>
        <v>0</v>
      </c>
      <c r="O553" s="176">
        <f t="shared" ca="1" si="120"/>
        <v>0</v>
      </c>
      <c r="P553" s="176"/>
    </row>
    <row r="554" spans="1:16" ht="21.75" customHeight="1" x14ac:dyDescent="0.35">
      <c r="A554" s="162"/>
      <c r="B554" s="163"/>
      <c r="C554" s="163"/>
      <c r="D554" s="172"/>
      <c r="E554" s="165"/>
      <c r="F554" s="165"/>
      <c r="G554" s="380" t="s">
        <v>129</v>
      </c>
      <c r="H554" s="167" t="s">
        <v>12</v>
      </c>
      <c r="I554" s="168"/>
      <c r="J554" s="168"/>
      <c r="K554" s="169"/>
      <c r="L554" s="176">
        <f ca="1">IFERROR(__xludf.DUMMYFUNCTION("IMPORTRANGE(""https://docs.google.com/spreadsheets/d/1IYY_tgx_IHuhSq3AJ5eI5OnqOPBNLWSHKh2a30DoXe8/edit?usp=sharing"",""ระนอง!L449"")"),0)</f>
        <v>0</v>
      </c>
      <c r="M554" s="176"/>
      <c r="N554" s="176">
        <f ca="1">IFERROR(__xludf.DUMMYFUNCTION("IMPORTRANGE(""https://docs.google.com/spreadsheets/d/1IYY_tgx_IHuhSq3AJ5eI5OnqOPBNLWSHKh2a30DoXe8/edit?usp=sharing"",""ระนอง!M449"")"),0)</f>
        <v>0</v>
      </c>
      <c r="O554" s="176">
        <f t="shared" ca="1" si="120"/>
        <v>0</v>
      </c>
      <c r="P554" s="176"/>
    </row>
    <row r="555" spans="1:16" ht="21.75" customHeight="1" x14ac:dyDescent="0.35">
      <c r="A555" s="162"/>
      <c r="B555" s="163"/>
      <c r="C555" s="163"/>
      <c r="D555" s="172"/>
      <c r="E555" s="165"/>
      <c r="F555" s="165"/>
      <c r="G555" s="380" t="s">
        <v>130</v>
      </c>
      <c r="H555" s="167" t="s">
        <v>12</v>
      </c>
      <c r="I555" s="168"/>
      <c r="J555" s="168"/>
      <c r="K555" s="169"/>
      <c r="L555" s="176">
        <f ca="1">IFERROR(__xludf.DUMMYFUNCTION("IMPORTRANGE(""https://docs.google.com/spreadsheets/d/1IYY_tgx_IHuhSq3AJ5eI5OnqOPBNLWSHKh2a30DoXe8/edit?usp=sharing"",""ระนอง!L450"")"),0)</f>
        <v>0</v>
      </c>
      <c r="M555" s="176"/>
      <c r="N555" s="176">
        <f ca="1">IFERROR(__xludf.DUMMYFUNCTION("IMPORTRANGE(""https://docs.google.com/spreadsheets/d/1IYY_tgx_IHuhSq3AJ5eI5OnqOPBNLWSHKh2a30DoXe8/edit?usp=sharing"",""ระนอง!M450"")"),0)</f>
        <v>0</v>
      </c>
      <c r="O555" s="176">
        <f t="shared" ca="1" si="120"/>
        <v>0</v>
      </c>
      <c r="P555" s="176"/>
    </row>
    <row r="556" spans="1:16" ht="21.75" customHeight="1" x14ac:dyDescent="0.35">
      <c r="A556" s="381"/>
      <c r="B556" s="382"/>
      <c r="C556" s="163"/>
      <c r="D556" s="383"/>
      <c r="E556" s="165"/>
      <c r="F556" s="165"/>
      <c r="G556" s="384" t="s">
        <v>131</v>
      </c>
      <c r="H556" s="167" t="s">
        <v>12</v>
      </c>
      <c r="I556" s="195"/>
      <c r="J556" s="195"/>
      <c r="K556" s="231"/>
      <c r="L556" s="176"/>
      <c r="M556" s="176"/>
      <c r="N556" s="173">
        <f ca="1">IFERROR(__xludf.DUMMYFUNCTION("IMPORTRANGE(""https://docs.google.com/spreadsheets/d/1IYY_tgx_IHuhSq3AJ5eI5OnqOPBNLWSHKh2a30DoXe8/edit?usp=sharing"",""ระนอง!M451"")"),0)</f>
        <v>0</v>
      </c>
      <c r="O556" s="176"/>
      <c r="P556" s="176"/>
    </row>
    <row r="557" spans="1:16" ht="21.75" customHeight="1" x14ac:dyDescent="0.35">
      <c r="A557" s="381"/>
      <c r="B557" s="382"/>
      <c r="C557" s="163"/>
      <c r="D557" s="383"/>
      <c r="E557" s="165"/>
      <c r="F557" s="165"/>
      <c r="G557" s="384" t="s">
        <v>132</v>
      </c>
      <c r="H557" s="167" t="s">
        <v>12</v>
      </c>
      <c r="I557" s="195"/>
      <c r="J557" s="195"/>
      <c r="K557" s="231"/>
      <c r="L557" s="176"/>
      <c r="M557" s="176"/>
      <c r="N557" s="173">
        <f ca="1">IFERROR(__xludf.DUMMYFUNCTION("IMPORTRANGE(""https://docs.google.com/spreadsheets/d/1IYY_tgx_IHuhSq3AJ5eI5OnqOPBNLWSHKh2a30DoXe8/edit?usp=sharing"",""ระนอง!M452"")"),0)</f>
        <v>0</v>
      </c>
      <c r="O557" s="176"/>
      <c r="P557" s="176"/>
    </row>
    <row r="558" spans="1:16" ht="21.75" customHeight="1" x14ac:dyDescent="0.35">
      <c r="A558" s="381"/>
      <c r="B558" s="382"/>
      <c r="C558" s="163"/>
      <c r="D558" s="383"/>
      <c r="E558" s="165"/>
      <c r="F558" s="165"/>
      <c r="G558" s="384" t="s">
        <v>133</v>
      </c>
      <c r="H558" s="167" t="s">
        <v>12</v>
      </c>
      <c r="I558" s="195"/>
      <c r="J558" s="195"/>
      <c r="K558" s="231"/>
      <c r="L558" s="176"/>
      <c r="M558" s="176"/>
      <c r="N558" s="173">
        <f ca="1">IFERROR(__xludf.DUMMYFUNCTION("IMPORTRANGE(""https://docs.google.com/spreadsheets/d/1IYY_tgx_IHuhSq3AJ5eI5OnqOPBNLWSHKh2a30DoXe8/edit?usp=sharing"",""ระนอง!M453"")"),0)</f>
        <v>0</v>
      </c>
      <c r="O558" s="176"/>
      <c r="P558" s="176"/>
    </row>
    <row r="559" spans="1:16" ht="21.75" customHeight="1" x14ac:dyDescent="0.35">
      <c r="A559" s="381"/>
      <c r="B559" s="382"/>
      <c r="C559" s="163"/>
      <c r="D559" s="383"/>
      <c r="E559" s="165"/>
      <c r="F559" s="165"/>
      <c r="G559" s="384" t="s">
        <v>134</v>
      </c>
      <c r="H559" s="167" t="s">
        <v>12</v>
      </c>
      <c r="I559" s="195"/>
      <c r="J559" s="195"/>
      <c r="K559" s="231"/>
      <c r="L559" s="176"/>
      <c r="M559" s="176"/>
      <c r="N559" s="173">
        <f ca="1">IFERROR(__xludf.DUMMYFUNCTION("IMPORTRANGE(""https://docs.google.com/spreadsheets/d/1IYY_tgx_IHuhSq3AJ5eI5OnqOPBNLWSHKh2a30DoXe8/edit?usp=sharing"",""ระนอง!M454"")"),0)</f>
        <v>0</v>
      </c>
      <c r="O559" s="176"/>
      <c r="P559" s="176"/>
    </row>
    <row r="560" spans="1:16" ht="21.75" customHeight="1" x14ac:dyDescent="0.35">
      <c r="A560" s="183"/>
      <c r="B560" s="184"/>
      <c r="C560" s="184"/>
      <c r="D560" s="201"/>
      <c r="E560" s="203"/>
      <c r="F560" s="285" t="s">
        <v>206</v>
      </c>
      <c r="G560" s="204"/>
      <c r="H560" s="481" t="s">
        <v>122</v>
      </c>
      <c r="I560" s="168">
        <f ca="1">IFERROR(__xludf.DUMMYFUNCTION("IMPORTRANGE(""https://docs.google.com/spreadsheets/d/1IYY_tgx_IHuhSq3AJ5eI5OnqOPBNLWSHKh2a30DoXe8/edit?usp=sharing"",""ระนอง!I455"")"),0)</f>
        <v>0</v>
      </c>
      <c r="J560" s="168">
        <f ca="1">IFERROR(__xludf.DUMMYFUNCTION("IMPORTRANGE(""https://docs.google.com/spreadsheets/d/1IYY_tgx_IHuhSq3AJ5eI5OnqOPBNLWSHKh2a30DoXe8/edit?usp=sharing"",""ระนอง!J455"")"),0)</f>
        <v>0</v>
      </c>
      <c r="K560" s="231">
        <f t="shared" ref="K560:K564" ca="1" si="121">IF(I560&gt;0,J560*100/I560,0)</f>
        <v>0</v>
      </c>
      <c r="L560" s="176"/>
      <c r="M560" s="176"/>
      <c r="N560" s="176"/>
      <c r="O560" s="189"/>
      <c r="P560" s="189"/>
    </row>
    <row r="561" spans="1:16" ht="21.75" customHeight="1" x14ac:dyDescent="0.35">
      <c r="A561" s="183"/>
      <c r="B561" s="184"/>
      <c r="C561" s="184"/>
      <c r="D561" s="201"/>
      <c r="E561" s="203"/>
      <c r="F561" s="203"/>
      <c r="G561" s="204"/>
      <c r="H561" s="481" t="s">
        <v>36</v>
      </c>
      <c r="I561" s="168">
        <f ca="1">IFERROR(__xludf.DUMMYFUNCTION("IMPORTRANGE(""https://docs.google.com/spreadsheets/d/1IYY_tgx_IHuhSq3AJ5eI5OnqOPBNLWSHKh2a30DoXe8/edit?usp=sharing"",""ระนอง!I456"")"),0)</f>
        <v>0</v>
      </c>
      <c r="J561" s="211">
        <f ca="1">IFERROR(__xludf.DUMMYFUNCTION("IMPORTRANGE(""https://docs.google.com/spreadsheets/d/1IYY_tgx_IHuhSq3AJ5eI5OnqOPBNLWSHKh2a30DoXe8/edit?usp=sharing"",""ระนอง!J456"")"),0)</f>
        <v>0</v>
      </c>
      <c r="K561" s="231">
        <f t="shared" ca="1" si="121"/>
        <v>0</v>
      </c>
      <c r="L561" s="176"/>
      <c r="M561" s="176"/>
      <c r="N561" s="176"/>
      <c r="O561" s="189"/>
      <c r="P561" s="189"/>
    </row>
    <row r="562" spans="1:16" ht="21.75" customHeight="1" x14ac:dyDescent="0.35">
      <c r="A562" s="183"/>
      <c r="B562" s="184"/>
      <c r="C562" s="184"/>
      <c r="D562" s="201"/>
      <c r="E562" s="203"/>
      <c r="F562" s="203" t="s">
        <v>207</v>
      </c>
      <c r="G562" s="204"/>
      <c r="H562" s="481" t="s">
        <v>122</v>
      </c>
      <c r="I562" s="168">
        <f ca="1">IFERROR(__xludf.DUMMYFUNCTION("IMPORTRANGE(""https://docs.google.com/spreadsheets/d/1IYY_tgx_IHuhSq3AJ5eI5OnqOPBNLWSHKh2a30DoXe8/edit?usp=sharing"",""ระนอง!I457"")"),0)</f>
        <v>0</v>
      </c>
      <c r="J562" s="211" t="str">
        <f ca="1">IFERROR(__xludf.DUMMYFUNCTION("IMPORTRANGE(""https://docs.google.com/spreadsheets/d/1IYY_tgx_IHuhSq3AJ5eI5OnqOPBNLWSHKh2a30DoXe8/edit?usp=sharing"",""ระนอง!J457"")"),"")</f>
        <v/>
      </c>
      <c r="K562" s="169">
        <f t="shared" ca="1" si="121"/>
        <v>0</v>
      </c>
      <c r="L562" s="189"/>
      <c r="M562" s="189"/>
      <c r="N562" s="189"/>
      <c r="O562" s="189"/>
      <c r="P562" s="189"/>
    </row>
    <row r="563" spans="1:16" ht="21.75" customHeight="1" x14ac:dyDescent="0.35">
      <c r="A563" s="183"/>
      <c r="B563" s="184"/>
      <c r="C563" s="184"/>
      <c r="D563" s="201"/>
      <c r="E563" s="203"/>
      <c r="F563" s="203"/>
      <c r="G563" s="204"/>
      <c r="H563" s="481" t="s">
        <v>36</v>
      </c>
      <c r="I563" s="168">
        <f ca="1">IFERROR(__xludf.DUMMYFUNCTION("IMPORTRANGE(""https://docs.google.com/spreadsheets/d/1IYY_tgx_IHuhSq3AJ5eI5OnqOPBNLWSHKh2a30DoXe8/edit?usp=sharing"",""ระนอง!I458"")"),0)</f>
        <v>0</v>
      </c>
      <c r="J563" s="195" t="str">
        <f ca="1">IFERROR(__xludf.DUMMYFUNCTION("IMPORTRANGE(""https://docs.google.com/spreadsheets/d/1IYY_tgx_IHuhSq3AJ5eI5OnqOPBNLWSHKh2a30DoXe8/edit?usp=sharing"",""ระนอง!J458"")"),"")</f>
        <v/>
      </c>
      <c r="K563" s="169">
        <f t="shared" ca="1" si="121"/>
        <v>0</v>
      </c>
      <c r="L563" s="189"/>
      <c r="M563" s="189"/>
      <c r="N563" s="189"/>
      <c r="O563" s="189"/>
      <c r="P563" s="189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IFERROR(__xludf.DUMMYFUNCTION("IMPORTRANGE(""https://docs.google.com/spreadsheets/d/1IYY_tgx_IHuhSq3AJ5eI5OnqOPBNLWSHKh2a30DoXe8/edit?usp=sharing"",""ระนอง!I459"")"),400)</f>
        <v>400</v>
      </c>
      <c r="J564" s="377">
        <f ca="1">IFERROR(__xludf.DUMMYFUNCTION("IMPORTRANGE(""https://docs.google.com/spreadsheets/d/1IYY_tgx_IHuhSq3AJ5eI5OnqOPBNLWSHKh2a30DoXe8/edit?usp=sharing"",""ระนอง!J459"")"),394)</f>
        <v>394</v>
      </c>
      <c r="K564" s="378">
        <f t="shared" ca="1" si="121"/>
        <v>98.5</v>
      </c>
      <c r="L564" s="379">
        <f ca="1">IFERROR(__xludf.DUMMYFUNCTION("IMPORTRANGE(""https://docs.google.com/spreadsheets/d/1IYY_tgx_IHuhSq3AJ5eI5OnqOPBNLWSHKh2a30DoXe8/edit?usp=sharing"",""ระนอง!L459"")"),125680)</f>
        <v>125680</v>
      </c>
      <c r="M564" s="379"/>
      <c r="N564" s="379">
        <f ca="1">IFERROR(__xludf.DUMMYFUNCTION("IMPORTRANGE(""https://docs.google.com/spreadsheets/d/1IYY_tgx_IHuhSq3AJ5eI5OnqOPBNLWSHKh2a30DoXe8/edit?usp=sharing"",""ระนอง!M459"")"),68532)</f>
        <v>68532</v>
      </c>
      <c r="O564" s="379">
        <f t="shared" ref="O564:O568" ca="1" si="122">+IF(L564&gt;0,N564*100/L564,0)</f>
        <v>54.528962444302991</v>
      </c>
      <c r="P564" s="379"/>
    </row>
    <row r="565" spans="1:16" ht="21.75" customHeight="1" x14ac:dyDescent="0.35">
      <c r="A565" s="162"/>
      <c r="B565" s="163"/>
      <c r="C565" s="163" t="s">
        <v>16</v>
      </c>
      <c r="D565" s="164" t="s">
        <v>38</v>
      </c>
      <c r="E565" s="165"/>
      <c r="F565" s="165"/>
      <c r="G565" s="166" t="s">
        <v>39</v>
      </c>
      <c r="H565" s="167" t="s">
        <v>12</v>
      </c>
      <c r="I565" s="168" t="s">
        <v>40</v>
      </c>
      <c r="J565" s="168"/>
      <c r="K565" s="169"/>
      <c r="L565" s="170">
        <f ca="1">IFERROR(__xludf.DUMMYFUNCTION("IMPORTRANGE(""https://docs.google.com/spreadsheets/d/1IYY_tgx_IHuhSq3AJ5eI5OnqOPBNLWSHKh2a30DoXe8/edit?usp=sharing"",""ระนอง!L460"")"),0)</f>
        <v>0</v>
      </c>
      <c r="M565" s="170"/>
      <c r="N565" s="176">
        <f ca="1">IFERROR(__xludf.DUMMYFUNCTION("IMPORTRANGE(""https://docs.google.com/spreadsheets/d/1IYY_tgx_IHuhSq3AJ5eI5OnqOPBNLWSHKh2a30DoXe8/edit?usp=sharing"",""ระนอง!M460"")"),0)</f>
        <v>0</v>
      </c>
      <c r="O565" s="176">
        <f t="shared" ca="1" si="122"/>
        <v>0</v>
      </c>
      <c r="P565" s="176"/>
    </row>
    <row r="566" spans="1:16" ht="21.75" customHeight="1" x14ac:dyDescent="0.35">
      <c r="A566" s="162"/>
      <c r="B566" s="163"/>
      <c r="C566" s="163"/>
      <c r="D566" s="172"/>
      <c r="E566" s="165"/>
      <c r="F566" s="165" t="s">
        <v>40</v>
      </c>
      <c r="G566" s="166" t="s">
        <v>41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IFERROR(__xludf.DUMMYFUNCTION("IMPORTRANGE(""https://docs.google.com/spreadsheets/d/1IYY_tgx_IHuhSq3AJ5eI5OnqOPBNLWSHKh2a30DoXe8/edit?usp=sharing"",""ระนอง!L461"")"),125680)</f>
        <v>125680</v>
      </c>
      <c r="M566" s="171"/>
      <c r="N566" s="176">
        <f ca="1">IFERROR(__xludf.DUMMYFUNCTION("IMPORTRANGE(""https://docs.google.com/spreadsheets/d/1IYY_tgx_IHuhSq3AJ5eI5OnqOPBNLWSHKh2a30DoXe8/edit?usp=sharing"",""ระนอง!M461"")"),68532)</f>
        <v>68532</v>
      </c>
      <c r="O566" s="176">
        <f t="shared" ca="1" si="122"/>
        <v>54.528962444302991</v>
      </c>
      <c r="P566" s="176"/>
    </row>
    <row r="567" spans="1:16" ht="21.75" customHeight="1" x14ac:dyDescent="0.35">
      <c r="A567" s="162"/>
      <c r="B567" s="163"/>
      <c r="C567" s="163"/>
      <c r="D567" s="172"/>
      <c r="E567" s="165"/>
      <c r="F567" s="165"/>
      <c r="G567" s="380" t="s">
        <v>129</v>
      </c>
      <c r="H567" s="167" t="s">
        <v>12</v>
      </c>
      <c r="I567" s="168"/>
      <c r="J567" s="168"/>
      <c r="K567" s="169"/>
      <c r="L567" s="176">
        <f ca="1">IFERROR(__xludf.DUMMYFUNCTION("IMPORTRANGE(""https://docs.google.com/spreadsheets/d/1IYY_tgx_IHuhSq3AJ5eI5OnqOPBNLWSHKh2a30DoXe8/edit?usp=sharing"",""ระนอง!L462"")"),0)</f>
        <v>0</v>
      </c>
      <c r="M567" s="176"/>
      <c r="N567" s="176">
        <f ca="1">IFERROR(__xludf.DUMMYFUNCTION("IMPORTRANGE(""https://docs.google.com/spreadsheets/d/1IYY_tgx_IHuhSq3AJ5eI5OnqOPBNLWSHKh2a30DoXe8/edit?usp=sharing"",""ระนอง!M462"")"),0)</f>
        <v>0</v>
      </c>
      <c r="O567" s="176">
        <f t="shared" ca="1" si="122"/>
        <v>0</v>
      </c>
      <c r="P567" s="176"/>
    </row>
    <row r="568" spans="1:16" ht="21.75" customHeight="1" x14ac:dyDescent="0.35">
      <c r="A568" s="162"/>
      <c r="B568" s="163"/>
      <c r="C568" s="163"/>
      <c r="D568" s="172"/>
      <c r="E568" s="165"/>
      <c r="F568" s="165"/>
      <c r="G568" s="380" t="s">
        <v>130</v>
      </c>
      <c r="H568" s="167" t="s">
        <v>12</v>
      </c>
      <c r="I568" s="168"/>
      <c r="J568" s="168"/>
      <c r="K568" s="169"/>
      <c r="L568" s="176">
        <f ca="1">IFERROR(__xludf.DUMMYFUNCTION("IMPORTRANGE(""https://docs.google.com/spreadsheets/d/1IYY_tgx_IHuhSq3AJ5eI5OnqOPBNLWSHKh2a30DoXe8/edit?usp=sharing"",""ระนอง!L463"")"),125680)</f>
        <v>125680</v>
      </c>
      <c r="M568" s="176"/>
      <c r="N568" s="176">
        <f ca="1">IFERROR(__xludf.DUMMYFUNCTION("IMPORTRANGE(""https://docs.google.com/spreadsheets/d/1IYY_tgx_IHuhSq3AJ5eI5OnqOPBNLWSHKh2a30DoXe8/edit?usp=sharing"",""ระนอง!M463"")"),68532)</f>
        <v>68532</v>
      </c>
      <c r="O568" s="176">
        <f t="shared" ca="1" si="122"/>
        <v>54.528962444302991</v>
      </c>
      <c r="P568" s="176"/>
    </row>
    <row r="569" spans="1:16" ht="21.75" customHeight="1" x14ac:dyDescent="0.35">
      <c r="A569" s="381"/>
      <c r="B569" s="382"/>
      <c r="C569" s="163"/>
      <c r="D569" s="383"/>
      <c r="E569" s="165"/>
      <c r="F569" s="165"/>
      <c r="G569" s="384" t="s">
        <v>131</v>
      </c>
      <c r="H569" s="167" t="s">
        <v>12</v>
      </c>
      <c r="I569" s="195"/>
      <c r="J569" s="195"/>
      <c r="K569" s="231"/>
      <c r="L569" s="176"/>
      <c r="M569" s="176"/>
      <c r="N569" s="173">
        <f ca="1">IFERROR(__xludf.DUMMYFUNCTION("IMPORTRANGE(""https://docs.google.com/spreadsheets/d/1IYY_tgx_IHuhSq3AJ5eI5OnqOPBNLWSHKh2a30DoXe8/edit?usp=sharing"",""ระนอง!M464"")"),0)</f>
        <v>0</v>
      </c>
      <c r="O569" s="176"/>
      <c r="P569" s="176"/>
    </row>
    <row r="570" spans="1:16" ht="21.75" customHeight="1" x14ac:dyDescent="0.35">
      <c r="A570" s="381"/>
      <c r="B570" s="382"/>
      <c r="C570" s="163"/>
      <c r="D570" s="383"/>
      <c r="E570" s="165"/>
      <c r="F570" s="165"/>
      <c r="G570" s="384" t="s">
        <v>132</v>
      </c>
      <c r="H570" s="167" t="s">
        <v>12</v>
      </c>
      <c r="I570" s="195"/>
      <c r="J570" s="195"/>
      <c r="K570" s="231"/>
      <c r="L570" s="176"/>
      <c r="M570" s="176"/>
      <c r="N570" s="173">
        <f ca="1">IFERROR(__xludf.DUMMYFUNCTION("IMPORTRANGE(""https://docs.google.com/spreadsheets/d/1IYY_tgx_IHuhSq3AJ5eI5OnqOPBNLWSHKh2a30DoXe8/edit?usp=sharing"",""ระนอง!M465"")"),0)</f>
        <v>0</v>
      </c>
      <c r="O570" s="176"/>
      <c r="P570" s="176"/>
    </row>
    <row r="571" spans="1:16" ht="21.75" customHeight="1" x14ac:dyDescent="0.35">
      <c r="A571" s="381"/>
      <c r="B571" s="382"/>
      <c r="C571" s="163"/>
      <c r="D571" s="383"/>
      <c r="E571" s="165"/>
      <c r="F571" s="165"/>
      <c r="G571" s="384" t="s">
        <v>133</v>
      </c>
      <c r="H571" s="167" t="s">
        <v>12</v>
      </c>
      <c r="I571" s="195"/>
      <c r="J571" s="195"/>
      <c r="K571" s="231"/>
      <c r="L571" s="176"/>
      <c r="M571" s="176"/>
      <c r="N571" s="385">
        <f ca="1">IFERROR(__xludf.DUMMYFUNCTION("IMPORTRANGE(""https://docs.google.com/spreadsheets/d/1IYY_tgx_IHuhSq3AJ5eI5OnqOPBNLWSHKh2a30DoXe8/edit?usp=sharing"",""ระนอง!M466"")"),53532)</f>
        <v>53532</v>
      </c>
      <c r="O571" s="176"/>
      <c r="P571" s="176"/>
    </row>
    <row r="572" spans="1:16" ht="21.75" customHeight="1" x14ac:dyDescent="0.35">
      <c r="A572" s="381"/>
      <c r="B572" s="382"/>
      <c r="C572" s="163"/>
      <c r="D572" s="383"/>
      <c r="E572" s="165"/>
      <c r="F572" s="165"/>
      <c r="G572" s="384" t="s">
        <v>134</v>
      </c>
      <c r="H572" s="167" t="s">
        <v>12</v>
      </c>
      <c r="I572" s="195"/>
      <c r="J572" s="195"/>
      <c r="K572" s="231"/>
      <c r="L572" s="176"/>
      <c r="M572" s="176"/>
      <c r="N572" s="385">
        <f ca="1">IFERROR(__xludf.DUMMYFUNCTION("IMPORTRANGE(""https://docs.google.com/spreadsheets/d/1IYY_tgx_IHuhSq3AJ5eI5OnqOPBNLWSHKh2a30DoXe8/edit?usp=sharing"",""ระนอง!M467"")"),15000)</f>
        <v>15000</v>
      </c>
      <c r="O572" s="176"/>
      <c r="P572" s="176"/>
    </row>
    <row r="573" spans="1:16" ht="21.75" customHeight="1" x14ac:dyDescent="0.35">
      <c r="A573" s="183"/>
      <c r="B573" s="184"/>
      <c r="C573" s="184"/>
      <c r="D573" s="203"/>
      <c r="E573" s="202" t="s">
        <v>40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IFERROR(__xludf.DUMMYFUNCTION("IMPORTRANGE(""https://docs.google.com/spreadsheets/d/1IYY_tgx_IHuhSq3AJ5eI5OnqOPBNLWSHKh2a30DoXe8/edit?usp=sharing"",""ระนอง!I468"")"),400)</f>
        <v>400</v>
      </c>
      <c r="J573" s="426">
        <f ca="1">IFERROR(__xludf.DUMMYFUNCTION("IMPORTRANGE(""https://docs.google.com/spreadsheets/d/1IYY_tgx_IHuhSq3AJ5eI5OnqOPBNLWSHKh2a30DoXe8/edit?usp=sharing"",""ระนอง!J468"")"),394)</f>
        <v>394</v>
      </c>
      <c r="K573" s="209">
        <f ca="1">IF(I573&gt;0,J573*100/I573,0)</f>
        <v>98.5</v>
      </c>
      <c r="L573" s="189"/>
      <c r="M573" s="189"/>
      <c r="N573" s="189"/>
      <c r="O573" s="189"/>
      <c r="P573" s="189"/>
    </row>
    <row r="574" spans="1:16" ht="21.75" customHeight="1" x14ac:dyDescent="0.35">
      <c r="A574" s="183"/>
      <c r="B574" s="184"/>
      <c r="C574" s="184"/>
      <c r="D574" s="203"/>
      <c r="E574" s="203"/>
      <c r="F574" s="202" t="s">
        <v>210</v>
      </c>
      <c r="G574" s="204"/>
      <c r="H574" s="481"/>
      <c r="I574" s="168"/>
      <c r="J574" s="168"/>
      <c r="K574" s="169"/>
      <c r="L574" s="189"/>
      <c r="M574" s="189"/>
      <c r="N574" s="189"/>
      <c r="O574" s="189"/>
      <c r="P574" s="189"/>
    </row>
    <row r="575" spans="1:16" ht="21.75" customHeight="1" x14ac:dyDescent="0.35">
      <c r="A575" s="183"/>
      <c r="B575" s="184"/>
      <c r="C575" s="184"/>
      <c r="D575" s="203"/>
      <c r="E575" s="202" t="s">
        <v>40</v>
      </c>
      <c r="F575" s="202" t="s">
        <v>211</v>
      </c>
      <c r="G575" s="204"/>
      <c r="H575" s="481" t="s">
        <v>77</v>
      </c>
      <c r="I575" s="210">
        <f ca="1">IFERROR(__xludf.DUMMYFUNCTION("IMPORTRANGE(""https://docs.google.com/spreadsheets/d/1IYY_tgx_IHuhSq3AJ5eI5OnqOPBNLWSHKh2a30DoXe8/edit?usp=sharing"",""ระนอง!I470"")"),0)</f>
        <v>0</v>
      </c>
      <c r="J575" s="205">
        <f ca="1">IFERROR(__xludf.DUMMYFUNCTION("IMPORTRANGE(""https://docs.google.com/spreadsheets/d/1IYY_tgx_IHuhSq3AJ5eI5OnqOPBNLWSHKh2a30DoXe8/edit?usp=sharing"",""ระนอง!J470"")"),2)</f>
        <v>2</v>
      </c>
      <c r="K575" s="169">
        <f t="shared" ref="K575:K579" ca="1" si="123">IF(I575&gt;0,J575*100/I575,0)</f>
        <v>0</v>
      </c>
      <c r="L575" s="189"/>
      <c r="M575" s="189"/>
      <c r="N575" s="189"/>
      <c r="O575" s="189"/>
      <c r="P575" s="189"/>
    </row>
    <row r="576" spans="1:16" ht="21.75" customHeight="1" x14ac:dyDescent="0.35">
      <c r="A576" s="183"/>
      <c r="B576" s="184"/>
      <c r="C576" s="184"/>
      <c r="D576" s="203"/>
      <c r="E576" s="203"/>
      <c r="F576" s="202" t="s">
        <v>212</v>
      </c>
      <c r="G576" s="204"/>
      <c r="H576" s="481" t="s">
        <v>37</v>
      </c>
      <c r="I576" s="210">
        <f ca="1">IFERROR(__xludf.DUMMYFUNCTION("IMPORTRANGE(""https://docs.google.com/spreadsheets/d/1IYY_tgx_IHuhSq3AJ5eI5OnqOPBNLWSHKh2a30DoXe8/edit?usp=sharing"",""ระนอง!I471"")"),0)</f>
        <v>0</v>
      </c>
      <c r="J576" s="205">
        <f ca="1">IFERROR(__xludf.DUMMYFUNCTION("IMPORTRANGE(""https://docs.google.com/spreadsheets/d/1IYY_tgx_IHuhSq3AJ5eI5OnqOPBNLWSHKh2a30DoXe8/edit?usp=sharing"",""ระนอง!J471"")"),94)</f>
        <v>94</v>
      </c>
      <c r="K576" s="169">
        <f t="shared" ca="1" si="123"/>
        <v>0</v>
      </c>
      <c r="L576" s="189"/>
      <c r="M576" s="189"/>
      <c r="N576" s="189"/>
      <c r="O576" s="189"/>
      <c r="P576" s="189"/>
    </row>
    <row r="577" spans="1:16" ht="21.75" customHeight="1" x14ac:dyDescent="0.35">
      <c r="A577" s="183"/>
      <c r="B577" s="184"/>
      <c r="C577" s="184"/>
      <c r="D577" s="203"/>
      <c r="E577" s="203"/>
      <c r="F577" s="202" t="s">
        <v>213</v>
      </c>
      <c r="G577" s="204"/>
      <c r="H577" s="481" t="s">
        <v>37</v>
      </c>
      <c r="I577" s="210">
        <f ca="1">IFERROR(__xludf.DUMMYFUNCTION("IMPORTRANGE(""https://docs.google.com/spreadsheets/d/1IYY_tgx_IHuhSq3AJ5eI5OnqOPBNLWSHKh2a30DoXe8/edit?usp=sharing"",""ระนอง!I472"")"),0)</f>
        <v>0</v>
      </c>
      <c r="J577" s="196">
        <f ca="1">IFERROR(__xludf.DUMMYFUNCTION("IMPORTRANGE(""https://docs.google.com/spreadsheets/d/1IYY_tgx_IHuhSq3AJ5eI5OnqOPBNLWSHKh2a30DoXe8/edit?usp=sharing"",""ระนอง!J472"")"),300)</f>
        <v>300</v>
      </c>
      <c r="K577" s="169">
        <f t="shared" ca="1" si="123"/>
        <v>0</v>
      </c>
      <c r="L577" s="189"/>
      <c r="M577" s="189"/>
      <c r="N577" s="189"/>
      <c r="O577" s="189"/>
      <c r="P577" s="189"/>
    </row>
    <row r="578" spans="1:16" ht="21.75" customHeight="1" x14ac:dyDescent="0.35">
      <c r="A578" s="183"/>
      <c r="B578" s="184"/>
      <c r="C578" s="184"/>
      <c r="D578" s="203"/>
      <c r="E578" s="203"/>
      <c r="F578" s="202" t="s">
        <v>214</v>
      </c>
      <c r="G578" s="427"/>
      <c r="H578" s="481" t="s">
        <v>37</v>
      </c>
      <c r="I578" s="210">
        <f ca="1">IFERROR(__xludf.DUMMYFUNCTION("IMPORTRANGE(""https://docs.google.com/spreadsheets/d/1IYY_tgx_IHuhSq3AJ5eI5OnqOPBNLWSHKh2a30DoXe8/edit?usp=sharing"",""ระนอง!I473"")"),0)</f>
        <v>0</v>
      </c>
      <c r="J578" s="205">
        <f ca="1">IFERROR(__xludf.DUMMYFUNCTION("IMPORTRANGE(""https://docs.google.com/spreadsheets/d/1IYY_tgx_IHuhSq3AJ5eI5OnqOPBNLWSHKh2a30DoXe8/edit?usp=sharing"",""ระนอง!J473"")"),0)</f>
        <v>0</v>
      </c>
      <c r="K578" s="169">
        <f t="shared" ca="1" si="123"/>
        <v>0</v>
      </c>
      <c r="L578" s="189"/>
      <c r="M578" s="189"/>
      <c r="N578" s="189"/>
      <c r="O578" s="189"/>
      <c r="P578" s="189"/>
    </row>
    <row r="579" spans="1:16" ht="21.75" customHeight="1" x14ac:dyDescent="0.35">
      <c r="A579" s="183"/>
      <c r="B579" s="184"/>
      <c r="C579" s="184"/>
      <c r="D579" s="203"/>
      <c r="E579" s="203"/>
      <c r="F579" s="202" t="s">
        <v>215</v>
      </c>
      <c r="G579" s="427"/>
      <c r="H579" s="481" t="s">
        <v>37</v>
      </c>
      <c r="I579" s="210">
        <f ca="1">IFERROR(__xludf.DUMMYFUNCTION("IMPORTRANGE(""https://docs.google.com/spreadsheets/d/1IYY_tgx_IHuhSq3AJ5eI5OnqOPBNLWSHKh2a30DoXe8/edit?usp=sharing"",""ระนอง!I474"")"),0)</f>
        <v>0</v>
      </c>
      <c r="J579" s="205">
        <f ca="1">IFERROR(__xludf.DUMMYFUNCTION("IMPORTRANGE(""https://docs.google.com/spreadsheets/d/1IYY_tgx_IHuhSq3AJ5eI5OnqOPBNLWSHKh2a30DoXe8/edit?usp=sharing"",""ระนอง!J474"")"),0)</f>
        <v>0</v>
      </c>
      <c r="K579" s="169">
        <f t="shared" ca="1" si="123"/>
        <v>0</v>
      </c>
      <c r="L579" s="189"/>
      <c r="M579" s="189"/>
      <c r="N579" s="189"/>
      <c r="O579" s="189"/>
      <c r="P579" s="189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IFERROR(__xludf.DUMMYFUNCTION("IMPORTRANGE(""https://docs.google.com/spreadsheets/d/1IYY_tgx_IHuhSq3AJ5eI5OnqOPBNLWSHKh2a30DoXe8/edit?usp=sharing"",""ระนอง!I475"")"),0)</f>
        <v>0</v>
      </c>
      <c r="J580" s="377">
        <f ca="1">IFERROR(__xludf.DUMMYFUNCTION("IMPORTRANGE(""https://docs.google.com/spreadsheets/d/1IYY_tgx_IHuhSq3AJ5eI5OnqOPBNLWSHKh2a30DoXe8/edit?usp=sharing"",""ระนอง!J475"")"),0)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IFERROR(__xludf.DUMMYFUNCTION("IMPORTRANGE(""https://docs.google.com/spreadsheets/d/1IYY_tgx_IHuhSq3AJ5eI5OnqOPBNLWSHKh2a30DoXe8/edit?usp=sharing"",""ระนอง!L475"")"),0)</f>
        <v>0</v>
      </c>
      <c r="M580" s="379"/>
      <c r="N580" s="379">
        <f ca="1">IFERROR(__xludf.DUMMYFUNCTION("IMPORTRANGE(""https://docs.google.com/spreadsheets/d/1IYY_tgx_IHuhSq3AJ5eI5OnqOPBNLWSHKh2a30DoXe8/edit?usp=sharing"",""ระนอง!M475"")"),0)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164" t="s">
        <v>38</v>
      </c>
      <c r="E581" s="165"/>
      <c r="F581" s="165"/>
      <c r="G581" s="166" t="s">
        <v>39</v>
      </c>
      <c r="H581" s="167" t="s">
        <v>12</v>
      </c>
      <c r="I581" s="168" t="s">
        <v>40</v>
      </c>
      <c r="J581" s="168"/>
      <c r="K581" s="169"/>
      <c r="L581" s="170">
        <f ca="1">IFERROR(__xludf.DUMMYFUNCTION("IMPORTRANGE(""https://docs.google.com/spreadsheets/d/1IYY_tgx_IHuhSq3AJ5eI5OnqOPBNLWSHKh2a30DoXe8/edit?usp=sharing"",""ระนอง!L476"")"),0)</f>
        <v>0</v>
      </c>
      <c r="M581" s="170"/>
      <c r="N581" s="176">
        <f ca="1">IFERROR(__xludf.DUMMYFUNCTION("IMPORTRANGE(""https://docs.google.com/spreadsheets/d/1IYY_tgx_IHuhSq3AJ5eI5OnqOPBNLWSHKh2a30DoXe8/edit?usp=sharing"",""ระนอง!M476"")"),0)</f>
        <v>0</v>
      </c>
      <c r="O581" s="176">
        <f t="shared" ca="1" si="124"/>
        <v>0</v>
      </c>
      <c r="P581" s="176"/>
    </row>
    <row r="582" spans="1:16" ht="21.75" customHeight="1" x14ac:dyDescent="0.35">
      <c r="A582" s="162"/>
      <c r="B582" s="163"/>
      <c r="C582" s="163"/>
      <c r="D582" s="172"/>
      <c r="E582" s="165"/>
      <c r="F582" s="165" t="s">
        <v>40</v>
      </c>
      <c r="G582" s="166" t="s">
        <v>41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IFERROR(__xludf.DUMMYFUNCTION("IMPORTRANGE(""https://docs.google.com/spreadsheets/d/1IYY_tgx_IHuhSq3AJ5eI5OnqOPBNLWSHKh2a30DoXe8/edit?usp=sharing"",""ระนอง!L477"")"),0)</f>
        <v>0</v>
      </c>
      <c r="M582" s="171"/>
      <c r="N582" s="176">
        <f ca="1">IFERROR(__xludf.DUMMYFUNCTION("IMPORTRANGE(""https://docs.google.com/spreadsheets/d/1IYY_tgx_IHuhSq3AJ5eI5OnqOPBNLWSHKh2a30DoXe8/edit?usp=sharing"",""ระนอง!M477"")"),0)</f>
        <v>0</v>
      </c>
      <c r="O582" s="176">
        <f t="shared" ca="1" si="124"/>
        <v>0</v>
      </c>
      <c r="P582" s="176"/>
    </row>
    <row r="583" spans="1:16" ht="21.75" customHeight="1" x14ac:dyDescent="0.35">
      <c r="A583" s="162"/>
      <c r="B583" s="163"/>
      <c r="C583" s="163"/>
      <c r="D583" s="172"/>
      <c r="E583" s="165"/>
      <c r="F583" s="165"/>
      <c r="G583" s="380" t="s">
        <v>129</v>
      </c>
      <c r="H583" s="167" t="s">
        <v>12</v>
      </c>
      <c r="I583" s="168"/>
      <c r="J583" s="168"/>
      <c r="K583" s="169"/>
      <c r="L583" s="176">
        <f ca="1">IFERROR(__xludf.DUMMYFUNCTION("IMPORTRANGE(""https://docs.google.com/spreadsheets/d/1IYY_tgx_IHuhSq3AJ5eI5OnqOPBNLWSHKh2a30DoXe8/edit?usp=sharing"",""ระนอง!L478"")"),0)</f>
        <v>0</v>
      </c>
      <c r="M583" s="176"/>
      <c r="N583" s="176">
        <f ca="1">IFERROR(__xludf.DUMMYFUNCTION("IMPORTRANGE(""https://docs.google.com/spreadsheets/d/1IYY_tgx_IHuhSq3AJ5eI5OnqOPBNLWSHKh2a30DoXe8/edit?usp=sharing"",""ระนอง!M478"")"),0)</f>
        <v>0</v>
      </c>
      <c r="O583" s="176">
        <f t="shared" ca="1" si="124"/>
        <v>0</v>
      </c>
      <c r="P583" s="176"/>
    </row>
    <row r="584" spans="1:16" ht="21.75" customHeight="1" x14ac:dyDescent="0.35">
      <c r="A584" s="162"/>
      <c r="B584" s="163"/>
      <c r="C584" s="163"/>
      <c r="D584" s="172"/>
      <c r="E584" s="165"/>
      <c r="F584" s="165"/>
      <c r="G584" s="380" t="s">
        <v>130</v>
      </c>
      <c r="H584" s="167" t="s">
        <v>12</v>
      </c>
      <c r="I584" s="168"/>
      <c r="J584" s="168"/>
      <c r="K584" s="169"/>
      <c r="L584" s="176">
        <f ca="1">IFERROR(__xludf.DUMMYFUNCTION("IMPORTRANGE(""https://docs.google.com/spreadsheets/d/1IYY_tgx_IHuhSq3AJ5eI5OnqOPBNLWSHKh2a30DoXe8/edit?usp=sharing"",""ระนอง!L479"")"),0)</f>
        <v>0</v>
      </c>
      <c r="M584" s="176"/>
      <c r="N584" s="176">
        <f ca="1">IFERROR(__xludf.DUMMYFUNCTION("IMPORTRANGE(""https://docs.google.com/spreadsheets/d/1IYY_tgx_IHuhSq3AJ5eI5OnqOPBNLWSHKh2a30DoXe8/edit?usp=sharing"",""ระนอง!M479"")"),0)</f>
        <v>0</v>
      </c>
      <c r="O584" s="176">
        <f t="shared" ca="1" si="124"/>
        <v>0</v>
      </c>
      <c r="P584" s="176"/>
    </row>
    <row r="585" spans="1:16" ht="21.75" customHeight="1" x14ac:dyDescent="0.35">
      <c r="A585" s="381"/>
      <c r="B585" s="382"/>
      <c r="C585" s="163"/>
      <c r="D585" s="383"/>
      <c r="E585" s="165"/>
      <c r="F585" s="165"/>
      <c r="G585" s="384" t="s">
        <v>131</v>
      </c>
      <c r="H585" s="167" t="s">
        <v>12</v>
      </c>
      <c r="I585" s="195"/>
      <c r="J585" s="195"/>
      <c r="K585" s="231"/>
      <c r="L585" s="176"/>
      <c r="M585" s="176"/>
      <c r="N585" s="173">
        <f ca="1">IFERROR(__xludf.DUMMYFUNCTION("IMPORTRANGE(""https://docs.google.com/spreadsheets/d/1IYY_tgx_IHuhSq3AJ5eI5OnqOPBNLWSHKh2a30DoXe8/edit?usp=sharing"",""ระนอง!M480"")"),0)</f>
        <v>0</v>
      </c>
      <c r="O585" s="176"/>
      <c r="P585" s="176"/>
    </row>
    <row r="586" spans="1:16" ht="21.75" customHeight="1" x14ac:dyDescent="0.35">
      <c r="A586" s="381"/>
      <c r="B586" s="382"/>
      <c r="C586" s="163"/>
      <c r="D586" s="383"/>
      <c r="E586" s="165"/>
      <c r="F586" s="165"/>
      <c r="G586" s="384" t="s">
        <v>132</v>
      </c>
      <c r="H586" s="167" t="s">
        <v>12</v>
      </c>
      <c r="I586" s="195"/>
      <c r="J586" s="195"/>
      <c r="K586" s="231"/>
      <c r="L586" s="176"/>
      <c r="M586" s="176"/>
      <c r="N586" s="173">
        <f ca="1">IFERROR(__xludf.DUMMYFUNCTION("IMPORTRANGE(""https://docs.google.com/spreadsheets/d/1IYY_tgx_IHuhSq3AJ5eI5OnqOPBNLWSHKh2a30DoXe8/edit?usp=sharing"",""ระนอง!M481"")"),0)</f>
        <v>0</v>
      </c>
      <c r="O586" s="176"/>
      <c r="P586" s="176"/>
    </row>
    <row r="587" spans="1:16" ht="21.75" customHeight="1" x14ac:dyDescent="0.35">
      <c r="A587" s="381"/>
      <c r="B587" s="382"/>
      <c r="C587" s="163"/>
      <c r="D587" s="383"/>
      <c r="E587" s="165"/>
      <c r="F587" s="165"/>
      <c r="G587" s="384" t="s">
        <v>133</v>
      </c>
      <c r="H587" s="167" t="s">
        <v>12</v>
      </c>
      <c r="I587" s="195"/>
      <c r="J587" s="195"/>
      <c r="K587" s="231"/>
      <c r="L587" s="176"/>
      <c r="M587" s="176"/>
      <c r="N587" s="173">
        <f ca="1">IFERROR(__xludf.DUMMYFUNCTION("IMPORTRANGE(""https://docs.google.com/spreadsheets/d/1IYY_tgx_IHuhSq3AJ5eI5OnqOPBNLWSHKh2a30DoXe8/edit?usp=sharing"",""ระนอง!M482"")"),0)</f>
        <v>0</v>
      </c>
      <c r="O587" s="176"/>
      <c r="P587" s="176"/>
    </row>
    <row r="588" spans="1:16" ht="21.75" customHeight="1" x14ac:dyDescent="0.35">
      <c r="A588" s="381"/>
      <c r="B588" s="382"/>
      <c r="C588" s="163"/>
      <c r="D588" s="383"/>
      <c r="E588" s="165"/>
      <c r="F588" s="165"/>
      <c r="G588" s="384" t="s">
        <v>134</v>
      </c>
      <c r="H588" s="167" t="s">
        <v>12</v>
      </c>
      <c r="I588" s="195"/>
      <c r="J588" s="195"/>
      <c r="K588" s="231"/>
      <c r="L588" s="176"/>
      <c r="M588" s="176"/>
      <c r="N588" s="173">
        <f ca="1">IFERROR(__xludf.DUMMYFUNCTION("IMPORTRANGE(""https://docs.google.com/spreadsheets/d/1IYY_tgx_IHuhSq3AJ5eI5OnqOPBNLWSHKh2a30DoXe8/edit?usp=sharing"",""ระนอง!M483"")"),0)</f>
        <v>0</v>
      </c>
      <c r="O588" s="176"/>
      <c r="P588" s="176"/>
    </row>
    <row r="589" spans="1:16" ht="21.75" customHeight="1" x14ac:dyDescent="0.35">
      <c r="A589" s="484"/>
      <c r="B589" s="172"/>
      <c r="C589" s="163"/>
      <c r="D589" s="297"/>
      <c r="E589" s="202" t="s">
        <v>217</v>
      </c>
      <c r="F589" s="203"/>
      <c r="G589" s="204"/>
      <c r="H589" s="188" t="s">
        <v>36</v>
      </c>
      <c r="I589" s="347">
        <f ca="1">IFERROR(__xludf.DUMMYFUNCTION("IMPORTRANGE(""https://docs.google.com/spreadsheets/d/1IYY_tgx_IHuhSq3AJ5eI5OnqOPBNLWSHKh2a30DoXe8/edit?usp=sharing"",""ระนอง!I484"")"),0)</f>
        <v>0</v>
      </c>
      <c r="J589" s="195">
        <f ca="1">IFERROR(__xludf.DUMMYFUNCTION("IMPORTRANGE(""https://docs.google.com/spreadsheets/d/1IYY_tgx_IHuhSq3AJ5eI5OnqOPBNLWSHKh2a30DoXe8/edit?usp=sharing"",""ระนอง!J484"")"),0)</f>
        <v>0</v>
      </c>
      <c r="K589" s="169">
        <f t="shared" ref="K589:K596" ca="1" si="125">IF(I589&gt;0,J589*100/I589,0)</f>
        <v>0</v>
      </c>
      <c r="L589" s="189"/>
      <c r="M589" s="189"/>
      <c r="N589" s="176"/>
      <c r="O589" s="189"/>
      <c r="P589" s="189"/>
    </row>
    <row r="590" spans="1:16" ht="21.75" customHeight="1" x14ac:dyDescent="0.35">
      <c r="A590" s="484"/>
      <c r="B590" s="172"/>
      <c r="C590" s="163"/>
      <c r="D590" s="297"/>
      <c r="E590" s="203"/>
      <c r="F590" s="203"/>
      <c r="G590" s="204"/>
      <c r="H590" s="188" t="s">
        <v>122</v>
      </c>
      <c r="I590" s="351">
        <f ca="1">IFERROR(__xludf.DUMMYFUNCTION("IMPORTRANGE(""https://docs.google.com/spreadsheets/d/1IYY_tgx_IHuhSq3AJ5eI5OnqOPBNLWSHKh2a30DoXe8/edit?usp=sharing"",""ระนอง!I485"")"),0)</f>
        <v>0</v>
      </c>
      <c r="J590" s="195">
        <f ca="1">IFERROR(__xludf.DUMMYFUNCTION("IMPORTRANGE(""https://docs.google.com/spreadsheets/d/1IYY_tgx_IHuhSq3AJ5eI5OnqOPBNLWSHKh2a30DoXe8/edit?usp=sharing"",""ระนอง!J485"")"),0)</f>
        <v>0</v>
      </c>
      <c r="K590" s="485">
        <f t="shared" ca="1" si="125"/>
        <v>0</v>
      </c>
      <c r="L590" s="189"/>
      <c r="M590" s="189"/>
      <c r="N590" s="176"/>
      <c r="O590" s="189"/>
      <c r="P590" s="189"/>
    </row>
    <row r="591" spans="1:16" ht="21.75" customHeight="1" x14ac:dyDescent="0.35">
      <c r="A591" s="484"/>
      <c r="B591" s="172"/>
      <c r="C591" s="163"/>
      <c r="D591" s="297"/>
      <c r="E591" s="202" t="s">
        <v>123</v>
      </c>
      <c r="F591" s="203"/>
      <c r="G591" s="204"/>
      <c r="H591" s="188" t="s">
        <v>37</v>
      </c>
      <c r="I591" s="347">
        <f ca="1">IFERROR(__xludf.DUMMYFUNCTION("IMPORTRANGE(""https://docs.google.com/spreadsheets/d/1IYY_tgx_IHuhSq3AJ5eI5OnqOPBNLWSHKh2a30DoXe8/edit?usp=sharing"",""ระนอง!I486"")"),0)</f>
        <v>0</v>
      </c>
      <c r="J591" s="195">
        <f ca="1">IFERROR(__xludf.DUMMYFUNCTION("IMPORTRANGE(""https://docs.google.com/spreadsheets/d/1IYY_tgx_IHuhSq3AJ5eI5OnqOPBNLWSHKh2a30DoXe8/edit?usp=sharing"",""ระนอง!J486"")"),0)</f>
        <v>0</v>
      </c>
      <c r="K591" s="169">
        <f t="shared" ca="1" si="125"/>
        <v>0</v>
      </c>
      <c r="L591" s="189"/>
      <c r="M591" s="189"/>
      <c r="N591" s="189"/>
      <c r="O591" s="189"/>
      <c r="P591" s="189"/>
    </row>
    <row r="592" spans="1:16" ht="21.75" customHeight="1" x14ac:dyDescent="0.35">
      <c r="A592" s="484"/>
      <c r="B592" s="172"/>
      <c r="C592" s="163"/>
      <c r="D592" s="297"/>
      <c r="E592" s="203"/>
      <c r="F592" s="203"/>
      <c r="G592" s="204"/>
      <c r="H592" s="188" t="s">
        <v>122</v>
      </c>
      <c r="I592" s="351">
        <f ca="1">IFERROR(__xludf.DUMMYFUNCTION("IMPORTRANGE(""https://docs.google.com/spreadsheets/d/1IYY_tgx_IHuhSq3AJ5eI5OnqOPBNLWSHKh2a30DoXe8/edit?usp=sharing"",""ระนอง!I487"")"),0)</f>
        <v>0</v>
      </c>
      <c r="J592" s="195">
        <f ca="1">IFERROR(__xludf.DUMMYFUNCTION("IMPORTRANGE(""https://docs.google.com/spreadsheets/d/1IYY_tgx_IHuhSq3AJ5eI5OnqOPBNLWSHKh2a30DoXe8/edit?usp=sharing"",""ระนอง!J487"")"),0)</f>
        <v>0</v>
      </c>
      <c r="K592" s="348">
        <f t="shared" ca="1" si="125"/>
        <v>0</v>
      </c>
      <c r="L592" s="189"/>
      <c r="M592" s="189"/>
      <c r="N592" s="189"/>
      <c r="O592" s="189"/>
      <c r="P592" s="189"/>
    </row>
    <row r="593" spans="1:16" ht="21.75" customHeight="1" x14ac:dyDescent="0.35">
      <c r="A593" s="484"/>
      <c r="B593" s="172"/>
      <c r="C593" s="163"/>
      <c r="D593" s="297"/>
      <c r="E593" s="202" t="s">
        <v>124</v>
      </c>
      <c r="F593" s="203"/>
      <c r="G593" s="204"/>
      <c r="H593" s="188" t="s">
        <v>37</v>
      </c>
      <c r="I593" s="347">
        <f ca="1">IFERROR(__xludf.DUMMYFUNCTION("IMPORTRANGE(""https://docs.google.com/spreadsheets/d/1IYY_tgx_IHuhSq3AJ5eI5OnqOPBNLWSHKh2a30DoXe8/edit?usp=sharing"",""ระนอง!I488"")"),0)</f>
        <v>0</v>
      </c>
      <c r="J593" s="195">
        <f ca="1">IFERROR(__xludf.DUMMYFUNCTION("IMPORTRANGE(""https://docs.google.com/spreadsheets/d/1IYY_tgx_IHuhSq3AJ5eI5OnqOPBNLWSHKh2a30DoXe8/edit?usp=sharing"",""ระนอง!J488"")"),0)</f>
        <v>0</v>
      </c>
      <c r="K593" s="169">
        <f t="shared" ca="1" si="125"/>
        <v>0</v>
      </c>
      <c r="L593" s="189"/>
      <c r="M593" s="189"/>
      <c r="N593" s="189"/>
      <c r="O593" s="189"/>
      <c r="P593" s="189"/>
    </row>
    <row r="594" spans="1:16" ht="21.75" customHeight="1" x14ac:dyDescent="0.35">
      <c r="A594" s="484"/>
      <c r="B594" s="172"/>
      <c r="C594" s="163"/>
      <c r="D594" s="297"/>
      <c r="E594" s="203"/>
      <c r="F594" s="203"/>
      <c r="G594" s="204"/>
      <c r="H594" s="188" t="s">
        <v>122</v>
      </c>
      <c r="I594" s="351">
        <f ca="1">IFERROR(__xludf.DUMMYFUNCTION("IMPORTRANGE(""https://docs.google.com/spreadsheets/d/1IYY_tgx_IHuhSq3AJ5eI5OnqOPBNLWSHKh2a30DoXe8/edit?usp=sharing"",""ระนอง!I489"")"),0)</f>
        <v>0</v>
      </c>
      <c r="J594" s="195">
        <f ca="1">IFERROR(__xludf.DUMMYFUNCTION("IMPORTRANGE(""https://docs.google.com/spreadsheets/d/1IYY_tgx_IHuhSq3AJ5eI5OnqOPBNLWSHKh2a30DoXe8/edit?usp=sharing"",""ระนอง!J489"")"),0)</f>
        <v>0</v>
      </c>
      <c r="K594" s="348">
        <f t="shared" ca="1" si="125"/>
        <v>0</v>
      </c>
      <c r="L594" s="189"/>
      <c r="M594" s="189"/>
      <c r="N594" s="189"/>
      <c r="O594" s="189"/>
      <c r="P594" s="189"/>
    </row>
    <row r="595" spans="1:16" ht="21.75" customHeight="1" x14ac:dyDescent="0.35">
      <c r="A595" s="484"/>
      <c r="B595" s="172"/>
      <c r="C595" s="163"/>
      <c r="D595" s="297"/>
      <c r="E595" s="202" t="s">
        <v>125</v>
      </c>
      <c r="F595" s="203"/>
      <c r="G595" s="204"/>
      <c r="H595" s="188" t="s">
        <v>37</v>
      </c>
      <c r="I595" s="347">
        <f ca="1">IFERROR(__xludf.DUMMYFUNCTION("IMPORTRANGE(""https://docs.google.com/spreadsheets/d/1IYY_tgx_IHuhSq3AJ5eI5OnqOPBNLWSHKh2a30DoXe8/edit?usp=sharing"",""ระนอง!I490"")"),0)</f>
        <v>0</v>
      </c>
      <c r="J595" s="195">
        <f ca="1">IFERROR(__xludf.DUMMYFUNCTION("IMPORTRANGE(""https://docs.google.com/spreadsheets/d/1IYY_tgx_IHuhSq3AJ5eI5OnqOPBNLWSHKh2a30DoXe8/edit?usp=sharing"",""ระนอง!J490"")"),0)</f>
        <v>0</v>
      </c>
      <c r="K595" s="169">
        <f t="shared" ca="1" si="125"/>
        <v>0</v>
      </c>
      <c r="L595" s="189"/>
      <c r="M595" s="189"/>
      <c r="N595" s="189"/>
      <c r="O595" s="189"/>
      <c r="P595" s="189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IFERROR(__xludf.DUMMYFUNCTION("IMPORTRANGE(""https://docs.google.com/spreadsheets/d/1IYY_tgx_IHuhSq3AJ5eI5OnqOPBNLWSHKh2a30DoXe8/edit?usp=sharing"",""ระนอง!I491"")"),0)</f>
        <v>0</v>
      </c>
      <c r="J596" s="248">
        <f ca="1">IFERROR(__xludf.DUMMYFUNCTION("IMPORTRANGE(""https://docs.google.com/spreadsheets/d/1IYY_tgx_IHuhSq3AJ5eI5OnqOPBNLWSHKh2a30DoXe8/edit?usp=sharing"",""ระนอง!J491"")"),0)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IFERROR(__xludf.DUMMYFUNCTION("IMPORTRANGE(""https://docs.google.com/spreadsheets/d/1IYY_tgx_IHuhSq3AJ5eI5OnqOPBNLWSHKh2a30DoXe8/edit?usp=sharing"",""ระนอง!I492"")"),50)</f>
        <v>50</v>
      </c>
      <c r="J597" s="493">
        <f ca="1">IFERROR(__xludf.DUMMYFUNCTION("IMPORTRANGE(""https://docs.google.com/spreadsheets/d/1IYY_tgx_IHuhSq3AJ5eI5OnqOPBNLWSHKh2a30DoXe8/edit?usp=sharing"",""ระนอง!J492"")"),0)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IFERROR(__xludf.DUMMYFUNCTION("IMPORTRANGE(""https://docs.google.com/spreadsheets/d/1IYY_tgx_IHuhSq3AJ5eI5OnqOPBNLWSHKh2a30DoXe8/edit?usp=sharing"",""ระนอง!L492"")"),7750)</f>
        <v>7750</v>
      </c>
      <c r="M597" s="418"/>
      <c r="N597" s="418">
        <f ca="1">IFERROR(__xludf.DUMMYFUNCTION("IMPORTRANGE(""https://docs.google.com/spreadsheets/d/1IYY_tgx_IHuhSq3AJ5eI5OnqOPBNLWSHKh2a30DoXe8/edit?usp=sharing"",""ระนอง!M492"")"),3400)</f>
        <v>3400</v>
      </c>
      <c r="O597" s="418">
        <f t="shared" ref="O597:O601" ca="1" si="126">+IF(L597&gt;0,N597*100/L597,0)</f>
        <v>43.87096774193548</v>
      </c>
      <c r="P597" s="418"/>
    </row>
    <row r="598" spans="1:16" ht="21.75" customHeight="1" x14ac:dyDescent="0.35">
      <c r="A598" s="162"/>
      <c r="B598" s="163"/>
      <c r="C598" s="163" t="s">
        <v>16</v>
      </c>
      <c r="D598" s="164" t="s">
        <v>38</v>
      </c>
      <c r="E598" s="165"/>
      <c r="F598" s="165"/>
      <c r="G598" s="166" t="s">
        <v>39</v>
      </c>
      <c r="H598" s="167" t="s">
        <v>12</v>
      </c>
      <c r="I598" s="168" t="s">
        <v>40</v>
      </c>
      <c r="J598" s="168"/>
      <c r="K598" s="169"/>
      <c r="L598" s="170">
        <f ca="1">IFERROR(__xludf.DUMMYFUNCTION("IMPORTRANGE(""https://docs.google.com/spreadsheets/d/1IYY_tgx_IHuhSq3AJ5eI5OnqOPBNLWSHKh2a30DoXe8/edit?usp=sharing"",""ระนอง!L493"")"),0)</f>
        <v>0</v>
      </c>
      <c r="M598" s="170"/>
      <c r="N598" s="176">
        <f ca="1">IFERROR(__xludf.DUMMYFUNCTION("IMPORTRANGE(""https://docs.google.com/spreadsheets/d/1IYY_tgx_IHuhSq3AJ5eI5OnqOPBNLWSHKh2a30DoXe8/edit?usp=sharing"",""ระนอง!M493"")"),0)</f>
        <v>0</v>
      </c>
      <c r="O598" s="176">
        <f t="shared" ca="1" si="126"/>
        <v>0</v>
      </c>
      <c r="P598" s="176"/>
    </row>
    <row r="599" spans="1:16" ht="21.75" customHeight="1" x14ac:dyDescent="0.35">
      <c r="A599" s="162"/>
      <c r="B599" s="163"/>
      <c r="C599" s="163"/>
      <c r="D599" s="172"/>
      <c r="E599" s="165"/>
      <c r="F599" s="165" t="s">
        <v>40</v>
      </c>
      <c r="G599" s="166" t="s">
        <v>41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IFERROR(__xludf.DUMMYFUNCTION("IMPORTRANGE(""https://docs.google.com/spreadsheets/d/1IYY_tgx_IHuhSq3AJ5eI5OnqOPBNLWSHKh2a30DoXe8/edit?usp=sharing"",""ระนอง!L494"")"),7750)</f>
        <v>7750</v>
      </c>
      <c r="M599" s="171"/>
      <c r="N599" s="176">
        <f ca="1">IFERROR(__xludf.DUMMYFUNCTION("IMPORTRANGE(""https://docs.google.com/spreadsheets/d/1IYY_tgx_IHuhSq3AJ5eI5OnqOPBNLWSHKh2a30DoXe8/edit?usp=sharing"",""ระนอง!M494"")"),3400)</f>
        <v>3400</v>
      </c>
      <c r="O599" s="176">
        <f t="shared" ca="1" si="126"/>
        <v>43.87096774193548</v>
      </c>
      <c r="P599" s="176"/>
    </row>
    <row r="600" spans="1:16" ht="21.75" customHeight="1" x14ac:dyDescent="0.35">
      <c r="A600" s="162"/>
      <c r="B600" s="163"/>
      <c r="C600" s="163"/>
      <c r="D600" s="172"/>
      <c r="E600" s="165"/>
      <c r="F600" s="165"/>
      <c r="G600" s="380" t="s">
        <v>129</v>
      </c>
      <c r="H600" s="167" t="s">
        <v>12</v>
      </c>
      <c r="I600" s="168"/>
      <c r="J600" s="168"/>
      <c r="K600" s="169"/>
      <c r="L600" s="176">
        <f ca="1">IFERROR(__xludf.DUMMYFUNCTION("IMPORTRANGE(""https://docs.google.com/spreadsheets/d/1IYY_tgx_IHuhSq3AJ5eI5OnqOPBNLWSHKh2a30DoXe8/edit?usp=sharing"",""ระนอง!L495"")"),0)</f>
        <v>0</v>
      </c>
      <c r="M600" s="176"/>
      <c r="N600" s="176">
        <f ca="1">IFERROR(__xludf.DUMMYFUNCTION("IMPORTRANGE(""https://docs.google.com/spreadsheets/d/1IYY_tgx_IHuhSq3AJ5eI5OnqOPBNLWSHKh2a30DoXe8/edit?usp=sharing"",""ระนอง!M495"")"),0)</f>
        <v>0</v>
      </c>
      <c r="O600" s="176">
        <f t="shared" ca="1" si="126"/>
        <v>0</v>
      </c>
      <c r="P600" s="176"/>
    </row>
    <row r="601" spans="1:16" ht="21.75" customHeight="1" x14ac:dyDescent="0.35">
      <c r="A601" s="162"/>
      <c r="B601" s="163"/>
      <c r="C601" s="163"/>
      <c r="D601" s="172"/>
      <c r="E601" s="165"/>
      <c r="F601" s="165"/>
      <c r="G601" s="380" t="s">
        <v>130</v>
      </c>
      <c r="H601" s="167" t="s">
        <v>12</v>
      </c>
      <c r="I601" s="168"/>
      <c r="J601" s="168"/>
      <c r="K601" s="169"/>
      <c r="L601" s="176">
        <f ca="1">IFERROR(__xludf.DUMMYFUNCTION("IMPORTRANGE(""https://docs.google.com/spreadsheets/d/1IYY_tgx_IHuhSq3AJ5eI5OnqOPBNLWSHKh2a30DoXe8/edit?usp=sharing"",""ระนอง!L496"")"),7750)</f>
        <v>7750</v>
      </c>
      <c r="M601" s="176"/>
      <c r="N601" s="176">
        <f ca="1">IFERROR(__xludf.DUMMYFUNCTION("IMPORTRANGE(""https://docs.google.com/spreadsheets/d/1IYY_tgx_IHuhSq3AJ5eI5OnqOPBNLWSHKh2a30DoXe8/edit?usp=sharing"",""ระนอง!M496"")"),3400)</f>
        <v>3400</v>
      </c>
      <c r="O601" s="176">
        <f t="shared" ca="1" si="126"/>
        <v>43.87096774193548</v>
      </c>
      <c r="P601" s="176"/>
    </row>
    <row r="602" spans="1:16" ht="21.75" customHeight="1" x14ac:dyDescent="0.35">
      <c r="A602" s="381"/>
      <c r="B602" s="382"/>
      <c r="C602" s="163"/>
      <c r="D602" s="383"/>
      <c r="E602" s="165"/>
      <c r="F602" s="165"/>
      <c r="G602" s="384" t="s">
        <v>131</v>
      </c>
      <c r="H602" s="167" t="s">
        <v>12</v>
      </c>
      <c r="I602" s="195"/>
      <c r="J602" s="195"/>
      <c r="K602" s="231"/>
      <c r="L602" s="176"/>
      <c r="M602" s="176"/>
      <c r="N602" s="173">
        <f ca="1">IFERROR(__xludf.DUMMYFUNCTION("IMPORTRANGE(""https://docs.google.com/spreadsheets/d/1IYY_tgx_IHuhSq3AJ5eI5OnqOPBNLWSHKh2a30DoXe8/edit?usp=sharing"",""ระนอง!M497"")"),0)</f>
        <v>0</v>
      </c>
      <c r="O602" s="176"/>
      <c r="P602" s="176"/>
    </row>
    <row r="603" spans="1:16" ht="21.75" customHeight="1" x14ac:dyDescent="0.35">
      <c r="A603" s="381"/>
      <c r="B603" s="382"/>
      <c r="C603" s="163"/>
      <c r="D603" s="383"/>
      <c r="E603" s="165"/>
      <c r="F603" s="165"/>
      <c r="G603" s="384" t="s">
        <v>132</v>
      </c>
      <c r="H603" s="167" t="s">
        <v>12</v>
      </c>
      <c r="I603" s="195"/>
      <c r="J603" s="195"/>
      <c r="K603" s="231"/>
      <c r="L603" s="176"/>
      <c r="M603" s="176"/>
      <c r="N603" s="173">
        <f ca="1">IFERROR(__xludf.DUMMYFUNCTION("IMPORTRANGE(""https://docs.google.com/spreadsheets/d/1IYY_tgx_IHuhSq3AJ5eI5OnqOPBNLWSHKh2a30DoXe8/edit?usp=sharing"",""ระนอง!M498"")"),0)</f>
        <v>0</v>
      </c>
      <c r="O603" s="176"/>
      <c r="P603" s="176"/>
    </row>
    <row r="604" spans="1:16" ht="21.75" customHeight="1" x14ac:dyDescent="0.35">
      <c r="A604" s="381"/>
      <c r="B604" s="382"/>
      <c r="C604" s="163"/>
      <c r="D604" s="383"/>
      <c r="E604" s="165"/>
      <c r="F604" s="165"/>
      <c r="G604" s="384" t="s">
        <v>133</v>
      </c>
      <c r="H604" s="167" t="s">
        <v>12</v>
      </c>
      <c r="I604" s="195"/>
      <c r="J604" s="195"/>
      <c r="K604" s="231"/>
      <c r="L604" s="176"/>
      <c r="M604" s="176"/>
      <c r="N604" s="385">
        <f ca="1">IFERROR(__xludf.DUMMYFUNCTION("IMPORTRANGE(""https://docs.google.com/spreadsheets/d/1IYY_tgx_IHuhSq3AJ5eI5OnqOPBNLWSHKh2a30DoXe8/edit?usp=sharing"",""ระนอง!M499"")"),2400)</f>
        <v>2400</v>
      </c>
      <c r="O604" s="176"/>
      <c r="P604" s="176"/>
    </row>
    <row r="605" spans="1:16" ht="21.75" customHeight="1" x14ac:dyDescent="0.35">
      <c r="A605" s="381"/>
      <c r="B605" s="382"/>
      <c r="C605" s="163"/>
      <c r="D605" s="383"/>
      <c r="E605" s="165"/>
      <c r="F605" s="165"/>
      <c r="G605" s="384" t="s">
        <v>134</v>
      </c>
      <c r="H605" s="167" t="s">
        <v>12</v>
      </c>
      <c r="I605" s="195"/>
      <c r="J605" s="195"/>
      <c r="K605" s="231"/>
      <c r="L605" s="176"/>
      <c r="M605" s="176"/>
      <c r="N605" s="385">
        <f ca="1">IFERROR(__xludf.DUMMYFUNCTION("IMPORTRANGE(""https://docs.google.com/spreadsheets/d/1IYY_tgx_IHuhSq3AJ5eI5OnqOPBNLWSHKh2a30DoXe8/edit?usp=sharing"",""ระนอง!M500"")"),1000)</f>
        <v>1000</v>
      </c>
      <c r="O605" s="176"/>
      <c r="P605" s="176"/>
    </row>
    <row r="606" spans="1:16" ht="21.75" customHeight="1" x14ac:dyDescent="0.35">
      <c r="A606" s="183"/>
      <c r="B606" s="184"/>
      <c r="C606" s="163" t="s">
        <v>16</v>
      </c>
      <c r="D606" s="185" t="s">
        <v>44</v>
      </c>
      <c r="E606" s="186"/>
      <c r="F606" s="186"/>
      <c r="G606" s="187"/>
      <c r="H606" s="188"/>
      <c r="I606" s="168"/>
      <c r="J606" s="168"/>
      <c r="K606" s="169"/>
      <c r="L606" s="189"/>
      <c r="M606" s="189"/>
      <c r="N606" s="189"/>
      <c r="O606" s="189"/>
      <c r="P606" s="189"/>
    </row>
    <row r="607" spans="1:16" ht="21.75" customHeight="1" x14ac:dyDescent="0.35">
      <c r="A607" s="183"/>
      <c r="B607" s="184"/>
      <c r="C607" s="184"/>
      <c r="D607" s="190">
        <v>1</v>
      </c>
      <c r="E607" s="191" t="s">
        <v>45</v>
      </c>
      <c r="F607" s="192"/>
      <c r="G607" s="193"/>
      <c r="H607" s="194"/>
      <c r="I607" s="195"/>
      <c r="J607" s="205">
        <f ca="1">IFERROR(__xludf.DUMMYFUNCTION("IMPORTRANGE(""https://docs.google.com/spreadsheets/d/1IYY_tgx_IHuhSq3AJ5eI5OnqOPBNLWSHKh2a30DoXe8/edit?usp=sharing"",""ระนอง!J502"")"),0)</f>
        <v>0</v>
      </c>
      <c r="K607" s="169"/>
      <c r="L607" s="189"/>
      <c r="M607" s="189"/>
      <c r="N607" s="189"/>
      <c r="O607" s="189"/>
      <c r="P607" s="189"/>
    </row>
    <row r="608" spans="1:16" ht="21.75" customHeight="1" x14ac:dyDescent="0.35">
      <c r="A608" s="183"/>
      <c r="B608" s="184"/>
      <c r="C608" s="184"/>
      <c r="D608" s="197">
        <v>2</v>
      </c>
      <c r="E608" s="198" t="s">
        <v>46</v>
      </c>
      <c r="F608" s="199"/>
      <c r="G608" s="200"/>
      <c r="H608" s="194"/>
      <c r="I608" s="195"/>
      <c r="J608" s="205">
        <f ca="1">IFERROR(__xludf.DUMMYFUNCTION("IMPORTRANGE(""https://docs.google.com/spreadsheets/d/1IYY_tgx_IHuhSq3AJ5eI5OnqOPBNLWSHKh2a30DoXe8/edit?usp=sharing"",""ระนอง!J503"")"),1)</f>
        <v>1</v>
      </c>
      <c r="K608" s="169"/>
      <c r="L608" s="189" t="s">
        <v>40</v>
      </c>
      <c r="M608" s="189"/>
      <c r="N608" s="189" t="s">
        <v>40</v>
      </c>
      <c r="O608" s="189"/>
      <c r="P608" s="189"/>
    </row>
    <row r="609" spans="1:16" ht="21.75" hidden="1" customHeight="1" x14ac:dyDescent="0.35">
      <c r="A609" s="494"/>
      <c r="B609" s="495"/>
      <c r="C609" s="495"/>
      <c r="D609" s="496"/>
      <c r="E609" s="497" t="s">
        <v>47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IFERROR(__xludf.DUMMYFUNCTION("IMPORTRANGE(""https://docs.google.com/spreadsheets/d/1IYY_tgx_IHuhSq3AJ5eI5OnqOPBNLWSHKh2a30DoXe8/edit?usp=sharing"",""ระนอง!J166"")"),0)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48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IFERROR(__xludf.DUMMYFUNCTION("IMPORTRANGE(""https://docs.google.com/spreadsheets/d/1IYY_tgx_IHuhSq3AJ5eI5OnqOPBNLWSHKh2a30DoXe8/edit?usp=sharing"",""ระนอง!J166"")"),0)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3"/>
      <c r="B611" s="184"/>
      <c r="C611" s="184"/>
      <c r="D611" s="201"/>
      <c r="E611" s="203"/>
      <c r="F611" s="203" t="s">
        <v>219</v>
      </c>
      <c r="G611" s="204"/>
      <c r="H611" s="188" t="s">
        <v>122</v>
      </c>
      <c r="I611" s="195">
        <f ca="1">IFERROR(__xludf.DUMMYFUNCTION("IMPORTRANGE(""https://docs.google.com/spreadsheets/d/1IYY_tgx_IHuhSq3AJ5eI5OnqOPBNLWSHKh2a30DoXe8/edit?usp=sharing"",""ระนอง!I506"")"),50)</f>
        <v>50</v>
      </c>
      <c r="J611" s="168">
        <f ca="1">IFERROR(__xludf.DUMMYFUNCTION("IMPORTRANGE(""https://docs.google.com/spreadsheets/d/1IYY_tgx_IHuhSq3AJ5eI5OnqOPBNLWSHKh2a30DoXe8/edit?usp=sharing"",""ระนอง!J506"")"),0)</f>
        <v>0</v>
      </c>
      <c r="K611" s="169">
        <f t="shared" ref="K611:K619" ca="1" si="127">IF(I$611&gt;0,J611*100/I$611,0)</f>
        <v>0</v>
      </c>
      <c r="L611" s="189"/>
      <c r="M611" s="189"/>
      <c r="N611" s="189"/>
      <c r="O611" s="189"/>
      <c r="P611" s="189"/>
    </row>
    <row r="612" spans="1:16" ht="21.75" customHeight="1" x14ac:dyDescent="0.35">
      <c r="A612" s="183"/>
      <c r="B612" s="184"/>
      <c r="C612" s="184"/>
      <c r="D612" s="201"/>
      <c r="E612" s="206"/>
      <c r="F612" s="203"/>
      <c r="G612" s="233" t="s">
        <v>220</v>
      </c>
      <c r="H612" s="188" t="s">
        <v>122</v>
      </c>
      <c r="I612" s="211">
        <f ca="1">IFERROR(__xludf.DUMMYFUNCTION("IMPORTRANGE(""https://docs.google.com/spreadsheets/d/1IYY_tgx_IHuhSq3AJ5eI5OnqOPBNLWSHKh2a30DoXe8/edit?usp=sharing"",""ระนอง!I507"")"),0)</f>
        <v>0</v>
      </c>
      <c r="J612" s="205">
        <f ca="1">IFERROR(__xludf.DUMMYFUNCTION("IMPORTRANGE(""https://docs.google.com/spreadsheets/d/1IYY_tgx_IHuhSq3AJ5eI5OnqOPBNLWSHKh2a30DoXe8/edit?usp=sharing"",""ระนอง!J507"")"),0)</f>
        <v>0</v>
      </c>
      <c r="K612" s="169">
        <f t="shared" ca="1" si="127"/>
        <v>0</v>
      </c>
      <c r="L612" s="189"/>
      <c r="M612" s="189"/>
      <c r="N612" s="189"/>
      <c r="O612" s="189"/>
      <c r="P612" s="189"/>
    </row>
    <row r="613" spans="1:16" ht="21.75" customHeight="1" x14ac:dyDescent="0.35">
      <c r="A613" s="183"/>
      <c r="B613" s="184"/>
      <c r="C613" s="184"/>
      <c r="D613" s="201"/>
      <c r="E613" s="206"/>
      <c r="F613" s="203"/>
      <c r="G613" s="233" t="s">
        <v>221</v>
      </c>
      <c r="H613" s="188" t="s">
        <v>122</v>
      </c>
      <c r="I613" s="211">
        <f ca="1">IFERROR(__xludf.DUMMYFUNCTION("IMPORTRANGE(""https://docs.google.com/spreadsheets/d/1IYY_tgx_IHuhSq3AJ5eI5OnqOPBNLWSHKh2a30DoXe8/edit?usp=sharing"",""ระนอง!I508"")"),0)</f>
        <v>0</v>
      </c>
      <c r="J613" s="205">
        <f ca="1">IFERROR(__xludf.DUMMYFUNCTION("IMPORTRANGE(""https://docs.google.com/spreadsheets/d/1IYY_tgx_IHuhSq3AJ5eI5OnqOPBNLWSHKh2a30DoXe8/edit?usp=sharing"",""ระนอง!J508"")"),0)</f>
        <v>0</v>
      </c>
      <c r="K613" s="169">
        <f t="shared" ca="1" si="127"/>
        <v>0</v>
      </c>
      <c r="L613" s="189"/>
      <c r="M613" s="189"/>
      <c r="N613" s="189"/>
      <c r="O613" s="189"/>
      <c r="P613" s="189"/>
    </row>
    <row r="614" spans="1:16" ht="21.75" customHeight="1" x14ac:dyDescent="0.35">
      <c r="A614" s="183"/>
      <c r="B614" s="184"/>
      <c r="C614" s="184"/>
      <c r="D614" s="201"/>
      <c r="E614" s="206"/>
      <c r="F614" s="203"/>
      <c r="G614" s="233" t="s">
        <v>222</v>
      </c>
      <c r="H614" s="188" t="s">
        <v>122</v>
      </c>
      <c r="I614" s="211">
        <f ca="1">IFERROR(__xludf.DUMMYFUNCTION("IMPORTRANGE(""https://docs.google.com/spreadsheets/d/1IYY_tgx_IHuhSq3AJ5eI5OnqOPBNLWSHKh2a30DoXe8/edit?usp=sharing"",""ระนอง!I509"")"),0)</f>
        <v>0</v>
      </c>
      <c r="J614" s="205">
        <f ca="1">IFERROR(__xludf.DUMMYFUNCTION("IMPORTRANGE(""https://docs.google.com/spreadsheets/d/1IYY_tgx_IHuhSq3AJ5eI5OnqOPBNLWSHKh2a30DoXe8/edit?usp=sharing"",""ระนอง!J509"")"),0)</f>
        <v>0</v>
      </c>
      <c r="K614" s="169">
        <f t="shared" ca="1" si="127"/>
        <v>0</v>
      </c>
      <c r="L614" s="189"/>
      <c r="M614" s="189"/>
      <c r="N614" s="189"/>
      <c r="O614" s="189"/>
      <c r="P614" s="189"/>
    </row>
    <row r="615" spans="1:16" ht="21.75" customHeight="1" x14ac:dyDescent="0.35">
      <c r="A615" s="183"/>
      <c r="B615" s="184"/>
      <c r="C615" s="184"/>
      <c r="D615" s="201"/>
      <c r="E615" s="206"/>
      <c r="F615" s="203"/>
      <c r="G615" s="233" t="s">
        <v>223</v>
      </c>
      <c r="H615" s="188" t="s">
        <v>122</v>
      </c>
      <c r="I615" s="211">
        <f ca="1">IFERROR(__xludf.DUMMYFUNCTION("IMPORTRANGE(""https://docs.google.com/spreadsheets/d/1IYY_tgx_IHuhSq3AJ5eI5OnqOPBNLWSHKh2a30DoXe8/edit?usp=sharing"",""ระนอง!I510"")"),0)</f>
        <v>0</v>
      </c>
      <c r="J615" s="205">
        <f ca="1">IFERROR(__xludf.DUMMYFUNCTION("IMPORTRANGE(""https://docs.google.com/spreadsheets/d/1IYY_tgx_IHuhSq3AJ5eI5OnqOPBNLWSHKh2a30DoXe8/edit?usp=sharing"",""ระนอง!J510"")"),0)</f>
        <v>0</v>
      </c>
      <c r="K615" s="169">
        <f t="shared" ca="1" si="127"/>
        <v>0</v>
      </c>
      <c r="L615" s="189"/>
      <c r="M615" s="189"/>
      <c r="N615" s="189"/>
      <c r="O615" s="189"/>
      <c r="P615" s="189"/>
    </row>
    <row r="616" spans="1:16" ht="21.75" customHeight="1" x14ac:dyDescent="0.35">
      <c r="A616" s="183"/>
      <c r="B616" s="184"/>
      <c r="C616" s="184"/>
      <c r="D616" s="201"/>
      <c r="E616" s="206"/>
      <c r="F616" s="203"/>
      <c r="G616" s="202" t="s">
        <v>224</v>
      </c>
      <c r="H616" s="188" t="s">
        <v>122</v>
      </c>
      <c r="I616" s="211">
        <f ca="1">IFERROR(__xludf.DUMMYFUNCTION("IMPORTRANGE(""https://docs.google.com/spreadsheets/d/1IYY_tgx_IHuhSq3AJ5eI5OnqOPBNLWSHKh2a30DoXe8/edit?usp=sharing"",""ระนอง!I511"")"),0)</f>
        <v>0</v>
      </c>
      <c r="J616" s="205">
        <f ca="1">IFERROR(__xludf.DUMMYFUNCTION("IMPORTRANGE(""https://docs.google.com/spreadsheets/d/1IYY_tgx_IHuhSq3AJ5eI5OnqOPBNLWSHKh2a30DoXe8/edit?usp=sharing"",""ระนอง!J511"")"),0)</f>
        <v>0</v>
      </c>
      <c r="K616" s="169">
        <f t="shared" ca="1" si="127"/>
        <v>0</v>
      </c>
      <c r="L616" s="189"/>
      <c r="M616" s="189"/>
      <c r="N616" s="189"/>
      <c r="O616" s="189"/>
      <c r="P616" s="189"/>
    </row>
    <row r="617" spans="1:16" ht="21.75" customHeight="1" x14ac:dyDescent="0.35">
      <c r="A617" s="183"/>
      <c r="B617" s="184"/>
      <c r="C617" s="184"/>
      <c r="D617" s="201"/>
      <c r="E617" s="206"/>
      <c r="F617" s="203"/>
      <c r="G617" s="202" t="s">
        <v>225</v>
      </c>
      <c r="H617" s="188" t="s">
        <v>122</v>
      </c>
      <c r="I617" s="195">
        <f ca="1">IFERROR(__xludf.DUMMYFUNCTION("IMPORTRANGE(""https://docs.google.com/spreadsheets/d/1IYY_tgx_IHuhSq3AJ5eI5OnqOPBNLWSHKh2a30DoXe8/edit?usp=sharing"",""ระนอง!I512"")"),0)</f>
        <v>0</v>
      </c>
      <c r="J617" s="195">
        <f ca="1">IFERROR(__xludf.DUMMYFUNCTION("IMPORTRANGE(""https://docs.google.com/spreadsheets/d/1IYY_tgx_IHuhSq3AJ5eI5OnqOPBNLWSHKh2a30DoXe8/edit?usp=sharing"",""ระนอง!J512"")"),0)</f>
        <v>0</v>
      </c>
      <c r="K617" s="169">
        <f t="shared" ca="1" si="127"/>
        <v>0</v>
      </c>
      <c r="L617" s="189"/>
      <c r="M617" s="189"/>
      <c r="N617" s="189"/>
      <c r="O617" s="189"/>
      <c r="P617" s="189"/>
    </row>
    <row r="618" spans="1:16" ht="21.75" customHeight="1" x14ac:dyDescent="0.35">
      <c r="A618" s="183"/>
      <c r="B618" s="184"/>
      <c r="C618" s="184"/>
      <c r="D618" s="201"/>
      <c r="E618" s="206"/>
      <c r="F618" s="203"/>
      <c r="G618" s="504" t="s">
        <v>226</v>
      </c>
      <c r="H618" s="188" t="s">
        <v>122</v>
      </c>
      <c r="I618" s="211">
        <f ca="1">IFERROR(__xludf.DUMMYFUNCTION("IMPORTRANGE(""https://docs.google.com/spreadsheets/d/1IYY_tgx_IHuhSq3AJ5eI5OnqOPBNLWSHKh2a30DoXe8/edit?usp=sharing"",""ระนอง!I513"")"),0)</f>
        <v>0</v>
      </c>
      <c r="J618" s="196">
        <f ca="1">IFERROR(__xludf.DUMMYFUNCTION("IMPORTRANGE(""https://docs.google.com/spreadsheets/d/1IYY_tgx_IHuhSq3AJ5eI5OnqOPBNLWSHKh2a30DoXe8/edit?usp=sharing"",""ระนอง!J513"")"),0)</f>
        <v>0</v>
      </c>
      <c r="K618" s="169">
        <f t="shared" ca="1" si="127"/>
        <v>0</v>
      </c>
      <c r="L618" s="189"/>
      <c r="M618" s="189"/>
      <c r="N618" s="189"/>
      <c r="O618" s="189"/>
      <c r="P618" s="189"/>
    </row>
    <row r="619" spans="1:16" ht="21.75" customHeight="1" x14ac:dyDescent="0.35">
      <c r="A619" s="183"/>
      <c r="B619" s="184"/>
      <c r="C619" s="184"/>
      <c r="D619" s="201"/>
      <c r="E619" s="206"/>
      <c r="F619" s="203"/>
      <c r="G619" s="504" t="s">
        <v>227</v>
      </c>
      <c r="H619" s="188" t="s">
        <v>122</v>
      </c>
      <c r="I619" s="211">
        <f ca="1">IFERROR(__xludf.DUMMYFUNCTION("IMPORTRANGE(""https://docs.google.com/spreadsheets/d/1IYY_tgx_IHuhSq3AJ5eI5OnqOPBNLWSHKh2a30DoXe8/edit?usp=sharing"",""ระนอง!I514"")"),0)</f>
        <v>0</v>
      </c>
      <c r="J619" s="196">
        <f ca="1">IFERROR(__xludf.DUMMYFUNCTION("IMPORTRANGE(""https://docs.google.com/spreadsheets/d/1IYY_tgx_IHuhSq3AJ5eI5OnqOPBNLWSHKh2a30DoXe8/edit?usp=sharing"",""ระนอง!J514"")"),0)</f>
        <v>0</v>
      </c>
      <c r="K619" s="169">
        <f t="shared" ca="1" si="127"/>
        <v>0</v>
      </c>
      <c r="L619" s="189"/>
      <c r="M619" s="189"/>
      <c r="N619" s="189"/>
      <c r="O619" s="189"/>
      <c r="P619" s="189"/>
    </row>
    <row r="620" spans="1:16" ht="21.75" customHeight="1" x14ac:dyDescent="0.35">
      <c r="A620" s="183"/>
      <c r="B620" s="184"/>
      <c r="C620" s="184"/>
      <c r="D620" s="201"/>
      <c r="E620" s="203"/>
      <c r="F620" s="202" t="s">
        <v>228</v>
      </c>
      <c r="G620" s="204"/>
      <c r="H620" s="188" t="s">
        <v>122</v>
      </c>
      <c r="I620" s="195">
        <f ca="1">IFERROR(__xludf.DUMMYFUNCTION("IMPORTRANGE(""https://docs.google.com/spreadsheets/d/1IYY_tgx_IHuhSq3AJ5eI5OnqOPBNLWSHKh2a30DoXe8/edit?usp=sharing"",""ระนอง!I515"")"),0)</f>
        <v>0</v>
      </c>
      <c r="J620" s="210">
        <f ca="1">IFERROR(__xludf.DUMMYFUNCTION("IMPORTRANGE(""https://docs.google.com/spreadsheets/d/1IYY_tgx_IHuhSq3AJ5eI5OnqOPBNLWSHKh2a30DoXe8/edit?usp=sharing"",""ระนอง!J515"")"),0)</f>
        <v>0</v>
      </c>
      <c r="K620" s="169">
        <f t="shared" ref="K620:K626" ca="1" si="128">IF(I$620&gt;0,J620*100/I$620,0)</f>
        <v>0</v>
      </c>
      <c r="L620" s="189"/>
      <c r="M620" s="189"/>
      <c r="N620" s="189"/>
      <c r="O620" s="189"/>
      <c r="P620" s="189"/>
    </row>
    <row r="621" spans="1:16" ht="21.75" customHeight="1" x14ac:dyDescent="0.35">
      <c r="A621" s="183"/>
      <c r="B621" s="184"/>
      <c r="C621" s="184"/>
      <c r="D621" s="201"/>
      <c r="E621" s="206"/>
      <c r="F621" s="203"/>
      <c r="G621" s="233" t="s">
        <v>225</v>
      </c>
      <c r="H621" s="188" t="s">
        <v>122</v>
      </c>
      <c r="I621" s="210">
        <f ca="1">IFERROR(__xludf.DUMMYFUNCTION("IMPORTRANGE(""https://docs.google.com/spreadsheets/d/1IYY_tgx_IHuhSq3AJ5eI5OnqOPBNLWSHKh2a30DoXe8/edit?usp=sharing"",""ระนอง!I516"")"),0)</f>
        <v>0</v>
      </c>
      <c r="J621" s="210">
        <f ca="1">IFERROR(__xludf.DUMMYFUNCTION("IMPORTRANGE(""https://docs.google.com/spreadsheets/d/1IYY_tgx_IHuhSq3AJ5eI5OnqOPBNLWSHKh2a30DoXe8/edit?usp=sharing"",""ระนอง!J516"")"),0)</f>
        <v>0</v>
      </c>
      <c r="K621" s="169">
        <f t="shared" ca="1" si="128"/>
        <v>0</v>
      </c>
      <c r="L621" s="189"/>
      <c r="M621" s="189"/>
      <c r="N621" s="189"/>
      <c r="O621" s="189"/>
      <c r="P621" s="189"/>
    </row>
    <row r="622" spans="1:16" ht="21.75" customHeight="1" x14ac:dyDescent="0.35">
      <c r="A622" s="183"/>
      <c r="B622" s="184"/>
      <c r="C622" s="184"/>
      <c r="D622" s="201"/>
      <c r="E622" s="206"/>
      <c r="F622" s="203"/>
      <c r="G622" s="504" t="s">
        <v>226</v>
      </c>
      <c r="H622" s="188" t="s">
        <v>122</v>
      </c>
      <c r="I622" s="211">
        <f ca="1">IFERROR(__xludf.DUMMYFUNCTION("IMPORTRANGE(""https://docs.google.com/spreadsheets/d/1IYY_tgx_IHuhSq3AJ5eI5OnqOPBNLWSHKh2a30DoXe8/edit?usp=sharing"",""ระนอง!I517"")"),0)</f>
        <v>0</v>
      </c>
      <c r="J622" s="196">
        <f ca="1">IFERROR(__xludf.DUMMYFUNCTION("IMPORTRANGE(""https://docs.google.com/spreadsheets/d/1IYY_tgx_IHuhSq3AJ5eI5OnqOPBNLWSHKh2a30DoXe8/edit?usp=sharing"",""ระนอง!J517"")"),0)</f>
        <v>0</v>
      </c>
      <c r="K622" s="169">
        <f t="shared" ca="1" si="128"/>
        <v>0</v>
      </c>
      <c r="L622" s="189"/>
      <c r="M622" s="189"/>
      <c r="N622" s="189"/>
      <c r="O622" s="189"/>
      <c r="P622" s="189"/>
    </row>
    <row r="623" spans="1:16" ht="21.75" customHeight="1" x14ac:dyDescent="0.35">
      <c r="A623" s="183"/>
      <c r="B623" s="184"/>
      <c r="C623" s="184"/>
      <c r="D623" s="201"/>
      <c r="E623" s="206"/>
      <c r="F623" s="203"/>
      <c r="G623" s="504" t="s">
        <v>227</v>
      </c>
      <c r="H623" s="188" t="s">
        <v>122</v>
      </c>
      <c r="I623" s="211">
        <f ca="1">IFERROR(__xludf.DUMMYFUNCTION("IMPORTRANGE(""https://docs.google.com/spreadsheets/d/1IYY_tgx_IHuhSq3AJ5eI5OnqOPBNLWSHKh2a30DoXe8/edit?usp=sharing"",""ระนอง!I518"")"),0)</f>
        <v>0</v>
      </c>
      <c r="J623" s="196">
        <f ca="1">IFERROR(__xludf.DUMMYFUNCTION("IMPORTRANGE(""https://docs.google.com/spreadsheets/d/1IYY_tgx_IHuhSq3AJ5eI5OnqOPBNLWSHKh2a30DoXe8/edit?usp=sharing"",""ระนอง!J518"")"),0)</f>
        <v>0</v>
      </c>
      <c r="K623" s="169">
        <f t="shared" ca="1" si="128"/>
        <v>0</v>
      </c>
      <c r="L623" s="189"/>
      <c r="M623" s="189"/>
      <c r="N623" s="189"/>
      <c r="O623" s="189"/>
      <c r="P623" s="189"/>
    </row>
    <row r="624" spans="1:16" ht="21.75" customHeight="1" x14ac:dyDescent="0.35">
      <c r="A624" s="183"/>
      <c r="B624" s="184"/>
      <c r="C624" s="184"/>
      <c r="D624" s="201"/>
      <c r="E624" s="206"/>
      <c r="F624" s="203"/>
      <c r="G624" s="233" t="s">
        <v>229</v>
      </c>
      <c r="H624" s="188" t="s">
        <v>122</v>
      </c>
      <c r="I624" s="195">
        <f ca="1">IFERROR(__xludf.DUMMYFUNCTION("IMPORTRANGE(""https://docs.google.com/spreadsheets/d/1IYY_tgx_IHuhSq3AJ5eI5OnqOPBNLWSHKh2a30DoXe8/edit?usp=sharing"",""ระนอง!I519"")"),0)</f>
        <v>0</v>
      </c>
      <c r="J624" s="195">
        <f ca="1">IFERROR(__xludf.DUMMYFUNCTION("IMPORTRANGE(""https://docs.google.com/spreadsheets/d/1IYY_tgx_IHuhSq3AJ5eI5OnqOPBNLWSHKh2a30DoXe8/edit?usp=sharing"",""ระนอง!J519"")"),0)</f>
        <v>0</v>
      </c>
      <c r="K624" s="169">
        <f t="shared" ca="1" si="128"/>
        <v>0</v>
      </c>
      <c r="L624" s="189"/>
      <c r="M624" s="189"/>
      <c r="N624" s="189"/>
      <c r="O624" s="189"/>
      <c r="P624" s="189"/>
    </row>
    <row r="625" spans="1:16" ht="21.75" customHeight="1" x14ac:dyDescent="0.35">
      <c r="A625" s="183"/>
      <c r="B625" s="184"/>
      <c r="C625" s="184"/>
      <c r="D625" s="201"/>
      <c r="E625" s="206"/>
      <c r="F625" s="203"/>
      <c r="G625" s="504" t="s">
        <v>230</v>
      </c>
      <c r="H625" s="188" t="s">
        <v>122</v>
      </c>
      <c r="I625" s="211">
        <f ca="1">IFERROR(__xludf.DUMMYFUNCTION("IMPORTRANGE(""https://docs.google.com/spreadsheets/d/1IYY_tgx_IHuhSq3AJ5eI5OnqOPBNLWSHKh2a30DoXe8/edit?usp=sharing"",""ระนอง!I520"")"),0)</f>
        <v>0</v>
      </c>
      <c r="J625" s="196">
        <f ca="1">IFERROR(__xludf.DUMMYFUNCTION("IMPORTRANGE(""https://docs.google.com/spreadsheets/d/1IYY_tgx_IHuhSq3AJ5eI5OnqOPBNLWSHKh2a30DoXe8/edit?usp=sharing"",""ระนอง!J520"")"),0)</f>
        <v>0</v>
      </c>
      <c r="K625" s="169">
        <f t="shared" ca="1" si="128"/>
        <v>0</v>
      </c>
      <c r="L625" s="189"/>
      <c r="M625" s="189"/>
      <c r="N625" s="189"/>
      <c r="O625" s="189"/>
      <c r="P625" s="189"/>
    </row>
    <row r="626" spans="1:16" ht="21.75" customHeight="1" x14ac:dyDescent="0.35">
      <c r="A626" s="183"/>
      <c r="B626" s="184"/>
      <c r="C626" s="184"/>
      <c r="D626" s="201"/>
      <c r="E626" s="206"/>
      <c r="F626" s="203"/>
      <c r="G626" s="504" t="s">
        <v>231</v>
      </c>
      <c r="H626" s="188" t="s">
        <v>122</v>
      </c>
      <c r="I626" s="211">
        <f ca="1">IFERROR(__xludf.DUMMYFUNCTION("IMPORTRANGE(""https://docs.google.com/spreadsheets/d/1IYY_tgx_IHuhSq3AJ5eI5OnqOPBNLWSHKh2a30DoXe8/edit?usp=sharing"",""ระนอง!I521"")"),0)</f>
        <v>0</v>
      </c>
      <c r="J626" s="196">
        <f ca="1">IFERROR(__xludf.DUMMYFUNCTION("IMPORTRANGE(""https://docs.google.com/spreadsheets/d/1IYY_tgx_IHuhSq3AJ5eI5OnqOPBNLWSHKh2a30DoXe8/edit?usp=sharing"",""ระนอง!J521"")"),0)</f>
        <v>0</v>
      </c>
      <c r="K626" s="169">
        <f t="shared" ca="1" si="128"/>
        <v>0</v>
      </c>
      <c r="L626" s="189"/>
      <c r="M626" s="189"/>
      <c r="N626" s="189"/>
      <c r="O626" s="189"/>
      <c r="P626" s="189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2"/>
      <c r="E628" s="165"/>
      <c r="F628" s="165"/>
      <c r="G628" s="166"/>
      <c r="H628" s="513" t="s">
        <v>12</v>
      </c>
      <c r="I628" s="347">
        <f ca="1">IFERROR(__xludf.DUMMYFUNCTION("IMPORTRANGE(""https://docs.google.com/spreadsheets/d/1IYY_tgx_IHuhSq3AJ5eI5OnqOPBNLWSHKh2a30DoXe8/edit?usp=sharing"",""ระนอง!I523"")"),1209766.67)</f>
        <v>1209766.67</v>
      </c>
      <c r="J628" s="347">
        <f ca="1">IFERROR(__xludf.DUMMYFUNCTION("IMPORTRANGE(""https://docs.google.com/spreadsheets/d/1IYY_tgx_IHuhSq3AJ5eI5OnqOPBNLWSHKh2a30DoXe8/edit?usp=sharing"",""ระนอง!J523"")"),341252.55)</f>
        <v>341252.55</v>
      </c>
      <c r="K628" s="348">
        <f t="shared" ref="K628:K635" ca="1" si="129">IF(I628&gt;0,J628*100/I628,0)</f>
        <v>28.208129589154577</v>
      </c>
      <c r="L628" s="348"/>
      <c r="M628" s="348"/>
      <c r="N628" s="348"/>
      <c r="O628" s="176"/>
      <c r="P628" s="176"/>
    </row>
    <row r="629" spans="1:16" ht="21.75" customHeight="1" x14ac:dyDescent="0.35">
      <c r="A629" s="484"/>
      <c r="B629" s="163"/>
      <c r="C629" s="163"/>
      <c r="D629" s="172"/>
      <c r="E629" s="165"/>
      <c r="F629" s="165"/>
      <c r="G629" s="166"/>
      <c r="H629" s="513" t="s">
        <v>37</v>
      </c>
      <c r="I629" s="347">
        <f ca="1">IFERROR(__xludf.DUMMYFUNCTION("IMPORTRANGE(""https://docs.google.com/spreadsheets/d/1IYY_tgx_IHuhSq3AJ5eI5OnqOPBNLWSHKh2a30DoXe8/edit?usp=sharing"",""ระนอง!I524"")"),121)</f>
        <v>121</v>
      </c>
      <c r="J629" s="347">
        <f ca="1">IFERROR(__xludf.DUMMYFUNCTION("IMPORTRANGE(""https://docs.google.com/spreadsheets/d/1IYY_tgx_IHuhSq3AJ5eI5OnqOPBNLWSHKh2a30DoXe8/edit?usp=sharing"",""ระนอง!J524"")"),34)</f>
        <v>34</v>
      </c>
      <c r="K629" s="348">
        <f t="shared" ca="1" si="129"/>
        <v>28.099173553719009</v>
      </c>
      <c r="L629" s="348"/>
      <c r="M629" s="348"/>
      <c r="N629" s="348"/>
      <c r="O629" s="176"/>
      <c r="P629" s="176"/>
    </row>
    <row r="630" spans="1:16" ht="21.75" customHeight="1" x14ac:dyDescent="0.35">
      <c r="A630" s="484"/>
      <c r="B630" s="512" t="s">
        <v>234</v>
      </c>
      <c r="C630" s="163"/>
      <c r="D630" s="172"/>
      <c r="E630" s="165"/>
      <c r="F630" s="165"/>
      <c r="G630" s="166"/>
      <c r="H630" s="513" t="s">
        <v>12</v>
      </c>
      <c r="I630" s="347">
        <f ca="1">IFERROR(__xludf.DUMMYFUNCTION("IMPORTRANGE(""https://docs.google.com/spreadsheets/d/1IYY_tgx_IHuhSq3AJ5eI5OnqOPBNLWSHKh2a30DoXe8/edit?usp=sharing"",""ระนอง!I525"")"),2205098.43)</f>
        <v>2205098.4300000002</v>
      </c>
      <c r="J630" s="347">
        <f ca="1">IFERROR(__xludf.DUMMYFUNCTION("IMPORTRANGE(""https://docs.google.com/spreadsheets/d/1IYY_tgx_IHuhSq3AJ5eI5OnqOPBNLWSHKh2a30DoXe8/edit?usp=sharing"",""ระนอง!J525"")"),84083.52)</f>
        <v>84083.520000000004</v>
      </c>
      <c r="K630" s="348">
        <f t="shared" ca="1" si="129"/>
        <v>3.8131413480712513</v>
      </c>
      <c r="L630" s="348"/>
      <c r="M630" s="348"/>
      <c r="N630" s="348"/>
      <c r="O630" s="176"/>
      <c r="P630" s="176"/>
    </row>
    <row r="631" spans="1:16" ht="21.75" customHeight="1" x14ac:dyDescent="0.35">
      <c r="A631" s="484"/>
      <c r="B631" s="163"/>
      <c r="C631" s="163"/>
      <c r="D631" s="172"/>
      <c r="E631" s="165"/>
      <c r="F631" s="165"/>
      <c r="G631" s="166"/>
      <c r="H631" s="513" t="s">
        <v>37</v>
      </c>
      <c r="I631" s="347">
        <f ca="1">IFERROR(__xludf.DUMMYFUNCTION("IMPORTRANGE(""https://docs.google.com/spreadsheets/d/1IYY_tgx_IHuhSq3AJ5eI5OnqOPBNLWSHKh2a30DoXe8/edit?usp=sharing"",""ระนอง!I526"")"),134)</f>
        <v>134</v>
      </c>
      <c r="J631" s="347">
        <f ca="1">IFERROR(__xludf.DUMMYFUNCTION("IMPORTRANGE(""https://docs.google.com/spreadsheets/d/1IYY_tgx_IHuhSq3AJ5eI5OnqOPBNLWSHKh2a30DoXe8/edit?usp=sharing"",""ระนอง!J526"")"),17)</f>
        <v>17</v>
      </c>
      <c r="K631" s="348">
        <f t="shared" ca="1" si="129"/>
        <v>12.686567164179104</v>
      </c>
      <c r="L631" s="348"/>
      <c r="M631" s="348"/>
      <c r="N631" s="348"/>
      <c r="O631" s="176"/>
      <c r="P631" s="176"/>
    </row>
    <row r="632" spans="1:16" ht="21.75" customHeight="1" x14ac:dyDescent="0.35">
      <c r="A632" s="484"/>
      <c r="B632" s="512" t="s">
        <v>235</v>
      </c>
      <c r="C632" s="163"/>
      <c r="D632" s="172"/>
      <c r="E632" s="165"/>
      <c r="F632" s="165"/>
      <c r="G632" s="166"/>
      <c r="H632" s="513" t="s">
        <v>12</v>
      </c>
      <c r="I632" s="347">
        <f ca="1">IFERROR(__xludf.DUMMYFUNCTION("IMPORTRANGE(""https://docs.google.com/spreadsheets/d/1IYY_tgx_IHuhSq3AJ5eI5OnqOPBNLWSHKh2a30DoXe8/edit?usp=sharing"",""ระนอง!I527"")"),0)</f>
        <v>0</v>
      </c>
      <c r="J632" s="347">
        <f ca="1">IFERROR(__xludf.DUMMYFUNCTION("IMPORTRANGE(""https://docs.google.com/spreadsheets/d/1IYY_tgx_IHuhSq3AJ5eI5OnqOPBNLWSHKh2a30DoXe8/edit?usp=sharing"",""ระนอง!J527"")"),0)</f>
        <v>0</v>
      </c>
      <c r="K632" s="348">
        <f t="shared" ca="1" si="129"/>
        <v>0</v>
      </c>
      <c r="L632" s="348"/>
      <c r="M632" s="348"/>
      <c r="N632" s="348"/>
      <c r="O632" s="176"/>
      <c r="P632" s="176"/>
    </row>
    <row r="633" spans="1:16" ht="21.75" customHeight="1" x14ac:dyDescent="0.35">
      <c r="A633" s="484"/>
      <c r="B633" s="512"/>
      <c r="C633" s="163"/>
      <c r="D633" s="172"/>
      <c r="E633" s="165"/>
      <c r="F633" s="165"/>
      <c r="G633" s="166"/>
      <c r="H633" s="513" t="s">
        <v>37</v>
      </c>
      <c r="I633" s="347">
        <f ca="1">IFERROR(__xludf.DUMMYFUNCTION("IMPORTRANGE(""https://docs.google.com/spreadsheets/d/1IYY_tgx_IHuhSq3AJ5eI5OnqOPBNLWSHKh2a30DoXe8/edit?usp=sharing"",""ระนอง!I528"")"),0)</f>
        <v>0</v>
      </c>
      <c r="J633" s="347">
        <f ca="1">IFERROR(__xludf.DUMMYFUNCTION("IMPORTRANGE(""https://docs.google.com/spreadsheets/d/1IYY_tgx_IHuhSq3AJ5eI5OnqOPBNLWSHKh2a30DoXe8/edit?usp=sharing"",""ระนอง!J528"")"),0)</f>
        <v>0</v>
      </c>
      <c r="K633" s="348">
        <f t="shared" ca="1" si="129"/>
        <v>0</v>
      </c>
      <c r="L633" s="348"/>
      <c r="M633" s="348"/>
      <c r="N633" s="348"/>
      <c r="O633" s="176"/>
      <c r="P633" s="176"/>
    </row>
    <row r="634" spans="1:16" ht="21.75" customHeight="1" x14ac:dyDescent="0.35">
      <c r="A634" s="484"/>
      <c r="B634" s="512" t="s">
        <v>236</v>
      </c>
      <c r="C634" s="163"/>
      <c r="D634" s="172"/>
      <c r="E634" s="165"/>
      <c r="F634" s="165"/>
      <c r="G634" s="166"/>
      <c r="H634" s="513" t="s">
        <v>12</v>
      </c>
      <c r="I634" s="347">
        <f ca="1">IFERROR(__xludf.DUMMYFUNCTION("IMPORTRANGE(""https://docs.google.com/spreadsheets/d/1IYY_tgx_IHuhSq3AJ5eI5OnqOPBNLWSHKh2a30DoXe8/edit?usp=sharing"",""ระนอง!I529"")"),900000)</f>
        <v>900000</v>
      </c>
      <c r="J634" s="347">
        <f ca="1">IFERROR(__xludf.DUMMYFUNCTION("IMPORTRANGE(""https://docs.google.com/spreadsheets/d/1IYY_tgx_IHuhSq3AJ5eI5OnqOPBNLWSHKh2a30DoXe8/edit?usp=sharing"",""ระนอง!J529"")"),0)</f>
        <v>0</v>
      </c>
      <c r="K634" s="348">
        <f t="shared" ca="1" si="129"/>
        <v>0</v>
      </c>
      <c r="L634" s="348"/>
      <c r="M634" s="348"/>
      <c r="N634" s="348"/>
      <c r="O634" s="176"/>
      <c r="P634" s="176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IFERROR(__xludf.DUMMYFUNCTION("IMPORTRANGE(""https://docs.google.com/spreadsheets/d/1IYY_tgx_IHuhSq3AJ5eI5OnqOPBNLWSHKh2a30DoXe8/edit?usp=sharing"",""ระนอง!I530"")"),30)</f>
        <v>30</v>
      </c>
      <c r="J635" s="517">
        <f ca="1">IFERROR(__xludf.DUMMYFUNCTION("IMPORTRANGE(""https://docs.google.com/spreadsheets/d/1IYY_tgx_IHuhSq3AJ5eI5OnqOPBNLWSHKh2a30DoXe8/edit?usp=sharing"",""ระนอง!J530"")"),0)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3" sqref="G23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4" width="17.81640625" bestFit="1" customWidth="1"/>
    <col min="15" max="15" width="18.81640625" customWidth="1"/>
    <col min="16" max="16" width="20.54296875" customWidth="1"/>
  </cols>
  <sheetData>
    <row r="1" spans="1:16" ht="18" customHeight="1" x14ac:dyDescent="0.35">
      <c r="A1" s="527" t="s">
        <v>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</row>
    <row r="2" spans="1:16" ht="18" customHeight="1" x14ac:dyDescent="0.35">
      <c r="A2" s="527" t="s">
        <v>262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</row>
    <row r="3" spans="1:16" ht="18" customHeight="1" x14ac:dyDescent="0.35">
      <c r="A3" s="527" t="s">
        <v>268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5" t="s">
        <v>2</v>
      </c>
      <c r="B5" s="536"/>
      <c r="C5" s="536"/>
      <c r="D5" s="536"/>
      <c r="E5" s="536"/>
      <c r="F5" s="536"/>
      <c r="G5" s="537"/>
      <c r="H5" s="528" t="s">
        <v>3</v>
      </c>
      <c r="I5" s="530" t="s">
        <v>4</v>
      </c>
      <c r="J5" s="531"/>
      <c r="K5" s="532"/>
      <c r="L5" s="533" t="s">
        <v>5</v>
      </c>
      <c r="M5" s="532"/>
      <c r="N5" s="534" t="s">
        <v>6</v>
      </c>
      <c r="O5" s="531"/>
      <c r="P5" s="532"/>
    </row>
    <row r="6" spans="1:16" ht="21.75" customHeight="1" x14ac:dyDescent="0.35">
      <c r="A6" s="538"/>
      <c r="B6" s="539"/>
      <c r="C6" s="539"/>
      <c r="D6" s="539"/>
      <c r="E6" s="539"/>
      <c r="F6" s="539"/>
      <c r="G6" s="540"/>
      <c r="H6" s="52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1" t="s">
        <v>15</v>
      </c>
      <c r="B7" s="531"/>
      <c r="C7" s="531"/>
      <c r="D7" s="531"/>
      <c r="E7" s="531"/>
      <c r="F7" s="531"/>
      <c r="G7" s="53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2" t="s">
        <v>17</v>
      </c>
      <c r="E8" s="543"/>
      <c r="F8" s="543"/>
      <c r="G8" s="543"/>
      <c r="H8" s="20" t="s">
        <v>12</v>
      </c>
      <c r="I8" s="21"/>
      <c r="J8" s="21"/>
      <c r="K8" s="22"/>
      <c r="L8" s="23">
        <f t="shared" ref="L8:N8" ca="1" si="0">L9+L10</f>
        <v>5787709</v>
      </c>
      <c r="M8" s="23">
        <f t="shared" ca="1" si="0"/>
        <v>2830994</v>
      </c>
      <c r="N8" s="23">
        <f t="shared" ca="1" si="0"/>
        <v>2179034</v>
      </c>
      <c r="O8" s="22">
        <f t="shared" ref="O8:O16" ca="1" si="1">IF(L8&gt;0,N8*100/L8,0)</f>
        <v>37.649335859836768</v>
      </c>
      <c r="P8" s="22">
        <f t="shared" ref="P8:P16" ca="1" si="2">IF(M8&gt;0,N8*100/M8,0)</f>
        <v>76.970632929635315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5787709</v>
      </c>
      <c r="M10" s="30">
        <f t="shared" ca="1" si="4"/>
        <v>2830994</v>
      </c>
      <c r="N10" s="30">
        <f t="shared" ca="1" si="4"/>
        <v>2179034</v>
      </c>
      <c r="O10" s="29">
        <f t="shared" ca="1" si="1"/>
        <v>37.649335859836768</v>
      </c>
      <c r="P10" s="29">
        <f t="shared" ca="1" si="2"/>
        <v>76.970632929635315</v>
      </c>
    </row>
    <row r="11" spans="1:16" ht="21.75" customHeight="1" x14ac:dyDescent="0.45">
      <c r="A11" s="31"/>
      <c r="B11" s="32"/>
      <c r="C11" s="33" t="s">
        <v>16</v>
      </c>
      <c r="D11" s="544" t="s">
        <v>20</v>
      </c>
      <c r="E11" s="545"/>
      <c r="F11" s="54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4720709</v>
      </c>
      <c r="M12" s="38">
        <f t="shared" ca="1" si="6"/>
        <v>1763994</v>
      </c>
      <c r="N12" s="38">
        <f t="shared" ca="1" si="6"/>
        <v>2162034</v>
      </c>
      <c r="O12" s="38">
        <f t="shared" ca="1" si="1"/>
        <v>45.798925542752158</v>
      </c>
      <c r="P12" s="38">
        <f t="shared" ca="1" si="2"/>
        <v>122.56470260102925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2079100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2641609</v>
      </c>
      <c r="M14" s="38">
        <f t="shared" si="8"/>
        <v>0</v>
      </c>
      <c r="N14" s="38">
        <f t="shared" ca="1" si="8"/>
        <v>558099</v>
      </c>
      <c r="O14" s="41">
        <f t="shared" ca="1" si="1"/>
        <v>21.127237225494007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44" t="s">
        <v>23</v>
      </c>
      <c r="E15" s="54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1067000</v>
      </c>
      <c r="M16" s="38">
        <f t="shared" ca="1" si="10"/>
        <v>1067000</v>
      </c>
      <c r="N16" s="38">
        <f t="shared" ca="1" si="10"/>
        <v>17000</v>
      </c>
      <c r="O16" s="50">
        <f t="shared" ca="1" si="1"/>
        <v>1.5932521087160263</v>
      </c>
      <c r="P16" s="50">
        <f t="shared" ca="1" si="2"/>
        <v>1.5932521087160263</v>
      </c>
    </row>
    <row r="17" spans="1:16" ht="21.75" customHeight="1" x14ac:dyDescent="0.45">
      <c r="A17" s="541" t="s">
        <v>24</v>
      </c>
      <c r="B17" s="531"/>
      <c r="C17" s="531"/>
      <c r="D17" s="531"/>
      <c r="E17" s="531"/>
      <c r="F17" s="531"/>
      <c r="G17" s="53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2" t="s">
        <v>17</v>
      </c>
      <c r="E18" s="543"/>
      <c r="F18" s="543"/>
      <c r="G18" s="543"/>
      <c r="H18" s="20" t="s">
        <v>12</v>
      </c>
      <c r="I18" s="21"/>
      <c r="J18" s="21"/>
      <c r="K18" s="22"/>
      <c r="L18" s="23">
        <f t="shared" ref="L18:N18" ca="1" si="11">L19+L20</f>
        <v>4145245</v>
      </c>
      <c r="M18" s="23">
        <f t="shared" ca="1" si="11"/>
        <v>2830994</v>
      </c>
      <c r="N18" s="23">
        <f t="shared" ca="1" si="11"/>
        <v>1620935</v>
      </c>
      <c r="O18" s="22">
        <f t="shared" ref="O18:O20" ca="1" si="12">IF(L18&gt;0,N18*100/L18,0)</f>
        <v>39.103478805233465</v>
      </c>
      <c r="P18" s="22">
        <f t="shared" ref="P18:P26" ca="1" si="13">IF(M18&gt;0,N18*100/M18,0)</f>
        <v>57.256744450888981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4145245</v>
      </c>
      <c r="M20" s="30">
        <f t="shared" ca="1" si="15"/>
        <v>2830994</v>
      </c>
      <c r="N20" s="30">
        <f t="shared" ca="1" si="15"/>
        <v>1620935</v>
      </c>
      <c r="O20" s="29">
        <f t="shared" ca="1" si="12"/>
        <v>39.103478805233465</v>
      </c>
      <c r="P20" s="29">
        <f t="shared" ca="1" si="13"/>
        <v>57.256744450888981</v>
      </c>
    </row>
    <row r="21" spans="1:16" ht="21.75" customHeight="1" x14ac:dyDescent="0.45">
      <c r="A21" s="31"/>
      <c r="B21" s="32"/>
      <c r="C21" s="33" t="s">
        <v>16</v>
      </c>
      <c r="D21" s="544" t="s">
        <v>20</v>
      </c>
      <c r="E21" s="545"/>
      <c r="F21" s="54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3078245</v>
      </c>
      <c r="M22" s="42">
        <f t="shared" ca="1" si="18"/>
        <v>1763994</v>
      </c>
      <c r="N22" s="41">
        <f t="shared" ca="1" si="18"/>
        <v>1603935</v>
      </c>
      <c r="O22" s="41">
        <f t="shared" ca="1" si="17"/>
        <v>52.105501673843378</v>
      </c>
      <c r="P22" s="41">
        <f t="shared" ca="1" si="13"/>
        <v>90.926329681393469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2079100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999145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44" t="s">
        <v>23</v>
      </c>
      <c r="E25" s="54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1067000</v>
      </c>
      <c r="M26" s="50">
        <f t="shared" ca="1" si="22"/>
        <v>1067000</v>
      </c>
      <c r="N26" s="50">
        <f t="shared" ca="1" si="22"/>
        <v>17000</v>
      </c>
      <c r="O26" s="50">
        <f t="shared" ca="1" si="17"/>
        <v>1.5932521087160263</v>
      </c>
      <c r="P26" s="50">
        <f t="shared" ca="1" si="13"/>
        <v>1.5932521087160263</v>
      </c>
    </row>
    <row r="27" spans="1:16" ht="21.75" customHeight="1" x14ac:dyDescent="0.45">
      <c r="A27" s="541" t="s">
        <v>25</v>
      </c>
      <c r="B27" s="531"/>
      <c r="C27" s="531"/>
      <c r="D27" s="531"/>
      <c r="E27" s="531"/>
      <c r="F27" s="531"/>
      <c r="G27" s="53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2" t="s">
        <v>17</v>
      </c>
      <c r="E28" s="543"/>
      <c r="F28" s="543"/>
      <c r="G28" s="543"/>
      <c r="H28" s="20" t="s">
        <v>12</v>
      </c>
      <c r="I28" s="21"/>
      <c r="J28" s="21"/>
      <c r="K28" s="22"/>
      <c r="L28" s="23">
        <f t="shared" ref="L28:N28" ca="1" si="23">L29+L30</f>
        <v>1642464</v>
      </c>
      <c r="M28" s="23">
        <f t="shared" si="23"/>
        <v>0</v>
      </c>
      <c r="N28" s="23">
        <f t="shared" ca="1" si="23"/>
        <v>558099</v>
      </c>
      <c r="O28" s="22">
        <f t="shared" ref="O28:O30" ca="1" si="24">IF(L28&gt;0,N28*100/L28,0)</f>
        <v>33.979374890408558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1642464</v>
      </c>
      <c r="M30" s="30">
        <f t="shared" si="27"/>
        <v>0</v>
      </c>
      <c r="N30" s="30">
        <f t="shared" ca="1" si="27"/>
        <v>558099</v>
      </c>
      <c r="O30" s="29">
        <f t="shared" ca="1" si="24"/>
        <v>33.979374890408558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44" t="s">
        <v>20</v>
      </c>
      <c r="E31" s="545"/>
      <c r="F31" s="54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1642464</v>
      </c>
      <c r="M32" s="41">
        <f t="shared" si="30"/>
        <v>0</v>
      </c>
      <c r="N32" s="41">
        <f t="shared" ca="1" si="30"/>
        <v>558099</v>
      </c>
      <c r="O32" s="41">
        <f t="shared" ca="1" si="29"/>
        <v>33.979374890408558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1642464</v>
      </c>
      <c r="M34" s="41">
        <f t="shared" si="32"/>
        <v>0</v>
      </c>
      <c r="N34" s="41">
        <f t="shared" ca="1" si="32"/>
        <v>558099</v>
      </c>
      <c r="O34" s="41">
        <f t="shared" ca="1" si="29"/>
        <v>33.979374890408558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44" t="s">
        <v>23</v>
      </c>
      <c r="E35" s="54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4145245</v>
      </c>
      <c r="M37" s="55">
        <f t="shared" ca="1" si="33"/>
        <v>2830994</v>
      </c>
      <c r="N37" s="55">
        <f t="shared" ca="1" si="33"/>
        <v>1620935</v>
      </c>
      <c r="O37" s="56">
        <f t="shared" ca="1" si="29"/>
        <v>39.103478805233465</v>
      </c>
      <c r="P37" s="56">
        <f t="shared" ca="1" si="25"/>
        <v>57.256744450888981</v>
      </c>
    </row>
    <row r="38" spans="1:16" ht="21.75" customHeight="1" x14ac:dyDescent="0.45">
      <c r="A38" s="546" t="s">
        <v>27</v>
      </c>
      <c r="B38" s="531"/>
      <c r="C38" s="531"/>
      <c r="D38" s="531"/>
      <c r="E38" s="531"/>
      <c r="F38" s="531"/>
      <c r="G38" s="53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7" t="s">
        <v>28</v>
      </c>
      <c r="C39" s="543"/>
      <c r="D39" s="543"/>
      <c r="E39" s="543"/>
      <c r="F39" s="543"/>
      <c r="G39" s="54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48" t="s">
        <v>17</v>
      </c>
      <c r="E41" s="545"/>
      <c r="F41" s="545"/>
      <c r="G41" s="545"/>
      <c r="H41" s="76" t="s">
        <v>12</v>
      </c>
      <c r="I41" s="77"/>
      <c r="J41" s="77"/>
      <c r="K41" s="78"/>
      <c r="L41" s="79">
        <f t="shared" ref="L41:N41" ca="1" si="34">L42+L43</f>
        <v>674100</v>
      </c>
      <c r="M41" s="79">
        <f t="shared" ca="1" si="34"/>
        <v>337000</v>
      </c>
      <c r="N41" s="79">
        <f t="shared" ca="1" si="34"/>
        <v>319280</v>
      </c>
      <c r="O41" s="78">
        <f t="shared" ref="O41:O43" ca="1" si="35">IF(L41&gt;0,N41*100/L41,0)</f>
        <v>47.363892597537458</v>
      </c>
      <c r="P41" s="78">
        <f t="shared" ref="P41:P43" ca="1" si="36">IF(M41&gt;0,N41*100/M41,0)</f>
        <v>94.741839762611278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674100</v>
      </c>
      <c r="M43" s="79">
        <f t="shared" ca="1" si="38"/>
        <v>337000</v>
      </c>
      <c r="N43" s="79">
        <f t="shared" ca="1" si="38"/>
        <v>319280</v>
      </c>
      <c r="O43" s="78">
        <f t="shared" ca="1" si="35"/>
        <v>47.363892597537458</v>
      </c>
      <c r="P43" s="78">
        <f t="shared" ca="1" si="36"/>
        <v>94.741839762611278</v>
      </c>
    </row>
    <row r="44" spans="1:16" ht="21.75" customHeight="1" x14ac:dyDescent="0.45">
      <c r="A44" s="80"/>
      <c r="B44" s="81"/>
      <c r="C44" s="82" t="s">
        <v>16</v>
      </c>
      <c r="D44" s="549" t="s">
        <v>20</v>
      </c>
      <c r="E44" s="545"/>
      <c r="F44" s="54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674100</v>
      </c>
      <c r="M45" s="91">
        <f ca="1">IFERROR(__xludf.DUMMYFUNCTION("IMPORTRANGE(""https://docs.google.com/spreadsheets/d/1Yj_ptqi66GCucihVvJfMjLAmec39IyEx_6qawtMGysU/edit?usp=sharing"",""สบก!Q92"")"),337000)</f>
        <v>337000</v>
      </c>
      <c r="N45" s="91">
        <f ca="1">IFERROR(__xludf.DUMMYFUNCTION("IMPORTRANGE(""https://docs.google.com/spreadsheets/d/1Yj_ptqi66GCucihVvJfMjLAmec39IyEx_6qawtMGysU/edit?usp=sharing"",""สบก!R92"")"),319280)</f>
        <v>319280</v>
      </c>
      <c r="O45" s="92">
        <f ca="1">IF(L45&gt;0,N45*100/L45,0)</f>
        <v>47.363892597537458</v>
      </c>
      <c r="P45" s="92">
        <f ca="1">IF(M45&gt;0,N45*100/M45,0)</f>
        <v>94.741839762611278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IFERROR(__xludf.DUMMYFUNCTION("IMPORTRANGE(""https://docs.google.com/spreadsheets/d/1Yj_ptqi66GCucihVvJfMjLAmec39IyEx_6qawtMGysU/edit?usp=sharing"",""สบก!M92"")"),674100)</f>
        <v>674100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IFERROR(__xludf.DUMMYFUNCTION("IMPORTRANGE(""https://docs.google.com/spreadsheets/d/1Yj_ptqi66GCucihVvJfMjLAmec39IyEx_6qawtMGysU/edit?usp=sharing"",""สบก!N92"")"),0)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49" t="s">
        <v>23</v>
      </c>
      <c r="E48" s="54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IFERROR(__xludf.DUMMYFUNCTION("IMPORTRANGE(""https://docs.google.com/spreadsheets/d/1Yj_ptqi66GCucihVvJfMjLAmec39IyEx_6qawtMGysU/edit?usp=sharing"",""สบก!O92"")"),0)</f>
        <v>0</v>
      </c>
      <c r="M49" s="101"/>
      <c r="N49" s="91">
        <f ca="1">IFERROR(__xludf.DUMMYFUNCTION("IMPORTRANGE(""https://docs.google.com/spreadsheets/d/1Yj_ptqi66GCucihVvJfMjLAmec39IyEx_6qawtMGysU/edit?usp=sharing"",""สบก!S92"")"),0)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0" t="s">
        <v>32</v>
      </c>
      <c r="C52" s="545"/>
      <c r="D52" s="545"/>
      <c r="E52" s="545"/>
      <c r="F52" s="545"/>
      <c r="G52" s="54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1" t="s">
        <v>17</v>
      </c>
      <c r="E53" s="545"/>
      <c r="F53" s="545"/>
      <c r="G53" s="545"/>
      <c r="H53" s="122" t="s">
        <v>12</v>
      </c>
      <c r="I53" s="123"/>
      <c r="J53" s="123"/>
      <c r="K53" s="124"/>
      <c r="L53" s="125">
        <f t="shared" ref="L53:N53" ca="1" si="39">L54+L55</f>
        <v>500000</v>
      </c>
      <c r="M53" s="125">
        <f t="shared" ca="1" si="39"/>
        <v>353829</v>
      </c>
      <c r="N53" s="125">
        <f t="shared" ca="1" si="39"/>
        <v>334333</v>
      </c>
      <c r="O53" s="124">
        <f t="shared" ref="O53:O55" ca="1" si="40">IF(L53&gt;0,N53*100/L53,0)</f>
        <v>66.866600000000005</v>
      </c>
      <c r="P53" s="124">
        <f t="shared" ref="P53:P55" ca="1" si="41">IF(M53&gt;0,N53*100/M53,0)</f>
        <v>94.489993754045031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500000</v>
      </c>
      <c r="M55" s="125">
        <f t="shared" ca="1" si="43"/>
        <v>353829</v>
      </c>
      <c r="N55" s="125">
        <f t="shared" ca="1" si="43"/>
        <v>334333</v>
      </c>
      <c r="O55" s="124">
        <f t="shared" ca="1" si="40"/>
        <v>66.866600000000005</v>
      </c>
      <c r="P55" s="124">
        <f t="shared" ca="1" si="41"/>
        <v>94.489993754045031</v>
      </c>
    </row>
    <row r="56" spans="1:16" ht="21.75" customHeight="1" x14ac:dyDescent="0.45">
      <c r="A56" s="80"/>
      <c r="B56" s="81"/>
      <c r="C56" s="82" t="s">
        <v>16</v>
      </c>
      <c r="D56" s="549" t="s">
        <v>20</v>
      </c>
      <c r="E56" s="545"/>
      <c r="F56" s="54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500000</v>
      </c>
      <c r="M57" s="91">
        <f ca="1">IFERROR(__xludf.DUMMYFUNCTION("IMPORTRANGE(""https://docs.google.com/spreadsheets/d/1Yj_ptqi66GCucihVvJfMjLAmec39IyEx_6qawtMGysU/edit?usp=sharing"",""สบก!Z92"")"),353829)</f>
        <v>353829</v>
      </c>
      <c r="N57" s="91">
        <f ca="1">IFERROR(__xludf.DUMMYFUNCTION("IMPORTRANGE(""https://docs.google.com/spreadsheets/d/1Yj_ptqi66GCucihVvJfMjLAmec39IyEx_6qawtMGysU/edit?usp=sharing"",""สบก!AA92"")"),334333)</f>
        <v>334333</v>
      </c>
      <c r="O57" s="92">
        <f ca="1">IF(L57&gt;0,N57*100/L57,0)</f>
        <v>66.866600000000005</v>
      </c>
      <c r="P57" s="92">
        <f ca="1">IF(M57&gt;0,N57*100/M57,0)</f>
        <v>94.489993754045031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IFERROR(__xludf.DUMMYFUNCTION("IMPORTRANGE(""https://docs.google.com/spreadsheets/d/1Yj_ptqi66GCucihVvJfMjLAmec39IyEx_6qawtMGysU/edit?usp=sharing"",""สบก!V92"")"),500000)</f>
        <v>500000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IFERROR(__xludf.DUMMYFUNCTION("IMPORTRANGE(""https://docs.google.com/spreadsheets/d/1Yj_ptqi66GCucihVvJfMjLAmec39IyEx_6qawtMGysU/edit?usp=sharing"",""สบก!W92"")"),0)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49" t="s">
        <v>23</v>
      </c>
      <c r="E60" s="54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IFERROR(__xludf.DUMMYFUNCTION("IMPORTRANGE(""https://docs.google.com/spreadsheets/d/1Yj_ptqi66GCucihVvJfMjLAmec39IyEx_6qawtMGysU/edit?usp=sharing"",""สบก!X92"")"),0)</f>
        <v>0</v>
      </c>
      <c r="M61" s="101"/>
      <c r="N61" s="91">
        <f ca="1">IFERROR(__xludf.DUMMYFUNCTION("IMPORTRANGE(""https://docs.google.com/spreadsheets/d/1Yj_ptqi66GCucihVvJfMjLAmec39IyEx_6qawtMGysU/edit?usp=sharing"",""สบก!AB92"")"),0)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IFERROR(__xludf.DUMMYFUNCTION("IMPORTRANGE(""https://docs.google.com/spreadsheets/d/1IYY_tgx_IHuhSq3AJ5eI5OnqOPBNLWSHKh2a30DoXe8/edit?usp=sharing"",""สงขลา!I9"")"),0)</f>
        <v>0</v>
      </c>
      <c r="J64" s="146">
        <f ca="1">IFERROR(__xludf.DUMMYFUNCTION("IMPORTRANGE(""https://docs.google.com/spreadsheets/d/1IYY_tgx_IHuhSq3AJ5eI5OnqOPBNLWSHKh2a30DoXe8/edit?usp=sharing"",""สงขลา!J9"")"),0)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IFERROR(__xludf.DUMMYFUNCTION("IMPORTRANGE(""https://docs.google.com/spreadsheets/d/1IYY_tgx_IHuhSq3AJ5eI5OnqOPBNLWSHKh2a30DoXe8/edit?usp=sharing"",""สงขลา!I10"")"),0)</f>
        <v>0</v>
      </c>
      <c r="J65" s="146">
        <f ca="1">IFERROR(__xludf.DUMMYFUNCTION("IMPORTRANGE(""https://docs.google.com/spreadsheets/d/1IYY_tgx_IHuhSq3AJ5eI5OnqOPBNLWSHKh2a30DoXe8/edit?usp=sharing"",""สงขลา!J10"")"),0)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52" t="s">
        <v>17</v>
      </c>
      <c r="E66" s="543"/>
      <c r="F66" s="543"/>
      <c r="G66" s="54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5">
      <c r="A69" s="162"/>
      <c r="B69" s="163"/>
      <c r="C69" s="163" t="s">
        <v>16</v>
      </c>
      <c r="D69" s="164" t="s">
        <v>38</v>
      </c>
      <c r="E69" s="165"/>
      <c r="F69" s="165"/>
      <c r="G69" s="166" t="s">
        <v>39</v>
      </c>
      <c r="H69" s="167" t="s">
        <v>12</v>
      </c>
      <c r="I69" s="168" t="s">
        <v>40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 x14ac:dyDescent="0.35">
      <c r="A70" s="162"/>
      <c r="B70" s="163"/>
      <c r="C70" s="163"/>
      <c r="D70" s="172"/>
      <c r="E70" s="165"/>
      <c r="F70" s="165" t="s">
        <v>40</v>
      </c>
      <c r="G70" s="166" t="s">
        <v>41</v>
      </c>
      <c r="H70" s="167" t="s">
        <v>12</v>
      </c>
      <c r="I70" s="168"/>
      <c r="J70" s="168"/>
      <c r="K70" s="169"/>
      <c r="L70" s="173">
        <f ca="1">L71+L72</f>
        <v>0</v>
      </c>
      <c r="M70" s="174">
        <f ca="1">IFERROR(__xludf.DUMMYFUNCTION("IMPORTRANGE(""https://docs.google.com/spreadsheets/d/1Yj_ptqi66GCucihVvJfMjLAmec39IyEx_6qawtMGysU/edit?usp=sharing"",""สบก!AI92"")"),0)</f>
        <v>0</v>
      </c>
      <c r="N70" s="175">
        <f ca="1">IFERROR(__xludf.DUMMYFUNCTION("IMPORTRANGE(""https://docs.google.com/spreadsheets/d/1Yj_ptqi66GCucihVvJfMjLAmec39IyEx_6qawtMGysU/edit?usp=sharing"",""สบก!AJ92"")"),0)</f>
        <v>0</v>
      </c>
      <c r="O70" s="176">
        <f ca="1">IF(L70&gt;0,N70*100/L70,0)</f>
        <v>0</v>
      </c>
      <c r="P70" s="176">
        <f ca="1">IF(M70&gt;0,N70*100/M70,0)</f>
        <v>0</v>
      </c>
    </row>
    <row r="71" spans="1:16" ht="21.75" customHeight="1" x14ac:dyDescent="0.35">
      <c r="A71" s="162"/>
      <c r="B71" s="163"/>
      <c r="C71" s="163"/>
      <c r="D71" s="172"/>
      <c r="E71" s="165"/>
      <c r="F71" s="165"/>
      <c r="G71" s="177" t="s">
        <v>42</v>
      </c>
      <c r="H71" s="167" t="s">
        <v>12</v>
      </c>
      <c r="I71" s="168"/>
      <c r="J71" s="168"/>
      <c r="K71" s="169"/>
      <c r="L71" s="174">
        <f ca="1">IFERROR(__xludf.DUMMYFUNCTION("IMPORTRANGE(""https://docs.google.com/spreadsheets/d/1Yj_ptqi66GCucihVvJfMjLAmec39IyEx_6qawtMGysU/edit?usp=sharing"",""สบก!AE92"")"),0)</f>
        <v>0</v>
      </c>
      <c r="M71" s="173"/>
      <c r="N71" s="173"/>
      <c r="O71" s="176"/>
      <c r="P71" s="176"/>
    </row>
    <row r="72" spans="1:16" ht="21.75" customHeight="1" x14ac:dyDescent="0.35">
      <c r="A72" s="162"/>
      <c r="B72" s="163"/>
      <c r="C72" s="163"/>
      <c r="D72" s="172"/>
      <c r="E72" s="165"/>
      <c r="F72" s="165"/>
      <c r="G72" s="177" t="s">
        <v>43</v>
      </c>
      <c r="H72" s="167" t="s">
        <v>12</v>
      </c>
      <c r="I72" s="168"/>
      <c r="J72" s="168"/>
      <c r="K72" s="169"/>
      <c r="L72" s="174">
        <f ca="1">IFERROR(__xludf.DUMMYFUNCTION("IMPORTRANGE(""https://docs.google.com/spreadsheets/d/1Yj_ptqi66GCucihVvJfMjLAmec39IyEx_6qawtMGysU/edit?usp=sharing"",""สบก!AF92"")"),0)</f>
        <v>0</v>
      </c>
      <c r="M72" s="173"/>
      <c r="N72" s="173"/>
      <c r="O72" s="176"/>
      <c r="P72" s="176"/>
    </row>
    <row r="73" spans="1:16" ht="21.75" customHeight="1" x14ac:dyDescent="0.45">
      <c r="A73" s="178"/>
      <c r="B73" s="81"/>
      <c r="C73" s="82" t="s">
        <v>16</v>
      </c>
      <c r="D73" s="549" t="s">
        <v>23</v>
      </c>
      <c r="E73" s="545"/>
      <c r="F73" s="89"/>
      <c r="G73" s="83" t="s">
        <v>18</v>
      </c>
      <c r="H73" s="179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80"/>
      <c r="B74" s="95"/>
      <c r="C74" s="95"/>
      <c r="D74" s="181"/>
      <c r="E74" s="96"/>
      <c r="F74" s="96"/>
      <c r="G74" s="97" t="s">
        <v>19</v>
      </c>
      <c r="H74" s="182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IFERROR(__xludf.DUMMYFUNCTION("IMPORTRANGE(""https://docs.google.com/spreadsheets/d/1Yj_ptqi66GCucihVvJfMjLAmec39IyEx_6qawtMGysU/edit?usp=sharing"",""สบก!AG92"")"),0)</f>
        <v>0</v>
      </c>
      <c r="M74" s="101"/>
      <c r="N74" s="91">
        <f ca="1">IFERROR(__xludf.DUMMYFUNCTION("IMPORTRANGE(""https://docs.google.com/spreadsheets/d/1Yj_ptqi66GCucihVvJfMjLAmec39IyEx_6qawtMGysU/edit?usp=sharing"",""สบก!AK92"")"),0)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3"/>
      <c r="B75" s="184"/>
      <c r="C75" s="163" t="s">
        <v>16</v>
      </c>
      <c r="D75" s="185" t="s">
        <v>44</v>
      </c>
      <c r="E75" s="186"/>
      <c r="F75" s="186"/>
      <c r="G75" s="187"/>
      <c r="H75" s="188"/>
      <c r="I75" s="168"/>
      <c r="J75" s="168"/>
      <c r="K75" s="169"/>
      <c r="L75" s="189"/>
      <c r="M75" s="189"/>
      <c r="N75" s="189"/>
      <c r="O75" s="189"/>
      <c r="P75" s="189"/>
    </row>
    <row r="76" spans="1:16" ht="21.75" customHeight="1" x14ac:dyDescent="0.35">
      <c r="A76" s="183"/>
      <c r="B76" s="184"/>
      <c r="C76" s="184"/>
      <c r="D76" s="190">
        <v>1</v>
      </c>
      <c r="E76" s="191" t="s">
        <v>45</v>
      </c>
      <c r="F76" s="192"/>
      <c r="G76" s="193"/>
      <c r="H76" s="194"/>
      <c r="I76" s="195"/>
      <c r="J76" s="196">
        <f ca="1">IFERROR(__xludf.DUMMYFUNCTION("IMPORTRANGE(""https://docs.google.com/spreadsheets/d/1IYY_tgx_IHuhSq3AJ5eI5OnqOPBNLWSHKh2a30DoXe8/edit?usp=sharing"",""สงขลา!J16"")"),0)</f>
        <v>0</v>
      </c>
      <c r="K76" s="169"/>
      <c r="L76" s="189"/>
      <c r="M76" s="189"/>
      <c r="N76" s="189"/>
      <c r="O76" s="189"/>
      <c r="P76" s="189"/>
    </row>
    <row r="77" spans="1:16" ht="21.75" customHeight="1" x14ac:dyDescent="0.35">
      <c r="A77" s="183"/>
      <c r="B77" s="184"/>
      <c r="C77" s="184"/>
      <c r="D77" s="197">
        <v>2</v>
      </c>
      <c r="E77" s="198" t="s">
        <v>46</v>
      </c>
      <c r="F77" s="199"/>
      <c r="G77" s="200"/>
      <c r="H77" s="194"/>
      <c r="I77" s="195"/>
      <c r="J77" s="196">
        <f ca="1">IFERROR(__xludf.DUMMYFUNCTION("IMPORTRANGE(""https://docs.google.com/spreadsheets/d/1IYY_tgx_IHuhSq3AJ5eI5OnqOPBNLWSHKh2a30DoXe8/edit?usp=sharing"",""สงขลา!J17"")"),0)</f>
        <v>0</v>
      </c>
      <c r="K77" s="169"/>
      <c r="L77" s="189" t="s">
        <v>40</v>
      </c>
      <c r="M77" s="189"/>
      <c r="N77" s="189" t="s">
        <v>40</v>
      </c>
      <c r="O77" s="189"/>
      <c r="P77" s="189"/>
    </row>
    <row r="78" spans="1:16" ht="21.75" customHeight="1" x14ac:dyDescent="0.35">
      <c r="A78" s="183"/>
      <c r="B78" s="184"/>
      <c r="C78" s="184"/>
      <c r="D78" s="201"/>
      <c r="E78" s="202" t="s">
        <v>47</v>
      </c>
      <c r="F78" s="203"/>
      <c r="G78" s="204"/>
      <c r="H78" s="194"/>
      <c r="I78" s="195"/>
      <c r="J78" s="196">
        <f ca="1">IFERROR(__xludf.DUMMYFUNCTION("IMPORTRANGE(""https://docs.google.com/spreadsheets/d/1IYY_tgx_IHuhSq3AJ5eI5OnqOPBNLWSHKh2a30DoXe8/edit?usp=sharing"",""สงขลา!J18"")"),0)</f>
        <v>0</v>
      </c>
      <c r="K78" s="169"/>
      <c r="L78" s="189"/>
      <c r="M78" s="189"/>
      <c r="N78" s="189"/>
      <c r="O78" s="189"/>
      <c r="P78" s="189"/>
    </row>
    <row r="79" spans="1:16" ht="21.75" customHeight="1" x14ac:dyDescent="0.35">
      <c r="A79" s="183"/>
      <c r="B79" s="184"/>
      <c r="C79" s="184"/>
      <c r="D79" s="201"/>
      <c r="E79" s="202" t="s">
        <v>48</v>
      </c>
      <c r="F79" s="203"/>
      <c r="G79" s="204"/>
      <c r="H79" s="194"/>
      <c r="I79" s="195"/>
      <c r="J79" s="205">
        <f ca="1">IFERROR(__xludf.DUMMYFUNCTION("IMPORTRANGE(""https://docs.google.com/spreadsheets/d/1IYY_tgx_IHuhSq3AJ5eI5OnqOPBNLWSHKh2a30DoXe8/edit?usp=sharing"",""สงขลา!J19"")"),0)</f>
        <v>0</v>
      </c>
      <c r="K79" s="169"/>
      <c r="L79" s="189"/>
      <c r="M79" s="189"/>
      <c r="N79" s="189"/>
      <c r="O79" s="189"/>
      <c r="P79" s="189"/>
    </row>
    <row r="80" spans="1:16" ht="21.75" customHeight="1" x14ac:dyDescent="0.35">
      <c r="A80" s="183"/>
      <c r="B80" s="184"/>
      <c r="C80" s="184"/>
      <c r="D80" s="201"/>
      <c r="E80" s="206"/>
      <c r="F80" s="202" t="s">
        <v>49</v>
      </c>
      <c r="G80" s="203"/>
      <c r="H80" s="207" t="s">
        <v>36</v>
      </c>
      <c r="I80" s="208">
        <f ca="1">IFERROR(__xludf.DUMMYFUNCTION("IMPORTRANGE(""https://docs.google.com/spreadsheets/d/1IYY_tgx_IHuhSq3AJ5eI5OnqOPBNLWSHKh2a30DoXe8/edit?usp=sharing"",""สงขลา!I20"")"),0)</f>
        <v>0</v>
      </c>
      <c r="J80" s="208">
        <f ca="1">IFERROR(__xludf.DUMMYFUNCTION("IMPORTRANGE(""https://docs.google.com/spreadsheets/d/1IYY_tgx_IHuhSq3AJ5eI5OnqOPBNLWSHKh2a30DoXe8/edit?usp=sharing"",""สงขลา!J20"")"),0)</f>
        <v>0</v>
      </c>
      <c r="K80" s="209">
        <f t="shared" ref="K80:K88" ca="1" si="50">IF(I80&gt;0,J80*100/I80,0)</f>
        <v>0</v>
      </c>
      <c r="L80" s="189"/>
      <c r="M80" s="189"/>
      <c r="N80" s="189"/>
      <c r="O80" s="189"/>
      <c r="P80" s="189"/>
    </row>
    <row r="81" spans="1:16" ht="21.75" customHeight="1" x14ac:dyDescent="0.35">
      <c r="A81" s="183"/>
      <c r="B81" s="184"/>
      <c r="C81" s="184"/>
      <c r="D81" s="201"/>
      <c r="E81" s="206"/>
      <c r="F81" s="203"/>
      <c r="G81" s="204"/>
      <c r="H81" s="207" t="s">
        <v>37</v>
      </c>
      <c r="I81" s="208">
        <f ca="1">IFERROR(__xludf.DUMMYFUNCTION("IMPORTRANGE(""https://docs.google.com/spreadsheets/d/1IYY_tgx_IHuhSq3AJ5eI5OnqOPBNLWSHKh2a30DoXe8/edit?usp=sharing"",""สงขลา!I21"")"),0)</f>
        <v>0</v>
      </c>
      <c r="J81" s="208">
        <f ca="1">IFERROR(__xludf.DUMMYFUNCTION("IMPORTRANGE(""https://docs.google.com/spreadsheets/d/1IYY_tgx_IHuhSq3AJ5eI5OnqOPBNLWSHKh2a30DoXe8/edit?usp=sharing"",""สงขลา!J21"")"),0)</f>
        <v>0</v>
      </c>
      <c r="K81" s="209">
        <f t="shared" ca="1" si="50"/>
        <v>0</v>
      </c>
      <c r="L81" s="189"/>
      <c r="M81" s="189"/>
      <c r="N81" s="189"/>
      <c r="O81" s="189"/>
      <c r="P81" s="189"/>
    </row>
    <row r="82" spans="1:16" ht="21.75" customHeight="1" x14ac:dyDescent="0.35">
      <c r="A82" s="183"/>
      <c r="B82" s="184"/>
      <c r="C82" s="184"/>
      <c r="D82" s="201"/>
      <c r="E82" s="206"/>
      <c r="F82" s="203"/>
      <c r="G82" s="203" t="s">
        <v>50</v>
      </c>
      <c r="H82" s="188" t="s">
        <v>36</v>
      </c>
      <c r="I82" s="210">
        <f ca="1">IFERROR(__xludf.DUMMYFUNCTION("IMPORTRANGE(""https://docs.google.com/spreadsheets/d/1IYY_tgx_IHuhSq3AJ5eI5OnqOPBNLWSHKh2a30DoXe8/edit?usp=sharing"",""สงขลา!I22"")"),0)</f>
        <v>0</v>
      </c>
      <c r="J82" s="211">
        <f ca="1">IFERROR(__xludf.DUMMYFUNCTION("IMPORTRANGE(""https://docs.google.com/spreadsheets/d/1IYY_tgx_IHuhSq3AJ5eI5OnqOPBNLWSHKh2a30DoXe8/edit?usp=sharing"",""สงขลา!J22"")"),0)</f>
        <v>0</v>
      </c>
      <c r="K82" s="169">
        <f t="shared" ca="1" si="50"/>
        <v>0</v>
      </c>
      <c r="L82" s="189"/>
      <c r="M82" s="189"/>
      <c r="N82" s="189"/>
      <c r="O82" s="189"/>
      <c r="P82" s="189"/>
    </row>
    <row r="83" spans="1:16" ht="21.75" customHeight="1" x14ac:dyDescent="0.35">
      <c r="A83" s="183"/>
      <c r="B83" s="184"/>
      <c r="C83" s="184"/>
      <c r="D83" s="201"/>
      <c r="E83" s="206"/>
      <c r="F83" s="203"/>
      <c r="G83" s="204"/>
      <c r="H83" s="188" t="s">
        <v>37</v>
      </c>
      <c r="I83" s="210">
        <f ca="1">IFERROR(__xludf.DUMMYFUNCTION("IMPORTRANGE(""https://docs.google.com/spreadsheets/d/1IYY_tgx_IHuhSq3AJ5eI5OnqOPBNLWSHKh2a30DoXe8/edit?usp=sharing"",""สงขลา!I23"")"),0)</f>
        <v>0</v>
      </c>
      <c r="J83" s="211">
        <f ca="1">IFERROR(__xludf.DUMMYFUNCTION("IMPORTRANGE(""https://docs.google.com/spreadsheets/d/1IYY_tgx_IHuhSq3AJ5eI5OnqOPBNLWSHKh2a30DoXe8/edit?usp=sharing"",""สงขลา!J23"")"),0)</f>
        <v>0</v>
      </c>
      <c r="K83" s="169">
        <f t="shared" ca="1" si="50"/>
        <v>0</v>
      </c>
      <c r="L83" s="189"/>
      <c r="M83" s="189"/>
      <c r="N83" s="189"/>
      <c r="O83" s="189"/>
      <c r="P83" s="189"/>
    </row>
    <row r="84" spans="1:16" ht="21.75" customHeight="1" x14ac:dyDescent="0.35">
      <c r="A84" s="183"/>
      <c r="B84" s="184"/>
      <c r="C84" s="184"/>
      <c r="D84" s="201"/>
      <c r="E84" s="206"/>
      <c r="F84" s="203"/>
      <c r="G84" s="203" t="s">
        <v>51</v>
      </c>
      <c r="H84" s="188" t="s">
        <v>36</v>
      </c>
      <c r="I84" s="210">
        <f ca="1">IFERROR(__xludf.DUMMYFUNCTION("IMPORTRANGE(""https://docs.google.com/spreadsheets/d/1IYY_tgx_IHuhSq3AJ5eI5OnqOPBNLWSHKh2a30DoXe8/edit?usp=sharing"",""สงขลา!I24"")"),0)</f>
        <v>0</v>
      </c>
      <c r="J84" s="196">
        <f ca="1">IFERROR(__xludf.DUMMYFUNCTION("IMPORTRANGE(""https://docs.google.com/spreadsheets/d/1IYY_tgx_IHuhSq3AJ5eI5OnqOPBNLWSHKh2a30DoXe8/edit?usp=sharing"",""สงขลา!J24"")"),0)</f>
        <v>0</v>
      </c>
      <c r="K84" s="169">
        <f t="shared" ca="1" si="50"/>
        <v>0</v>
      </c>
      <c r="L84" s="189"/>
      <c r="M84" s="189"/>
      <c r="N84" s="189"/>
      <c r="O84" s="189"/>
      <c r="P84" s="189"/>
    </row>
    <row r="85" spans="1:16" ht="21.75" customHeight="1" x14ac:dyDescent="0.35">
      <c r="A85" s="183"/>
      <c r="B85" s="184"/>
      <c r="C85" s="184"/>
      <c r="D85" s="201"/>
      <c r="E85" s="206"/>
      <c r="F85" s="203"/>
      <c r="G85" s="204"/>
      <c r="H85" s="188" t="s">
        <v>37</v>
      </c>
      <c r="I85" s="210">
        <f ca="1">IFERROR(__xludf.DUMMYFUNCTION("IMPORTRANGE(""https://docs.google.com/spreadsheets/d/1IYY_tgx_IHuhSq3AJ5eI5OnqOPBNLWSHKh2a30DoXe8/edit?usp=sharing"",""สงขลา!I25"")"),0)</f>
        <v>0</v>
      </c>
      <c r="J85" s="196">
        <f ca="1">IFERROR(__xludf.DUMMYFUNCTION("IMPORTRANGE(""https://docs.google.com/spreadsheets/d/1IYY_tgx_IHuhSq3AJ5eI5OnqOPBNLWSHKh2a30DoXe8/edit?usp=sharing"",""สงขลา!J25"")"),0)</f>
        <v>0</v>
      </c>
      <c r="K85" s="169">
        <f t="shared" ca="1" si="50"/>
        <v>0</v>
      </c>
      <c r="L85" s="189"/>
      <c r="M85" s="189"/>
      <c r="N85" s="189"/>
      <c r="O85" s="189"/>
      <c r="P85" s="189"/>
    </row>
    <row r="86" spans="1:16" ht="21.75" customHeight="1" x14ac:dyDescent="0.35">
      <c r="A86" s="183"/>
      <c r="B86" s="184"/>
      <c r="C86" s="184"/>
      <c r="D86" s="201"/>
      <c r="E86" s="206"/>
      <c r="F86" s="203"/>
      <c r="G86" s="203" t="s">
        <v>52</v>
      </c>
      <c r="H86" s="188" t="s">
        <v>36</v>
      </c>
      <c r="I86" s="210">
        <f ca="1">IFERROR(__xludf.DUMMYFUNCTION("IMPORTRANGE(""https://docs.google.com/spreadsheets/d/1IYY_tgx_IHuhSq3AJ5eI5OnqOPBNLWSHKh2a30DoXe8/edit?usp=sharing"",""สงขลา!I26"")"),0)</f>
        <v>0</v>
      </c>
      <c r="J86" s="211">
        <f ca="1">IFERROR(__xludf.DUMMYFUNCTION("IMPORTRANGE(""https://docs.google.com/spreadsheets/d/1IYY_tgx_IHuhSq3AJ5eI5OnqOPBNLWSHKh2a30DoXe8/edit?usp=sharing"",""สงขลา!J26"")"),0)</f>
        <v>0</v>
      </c>
      <c r="K86" s="169">
        <f t="shared" ca="1" si="50"/>
        <v>0</v>
      </c>
      <c r="L86" s="189"/>
      <c r="M86" s="189"/>
      <c r="N86" s="189"/>
      <c r="O86" s="189"/>
      <c r="P86" s="189"/>
    </row>
    <row r="87" spans="1:16" ht="21.75" customHeight="1" x14ac:dyDescent="0.35">
      <c r="A87" s="183"/>
      <c r="B87" s="184"/>
      <c r="C87" s="184"/>
      <c r="D87" s="201"/>
      <c r="E87" s="206"/>
      <c r="F87" s="203"/>
      <c r="G87" s="204"/>
      <c r="H87" s="188" t="s">
        <v>37</v>
      </c>
      <c r="I87" s="210">
        <f ca="1">IFERROR(__xludf.DUMMYFUNCTION("IMPORTRANGE(""https://docs.google.com/spreadsheets/d/1IYY_tgx_IHuhSq3AJ5eI5OnqOPBNLWSHKh2a30DoXe8/edit?usp=sharing"",""สงขลา!I27"")"),0)</f>
        <v>0</v>
      </c>
      <c r="J87" s="211">
        <f ca="1">IFERROR(__xludf.DUMMYFUNCTION("IMPORTRANGE(""https://docs.google.com/spreadsheets/d/1IYY_tgx_IHuhSq3AJ5eI5OnqOPBNLWSHKh2a30DoXe8/edit?usp=sharing"",""สงขลา!J27"")"),0)</f>
        <v>0</v>
      </c>
      <c r="K87" s="169">
        <f t="shared" ca="1" si="50"/>
        <v>0</v>
      </c>
      <c r="L87" s="189"/>
      <c r="M87" s="189"/>
      <c r="N87" s="189"/>
      <c r="O87" s="189"/>
      <c r="P87" s="189"/>
    </row>
    <row r="88" spans="1:16" ht="21.75" customHeight="1" x14ac:dyDescent="0.35">
      <c r="A88" s="183"/>
      <c r="B88" s="184"/>
      <c r="C88" s="184"/>
      <c r="D88" s="201"/>
      <c r="E88" s="206"/>
      <c r="F88" s="212" t="s">
        <v>53</v>
      </c>
      <c r="G88" s="203"/>
      <c r="H88" s="188" t="s">
        <v>37</v>
      </c>
      <c r="I88" s="210">
        <f ca="1">IFERROR(__xludf.DUMMYFUNCTION("IMPORTRANGE(""https://docs.google.com/spreadsheets/d/1IYY_tgx_IHuhSq3AJ5eI5OnqOPBNLWSHKh2a30DoXe8/edit?usp=sharing"",""สงขลา!I28"")"),0)</f>
        <v>0</v>
      </c>
      <c r="J88" s="211">
        <f ca="1">IFERROR(__xludf.DUMMYFUNCTION("IMPORTRANGE(""https://docs.google.com/spreadsheets/d/1IYY_tgx_IHuhSq3AJ5eI5OnqOPBNLWSHKh2a30DoXe8/edit?usp=sharing"",""สงขลา!J28"")"),0)</f>
        <v>0</v>
      </c>
      <c r="K88" s="169">
        <f t="shared" ca="1" si="50"/>
        <v>0</v>
      </c>
      <c r="L88" s="189"/>
      <c r="M88" s="189"/>
      <c r="N88" s="189"/>
      <c r="O88" s="189"/>
      <c r="P88" s="189"/>
    </row>
    <row r="89" spans="1:16" ht="21.75" customHeight="1" x14ac:dyDescent="0.35">
      <c r="A89" s="183"/>
      <c r="B89" s="184"/>
      <c r="C89" s="184"/>
      <c r="D89" s="201"/>
      <c r="E89" s="202" t="s">
        <v>54</v>
      </c>
      <c r="F89" s="203"/>
      <c r="G89" s="204"/>
      <c r="H89" s="194"/>
      <c r="I89" s="195"/>
      <c r="J89" s="205">
        <f ca="1">IFERROR(__xludf.DUMMYFUNCTION("IMPORTRANGE(""https://docs.google.com/spreadsheets/d/1IYY_tgx_IHuhSq3AJ5eI5OnqOPBNLWSHKh2a30DoXe8/edit?usp=sharing"",""สงขลา!J29"")"),0)</f>
        <v>0</v>
      </c>
      <c r="K89" s="169"/>
      <c r="L89" s="189"/>
      <c r="M89" s="189"/>
      <c r="N89" s="189"/>
      <c r="O89" s="189"/>
      <c r="P89" s="189"/>
    </row>
    <row r="90" spans="1:16" ht="21.75" customHeight="1" x14ac:dyDescent="0.35">
      <c r="A90" s="183"/>
      <c r="B90" s="184"/>
      <c r="C90" s="184"/>
      <c r="D90" s="213">
        <v>3</v>
      </c>
      <c r="E90" s="214" t="s">
        <v>55</v>
      </c>
      <c r="F90" s="215"/>
      <c r="G90" s="216"/>
      <c r="H90" s="194"/>
      <c r="I90" s="195"/>
      <c r="J90" s="217">
        <f ca="1">IFERROR(__xludf.DUMMYFUNCTION("IMPORTRANGE(""https://docs.google.com/spreadsheets/d/1IYY_tgx_IHuhSq3AJ5eI5OnqOPBNLWSHKh2a30DoXe8/edit?usp=sharing"",""สงขลา!J30"")"),0)</f>
        <v>0</v>
      </c>
      <c r="K90" s="169"/>
      <c r="L90" s="189"/>
      <c r="M90" s="189"/>
      <c r="N90" s="189"/>
      <c r="O90" s="189"/>
      <c r="P90" s="189"/>
    </row>
    <row r="91" spans="1:16" ht="21.75" customHeight="1" x14ac:dyDescent="0.35">
      <c r="A91" s="218" t="s">
        <v>56</v>
      </c>
      <c r="B91" s="219"/>
      <c r="C91" s="220"/>
      <c r="D91" s="219"/>
      <c r="E91" s="221"/>
      <c r="F91" s="221"/>
      <c r="G91" s="222"/>
      <c r="H91" s="223"/>
      <c r="I91" s="224"/>
      <c r="J91" s="224"/>
      <c r="K91" s="225"/>
      <c r="L91" s="226"/>
      <c r="M91" s="226"/>
      <c r="N91" s="226"/>
      <c r="O91" s="227"/>
      <c r="P91" s="227"/>
    </row>
    <row r="92" spans="1:16" ht="21.75" customHeight="1" x14ac:dyDescent="0.35">
      <c r="A92" s="142"/>
      <c r="B92" s="143" t="s">
        <v>57</v>
      </c>
      <c r="C92" s="143"/>
      <c r="D92" s="144"/>
      <c r="E92" s="143"/>
      <c r="F92" s="143"/>
      <c r="G92" s="228"/>
      <c r="H92" s="145" t="s">
        <v>37</v>
      </c>
      <c r="I92" s="146">
        <f ca="1">IFERROR(__xludf.DUMMYFUNCTION("IMPORTRANGE(""https://docs.google.com/spreadsheets/d/1IYY_tgx_IHuhSq3AJ5eI5OnqOPBNLWSHKh2a30DoXe8/edit?usp=sharing"",""สงขลา!I32"")"),0)</f>
        <v>0</v>
      </c>
      <c r="J92" s="146">
        <f ca="1">IFERROR(__xludf.DUMMYFUNCTION("IMPORTRANGE(""https://docs.google.com/spreadsheets/d/1IYY_tgx_IHuhSq3AJ5eI5OnqOPBNLWSHKh2a30DoXe8/edit?usp=sharing"",""สงขลา!J32"")"),0)</f>
        <v>0</v>
      </c>
      <c r="K92" s="147">
        <f t="shared" ref="K92:K93" ca="1" si="51">IF(I92&gt;0,J92*100/I92,0)</f>
        <v>0</v>
      </c>
      <c r="L92" s="229"/>
      <c r="M92" s="229"/>
      <c r="N92" s="230"/>
      <c r="O92" s="147"/>
      <c r="P92" s="147"/>
    </row>
    <row r="93" spans="1:16" ht="21.75" customHeight="1" x14ac:dyDescent="0.35">
      <c r="A93" s="142"/>
      <c r="B93" s="143"/>
      <c r="C93" s="143"/>
      <c r="D93" s="144" t="s">
        <v>58</v>
      </c>
      <c r="E93" s="143"/>
      <c r="F93" s="143"/>
      <c r="G93" s="228"/>
      <c r="H93" s="145" t="s">
        <v>59</v>
      </c>
      <c r="I93" s="146">
        <f ca="1">IFERROR(__xludf.DUMMYFUNCTION("IMPORTRANGE(""https://docs.google.com/spreadsheets/d/1IYY_tgx_IHuhSq3AJ5eI5OnqOPBNLWSHKh2a30DoXe8/edit?usp=sharing"",""สงขลา!I33"")"),0)</f>
        <v>0</v>
      </c>
      <c r="J93" s="146">
        <f ca="1">IFERROR(__xludf.DUMMYFUNCTION("IMPORTRANGE(""https://docs.google.com/spreadsheets/d/1IYY_tgx_IHuhSq3AJ5eI5OnqOPBNLWSHKh2a30DoXe8/edit?usp=sharing"",""สงขลา!J33"")"),0)</f>
        <v>0</v>
      </c>
      <c r="K93" s="147">
        <f t="shared" ca="1" si="51"/>
        <v>0</v>
      </c>
      <c r="L93" s="230"/>
      <c r="M93" s="230"/>
      <c r="N93" s="230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52" t="s">
        <v>17</v>
      </c>
      <c r="E94" s="543"/>
      <c r="F94" s="543"/>
      <c r="G94" s="543"/>
      <c r="H94" s="153" t="s">
        <v>12</v>
      </c>
      <c r="I94" s="168"/>
      <c r="J94" s="168"/>
      <c r="K94" s="169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8"/>
      <c r="J95" s="168"/>
      <c r="K95" s="169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8"/>
      <c r="J96" s="168"/>
      <c r="K96" s="169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5">
      <c r="A97" s="162"/>
      <c r="B97" s="163"/>
      <c r="C97" s="163" t="s">
        <v>16</v>
      </c>
      <c r="D97" s="164" t="s">
        <v>38</v>
      </c>
      <c r="E97" s="165"/>
      <c r="F97" s="165"/>
      <c r="G97" s="166" t="s">
        <v>39</v>
      </c>
      <c r="H97" s="167" t="s">
        <v>12</v>
      </c>
      <c r="I97" s="168" t="s">
        <v>40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 x14ac:dyDescent="0.35">
      <c r="A98" s="162"/>
      <c r="B98" s="163"/>
      <c r="C98" s="163"/>
      <c r="D98" s="172"/>
      <c r="E98" s="165"/>
      <c r="F98" s="165" t="s">
        <v>40</v>
      </c>
      <c r="G98" s="166" t="s">
        <v>41</v>
      </c>
      <c r="H98" s="167" t="s">
        <v>12</v>
      </c>
      <c r="I98" s="168"/>
      <c r="J98" s="168"/>
      <c r="K98" s="169"/>
      <c r="L98" s="173">
        <f ca="1">L99+L100</f>
        <v>0</v>
      </c>
      <c r="M98" s="174">
        <f ca="1">IFERROR(__xludf.DUMMYFUNCTION("IMPORTRANGE(""https://docs.google.com/spreadsheets/d/1Yj_ptqi66GCucihVvJfMjLAmec39IyEx_6qawtMGysU/edit?usp=sharing"",""สบก!AR92"")"),0)</f>
        <v>0</v>
      </c>
      <c r="N98" s="175">
        <f ca="1">IFERROR(__xludf.DUMMYFUNCTION("IMPORTRANGE(""https://docs.google.com/spreadsheets/d/1Yj_ptqi66GCucihVvJfMjLAmec39IyEx_6qawtMGysU/edit?usp=sharing"",""สบก!AS92"")"),0)</f>
        <v>0</v>
      </c>
      <c r="O98" s="176">
        <f ca="1">IF(L98&gt;0,N98*100/L98,0)</f>
        <v>0</v>
      </c>
      <c r="P98" s="176">
        <f ca="1">IF(M98&gt;0,N98*100/M98,0)</f>
        <v>0</v>
      </c>
    </row>
    <row r="99" spans="1:16" ht="21.75" customHeight="1" x14ac:dyDescent="0.35">
      <c r="A99" s="162"/>
      <c r="B99" s="163"/>
      <c r="C99" s="163"/>
      <c r="D99" s="172"/>
      <c r="E99" s="165"/>
      <c r="F99" s="165"/>
      <c r="G99" s="177" t="s">
        <v>42</v>
      </c>
      <c r="H99" s="167" t="s">
        <v>12</v>
      </c>
      <c r="I99" s="168"/>
      <c r="J99" s="168"/>
      <c r="K99" s="169"/>
      <c r="L99" s="174">
        <f ca="1">IFERROR(__xludf.DUMMYFUNCTION("IMPORTRANGE(""https://docs.google.com/spreadsheets/d/1Yj_ptqi66GCucihVvJfMjLAmec39IyEx_6qawtMGysU/edit?usp=sharing"",""สบก!AN92"")"),0)</f>
        <v>0</v>
      </c>
      <c r="M99" s="173"/>
      <c r="N99" s="173"/>
      <c r="O99" s="176"/>
      <c r="P99" s="176"/>
    </row>
    <row r="100" spans="1:16" ht="21.75" customHeight="1" x14ac:dyDescent="0.35">
      <c r="A100" s="162"/>
      <c r="B100" s="163"/>
      <c r="C100" s="163"/>
      <c r="D100" s="172"/>
      <c r="E100" s="165"/>
      <c r="F100" s="165"/>
      <c r="G100" s="177" t="s">
        <v>43</v>
      </c>
      <c r="H100" s="167" t="s">
        <v>12</v>
      </c>
      <c r="I100" s="168"/>
      <c r="J100" s="195"/>
      <c r="K100" s="231"/>
      <c r="L100" s="174">
        <f ca="1">IFERROR(__xludf.DUMMYFUNCTION("IMPORTRANGE(""https://docs.google.com/spreadsheets/d/1Yj_ptqi66GCucihVvJfMjLAmec39IyEx_6qawtMGysU/edit?usp=sharing"",""สบก!AO92"")"),0)</f>
        <v>0</v>
      </c>
      <c r="M100" s="173"/>
      <c r="N100" s="173"/>
      <c r="O100" s="176"/>
      <c r="P100" s="176"/>
    </row>
    <row r="101" spans="1:16" ht="21.75" customHeight="1" x14ac:dyDescent="0.45">
      <c r="A101" s="178"/>
      <c r="B101" s="81"/>
      <c r="C101" s="82" t="s">
        <v>16</v>
      </c>
      <c r="D101" s="549" t="s">
        <v>23</v>
      </c>
      <c r="E101" s="545"/>
      <c r="F101" s="89"/>
      <c r="G101" s="83" t="s">
        <v>18</v>
      </c>
      <c r="H101" s="179" t="s">
        <v>12</v>
      </c>
      <c r="I101" s="195"/>
      <c r="J101" s="195"/>
      <c r="K101" s="231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80"/>
      <c r="B102" s="95"/>
      <c r="C102" s="95"/>
      <c r="D102" s="181"/>
      <c r="E102" s="96"/>
      <c r="F102" s="96"/>
      <c r="G102" s="97" t="s">
        <v>19</v>
      </c>
      <c r="H102" s="182" t="s">
        <v>12</v>
      </c>
      <c r="I102" s="195"/>
      <c r="J102" s="195"/>
      <c r="K102" s="231"/>
      <c r="L102" s="91">
        <f ca="1">IFERROR(__xludf.DUMMYFUNCTION("IMPORTRANGE(""https://docs.google.com/spreadsheets/d/1Yj_ptqi66GCucihVvJfMjLAmec39IyEx_6qawtMGysU/edit?usp=sharing"",""สบก!AP92"")"),0)</f>
        <v>0</v>
      </c>
      <c r="M102" s="101"/>
      <c r="N102" s="91">
        <f ca="1">IFERROR(__xludf.DUMMYFUNCTION("IMPORTRANGE(""https://docs.google.com/spreadsheets/d/1Yj_ptqi66GCucihVvJfMjLAmec39IyEx_6qawtMGysU/edit?usp=sharing"",""สบก!AT92"")"),0)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3"/>
      <c r="B103" s="184"/>
      <c r="C103" s="163" t="s">
        <v>16</v>
      </c>
      <c r="D103" s="185" t="s">
        <v>44</v>
      </c>
      <c r="E103" s="186"/>
      <c r="F103" s="186"/>
      <c r="G103" s="187"/>
      <c r="H103" s="188"/>
      <c r="I103" s="168"/>
      <c r="J103" s="195"/>
      <c r="K103" s="231"/>
      <c r="L103" s="176"/>
      <c r="M103" s="176"/>
      <c r="N103" s="176"/>
      <c r="O103" s="189"/>
      <c r="P103" s="189"/>
    </row>
    <row r="104" spans="1:16" ht="21.75" customHeight="1" x14ac:dyDescent="0.35">
      <c r="A104" s="183"/>
      <c r="B104" s="184"/>
      <c r="C104" s="184"/>
      <c r="D104" s="190">
        <v>1</v>
      </c>
      <c r="E104" s="191" t="s">
        <v>45</v>
      </c>
      <c r="F104" s="192"/>
      <c r="G104" s="193"/>
      <c r="H104" s="194"/>
      <c r="I104" s="195"/>
      <c r="J104" s="195">
        <f ca="1">IFERROR(__xludf.DUMMYFUNCTION("IMPORTRANGE(""https://docs.google.com/spreadsheets/d/1IYY_tgx_IHuhSq3AJ5eI5OnqOPBNLWSHKh2a30DoXe8/edit?usp=sharing"",""สงขลา!J39"")"),0)</f>
        <v>0</v>
      </c>
      <c r="K104" s="231"/>
      <c r="L104" s="176"/>
      <c r="M104" s="176"/>
      <c r="N104" s="176"/>
      <c r="O104" s="189"/>
      <c r="P104" s="189"/>
    </row>
    <row r="105" spans="1:16" ht="21.75" customHeight="1" x14ac:dyDescent="0.35">
      <c r="A105" s="183"/>
      <c r="B105" s="184"/>
      <c r="C105" s="184"/>
      <c r="D105" s="197">
        <v>2</v>
      </c>
      <c r="E105" s="198" t="s">
        <v>46</v>
      </c>
      <c r="F105" s="199"/>
      <c r="G105" s="200"/>
      <c r="H105" s="194"/>
      <c r="I105" s="195"/>
      <c r="J105" s="195">
        <f ca="1">IFERROR(__xludf.DUMMYFUNCTION("IMPORTRANGE(""https://docs.google.com/spreadsheets/d/1IYY_tgx_IHuhSq3AJ5eI5OnqOPBNLWSHKh2a30DoXe8/edit?usp=sharing"",""สงขลา!J40"")"),0)</f>
        <v>0</v>
      </c>
      <c r="K105" s="231"/>
      <c r="L105" s="176" t="s">
        <v>40</v>
      </c>
      <c r="M105" s="176"/>
      <c r="N105" s="176" t="s">
        <v>40</v>
      </c>
      <c r="O105" s="189"/>
      <c r="P105" s="189"/>
    </row>
    <row r="106" spans="1:16" ht="21.75" customHeight="1" x14ac:dyDescent="0.35">
      <c r="A106" s="183"/>
      <c r="B106" s="184"/>
      <c r="C106" s="184"/>
      <c r="D106" s="201"/>
      <c r="E106" s="202" t="s">
        <v>47</v>
      </c>
      <c r="F106" s="203"/>
      <c r="G106" s="204"/>
      <c r="H106" s="194"/>
      <c r="I106" s="195"/>
      <c r="J106" s="195">
        <f ca="1">IFERROR(__xludf.DUMMYFUNCTION("IMPORTRANGE(""https://docs.google.com/spreadsheets/d/1IYY_tgx_IHuhSq3AJ5eI5OnqOPBNLWSHKh2a30DoXe8/edit?usp=sharing"",""สงขลา!J41"")"),0)</f>
        <v>0</v>
      </c>
      <c r="K106" s="231"/>
      <c r="L106" s="176"/>
      <c r="M106" s="176"/>
      <c r="N106" s="176"/>
      <c r="O106" s="189"/>
      <c r="P106" s="189"/>
    </row>
    <row r="107" spans="1:16" ht="21.75" customHeight="1" x14ac:dyDescent="0.35">
      <c r="A107" s="183"/>
      <c r="B107" s="184"/>
      <c r="C107" s="184"/>
      <c r="D107" s="201"/>
      <c r="E107" s="202" t="s">
        <v>48</v>
      </c>
      <c r="F107" s="203"/>
      <c r="G107" s="204"/>
      <c r="H107" s="194"/>
      <c r="I107" s="195"/>
      <c r="J107" s="195">
        <f ca="1">IFERROR(__xludf.DUMMYFUNCTION("IMPORTRANGE(""https://docs.google.com/spreadsheets/d/1IYY_tgx_IHuhSq3AJ5eI5OnqOPBNLWSHKh2a30DoXe8/edit?usp=sharing"",""สงขลา!J42"")"),0)</f>
        <v>0</v>
      </c>
      <c r="K107" s="231"/>
      <c r="L107" s="176"/>
      <c r="M107" s="176"/>
      <c r="N107" s="176"/>
      <c r="O107" s="189"/>
      <c r="P107" s="189"/>
    </row>
    <row r="108" spans="1:16" ht="21.75" customHeight="1" x14ac:dyDescent="0.35">
      <c r="A108" s="183"/>
      <c r="B108" s="184"/>
      <c r="C108" s="184"/>
      <c r="D108" s="201"/>
      <c r="E108" s="203"/>
      <c r="F108" s="203" t="s">
        <v>60</v>
      </c>
      <c r="G108" s="203"/>
      <c r="H108" s="188" t="s">
        <v>61</v>
      </c>
      <c r="I108" s="210">
        <f ca="1">IFERROR(__xludf.DUMMYFUNCTION("IMPORTRANGE(""https://docs.google.com/spreadsheets/d/1IYY_tgx_IHuhSq3AJ5eI5OnqOPBNLWSHKh2a30DoXe8/edit?usp=sharing"",""สงขลา!I43"")"),0)</f>
        <v>0</v>
      </c>
      <c r="J108" s="211">
        <f ca="1">IFERROR(__xludf.DUMMYFUNCTION("IMPORTRANGE(""https://docs.google.com/spreadsheets/d/1IYY_tgx_IHuhSq3AJ5eI5OnqOPBNLWSHKh2a30DoXe8/edit?usp=sharing"",""สงขลา!J43"")"),0)</f>
        <v>0</v>
      </c>
      <c r="K108" s="231">
        <f t="shared" ref="K108:K113" ca="1" si="57">IF(I108&gt;0,J108*100/I108,0)</f>
        <v>0</v>
      </c>
      <c r="L108" s="176"/>
      <c r="M108" s="176"/>
      <c r="N108" s="176"/>
      <c r="O108" s="189"/>
      <c r="P108" s="189"/>
    </row>
    <row r="109" spans="1:16" ht="21.75" customHeight="1" x14ac:dyDescent="0.35">
      <c r="A109" s="183"/>
      <c r="B109" s="184"/>
      <c r="C109" s="184"/>
      <c r="D109" s="201"/>
      <c r="E109" s="206"/>
      <c r="F109" s="202" t="s">
        <v>62</v>
      </c>
      <c r="G109" s="203"/>
      <c r="H109" s="188" t="s">
        <v>37</v>
      </c>
      <c r="I109" s="210">
        <f ca="1">IFERROR(__xludf.DUMMYFUNCTION("IMPORTRANGE(""https://docs.google.com/spreadsheets/d/1IYY_tgx_IHuhSq3AJ5eI5OnqOPBNLWSHKh2a30DoXe8/edit?usp=sharing"",""สงขลา!I44"")"),0)</f>
        <v>0</v>
      </c>
      <c r="J109" s="211">
        <f ca="1">IFERROR(__xludf.DUMMYFUNCTION("IMPORTRANGE(""https://docs.google.com/spreadsheets/d/1IYY_tgx_IHuhSq3AJ5eI5OnqOPBNLWSHKh2a30DoXe8/edit?usp=sharing"",""สงขลา!J44"")"),0)</f>
        <v>0</v>
      </c>
      <c r="K109" s="231">
        <f t="shared" ca="1" si="57"/>
        <v>0</v>
      </c>
      <c r="L109" s="176"/>
      <c r="M109" s="176"/>
      <c r="N109" s="176"/>
      <c r="O109" s="189"/>
      <c r="P109" s="189"/>
    </row>
    <row r="110" spans="1:16" ht="21.75" customHeight="1" x14ac:dyDescent="0.35">
      <c r="A110" s="183"/>
      <c r="B110" s="184"/>
      <c r="C110" s="184"/>
      <c r="D110" s="201"/>
      <c r="E110" s="206"/>
      <c r="F110" s="203"/>
      <c r="G110" s="232" t="s">
        <v>63</v>
      </c>
      <c r="H110" s="188" t="s">
        <v>37</v>
      </c>
      <c r="I110" s="210">
        <f ca="1">IFERROR(__xludf.DUMMYFUNCTION("IMPORTRANGE(""https://docs.google.com/spreadsheets/d/1IYY_tgx_IHuhSq3AJ5eI5OnqOPBNLWSHKh2a30DoXe8/edit?usp=sharing"",""สงขลา!I45"")"),0)</f>
        <v>0</v>
      </c>
      <c r="J110" s="211">
        <f ca="1">IFERROR(__xludf.DUMMYFUNCTION("IMPORTRANGE(""https://docs.google.com/spreadsheets/d/1IYY_tgx_IHuhSq3AJ5eI5OnqOPBNLWSHKh2a30DoXe8/edit?usp=sharing"",""สงขลา!J45"")"),0)</f>
        <v>0</v>
      </c>
      <c r="K110" s="231">
        <f t="shared" ca="1" si="57"/>
        <v>0</v>
      </c>
      <c r="L110" s="176"/>
      <c r="M110" s="176"/>
      <c r="N110" s="176"/>
      <c r="O110" s="189"/>
      <c r="P110" s="189"/>
    </row>
    <row r="111" spans="1:16" ht="21.75" customHeight="1" x14ac:dyDescent="0.35">
      <c r="A111" s="183"/>
      <c r="B111" s="184"/>
      <c r="C111" s="184"/>
      <c r="D111" s="201"/>
      <c r="E111" s="206"/>
      <c r="F111" s="203"/>
      <c r="G111" s="232" t="s">
        <v>64</v>
      </c>
      <c r="H111" s="188" t="s">
        <v>37</v>
      </c>
      <c r="I111" s="210">
        <f ca="1">IFERROR(__xludf.DUMMYFUNCTION("IMPORTRANGE(""https://docs.google.com/spreadsheets/d/1IYY_tgx_IHuhSq3AJ5eI5OnqOPBNLWSHKh2a30DoXe8/edit?usp=sharing"",""สงขลา!I46"")"),0)</f>
        <v>0</v>
      </c>
      <c r="J111" s="211">
        <f ca="1">IFERROR(__xludf.DUMMYFUNCTION("IMPORTRANGE(""https://docs.google.com/spreadsheets/d/1IYY_tgx_IHuhSq3AJ5eI5OnqOPBNLWSHKh2a30DoXe8/edit?usp=sharing"",""สงขลา!J46"")"),0)</f>
        <v>0</v>
      </c>
      <c r="K111" s="231">
        <f t="shared" ca="1" si="57"/>
        <v>0</v>
      </c>
      <c r="L111" s="176"/>
      <c r="M111" s="176"/>
      <c r="N111" s="176"/>
      <c r="O111" s="189"/>
      <c r="P111" s="189"/>
    </row>
    <row r="112" spans="1:16" ht="21.75" customHeight="1" x14ac:dyDescent="0.35">
      <c r="A112" s="183"/>
      <c r="B112" s="184"/>
      <c r="C112" s="184"/>
      <c r="D112" s="201"/>
      <c r="E112" s="206"/>
      <c r="F112" s="203"/>
      <c r="G112" s="233" t="s">
        <v>65</v>
      </c>
      <c r="H112" s="188" t="s">
        <v>37</v>
      </c>
      <c r="I112" s="210">
        <f ca="1">IFERROR(__xludf.DUMMYFUNCTION("IMPORTRANGE(""https://docs.google.com/spreadsheets/d/1IYY_tgx_IHuhSq3AJ5eI5OnqOPBNLWSHKh2a30DoXe8/edit?usp=sharing"",""สงขลา!I47"")"),0)</f>
        <v>0</v>
      </c>
      <c r="J112" s="211">
        <f ca="1">IFERROR(__xludf.DUMMYFUNCTION("IMPORTRANGE(""https://docs.google.com/spreadsheets/d/1IYY_tgx_IHuhSq3AJ5eI5OnqOPBNLWSHKh2a30DoXe8/edit?usp=sharing"",""สงขลา!J47"")"),0)</f>
        <v>0</v>
      </c>
      <c r="K112" s="231">
        <f t="shared" ca="1" si="57"/>
        <v>0</v>
      </c>
      <c r="L112" s="176"/>
      <c r="M112" s="176"/>
      <c r="N112" s="176"/>
      <c r="O112" s="189"/>
      <c r="P112" s="189"/>
    </row>
    <row r="113" spans="1:16" ht="21.75" customHeight="1" x14ac:dyDescent="0.35">
      <c r="A113" s="183"/>
      <c r="B113" s="184"/>
      <c r="C113" s="184"/>
      <c r="D113" s="201"/>
      <c r="E113" s="206"/>
      <c r="F113" s="203" t="s">
        <v>66</v>
      </c>
      <c r="G113" s="203"/>
      <c r="H113" s="188" t="s">
        <v>59</v>
      </c>
      <c r="I113" s="210">
        <f ca="1">IFERROR(__xludf.DUMMYFUNCTION("IMPORTRANGE(""https://docs.google.com/spreadsheets/d/1IYY_tgx_IHuhSq3AJ5eI5OnqOPBNLWSHKh2a30DoXe8/edit?usp=sharing"",""สงขลา!I48"")"),0)</f>
        <v>0</v>
      </c>
      <c r="J113" s="211">
        <f ca="1">IFERROR(__xludf.DUMMYFUNCTION("IMPORTRANGE(""https://docs.google.com/spreadsheets/d/1IYY_tgx_IHuhSq3AJ5eI5OnqOPBNLWSHKh2a30DoXe8/edit?usp=sharing"",""สงขลา!J48"")"),0)</f>
        <v>0</v>
      </c>
      <c r="K113" s="231">
        <f t="shared" ca="1" si="57"/>
        <v>0</v>
      </c>
      <c r="L113" s="176"/>
      <c r="M113" s="176"/>
      <c r="N113" s="176"/>
      <c r="O113" s="189"/>
      <c r="P113" s="189"/>
    </row>
    <row r="114" spans="1:16" ht="21.75" customHeight="1" x14ac:dyDescent="0.35">
      <c r="A114" s="183"/>
      <c r="B114" s="184"/>
      <c r="C114" s="184"/>
      <c r="D114" s="201"/>
      <c r="E114" s="202" t="s">
        <v>54</v>
      </c>
      <c r="F114" s="203"/>
      <c r="G114" s="204"/>
      <c r="H114" s="194"/>
      <c r="I114" s="195"/>
      <c r="J114" s="195">
        <f ca="1">IFERROR(__xludf.DUMMYFUNCTION("IMPORTRANGE(""https://docs.google.com/spreadsheets/d/1IYY_tgx_IHuhSq3AJ5eI5OnqOPBNLWSHKh2a30DoXe8/edit?usp=sharing"",""สงขลา!J49"")"),0)</f>
        <v>0</v>
      </c>
      <c r="K114" s="231"/>
      <c r="L114" s="176"/>
      <c r="M114" s="176"/>
      <c r="N114" s="176"/>
      <c r="O114" s="189"/>
      <c r="P114" s="189"/>
    </row>
    <row r="115" spans="1:16" ht="21.75" customHeight="1" x14ac:dyDescent="0.35">
      <c r="A115" s="183"/>
      <c r="B115" s="184"/>
      <c r="C115" s="184"/>
      <c r="D115" s="213">
        <v>3</v>
      </c>
      <c r="E115" s="214" t="s">
        <v>55</v>
      </c>
      <c r="F115" s="215"/>
      <c r="G115" s="216"/>
      <c r="H115" s="194"/>
      <c r="I115" s="195"/>
      <c r="J115" s="234">
        <f ca="1">IFERROR(__xludf.DUMMYFUNCTION("IMPORTRANGE(""https://docs.google.com/spreadsheets/d/1IYY_tgx_IHuhSq3AJ5eI5OnqOPBNLWSHKh2a30DoXe8/edit?usp=sharing"",""สงขลา!J50"")"),0)</f>
        <v>0</v>
      </c>
      <c r="K115" s="231"/>
      <c r="L115" s="176"/>
      <c r="M115" s="176"/>
      <c r="N115" s="176"/>
      <c r="O115" s="189"/>
      <c r="P115" s="189"/>
    </row>
    <row r="116" spans="1:16" ht="21.75" customHeight="1" x14ac:dyDescent="0.35">
      <c r="A116" s="218" t="s">
        <v>67</v>
      </c>
      <c r="B116" s="235"/>
      <c r="C116" s="236"/>
      <c r="D116" s="235"/>
      <c r="E116" s="237"/>
      <c r="F116" s="237"/>
      <c r="G116" s="238"/>
      <c r="H116" s="223"/>
      <c r="I116" s="224"/>
      <c r="J116" s="224"/>
      <c r="K116" s="225"/>
      <c r="L116" s="226"/>
      <c r="M116" s="226"/>
      <c r="N116" s="226"/>
      <c r="O116" s="227"/>
      <c r="P116" s="227"/>
    </row>
    <row r="117" spans="1:16" ht="21.75" customHeight="1" x14ac:dyDescent="0.35">
      <c r="A117" s="142"/>
      <c r="B117" s="143" t="s">
        <v>68</v>
      </c>
      <c r="C117" s="239"/>
      <c r="D117" s="144"/>
      <c r="E117" s="143"/>
      <c r="F117" s="143"/>
      <c r="G117" s="228"/>
      <c r="H117" s="145" t="s">
        <v>37</v>
      </c>
      <c r="I117" s="146">
        <f ca="1">IFERROR(__xludf.DUMMYFUNCTION("IMPORTRANGE(""https://docs.google.com/spreadsheets/d/1IYY_tgx_IHuhSq3AJ5eI5OnqOPBNLWSHKh2a30DoXe8/edit?usp=sharing"",""สงขลา!I52"")"),15)</f>
        <v>15</v>
      </c>
      <c r="J117" s="146">
        <f ca="1">IFERROR(__xludf.DUMMYFUNCTION("IMPORTRANGE(""https://docs.google.com/spreadsheets/d/1IYY_tgx_IHuhSq3AJ5eI5OnqOPBNLWSHKh2a30DoXe8/edit?usp=sharing"",""สงขลา!J52"")"),15)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52" t="s">
        <v>17</v>
      </c>
      <c r="E118" s="543"/>
      <c r="F118" s="543"/>
      <c r="G118" s="543"/>
      <c r="H118" s="153" t="s">
        <v>12</v>
      </c>
      <c r="I118" s="168"/>
      <c r="J118" s="168"/>
      <c r="K118" s="169"/>
      <c r="L118" s="156">
        <f t="shared" ref="L118:N118" ca="1" si="58">L119+L120</f>
        <v>64890</v>
      </c>
      <c r="M118" s="156">
        <f t="shared" ca="1" si="58"/>
        <v>52890</v>
      </c>
      <c r="N118" s="156">
        <f t="shared" ca="1" si="58"/>
        <v>46950</v>
      </c>
      <c r="O118" s="155">
        <f t="shared" ref="O118:O120" ca="1" si="59">IF(L118&gt;0,N118*100/L118,0)</f>
        <v>72.353213129912163</v>
      </c>
      <c r="P118" s="155">
        <f t="shared" ref="P118:P120" ca="1" si="60">IF(M118&gt;0,N118*100/M118,0)</f>
        <v>88.769143505388541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8"/>
      <c r="J119" s="168"/>
      <c r="K119" s="169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8"/>
      <c r="J120" s="168"/>
      <c r="K120" s="169"/>
      <c r="L120" s="161">
        <f t="shared" ref="L120:N120" ca="1" si="62">L122+L126</f>
        <v>64890</v>
      </c>
      <c r="M120" s="161">
        <f t="shared" ca="1" si="62"/>
        <v>52890</v>
      </c>
      <c r="N120" s="161">
        <f t="shared" ca="1" si="62"/>
        <v>46950</v>
      </c>
      <c r="O120" s="160">
        <f t="shared" ca="1" si="59"/>
        <v>72.353213129912163</v>
      </c>
      <c r="P120" s="160">
        <f t="shared" ca="1" si="60"/>
        <v>88.769143505388541</v>
      </c>
    </row>
    <row r="121" spans="1:16" ht="21.75" customHeight="1" x14ac:dyDescent="0.35">
      <c r="A121" s="162"/>
      <c r="B121" s="163"/>
      <c r="C121" s="163" t="s">
        <v>16</v>
      </c>
      <c r="D121" s="164" t="s">
        <v>38</v>
      </c>
      <c r="E121" s="165"/>
      <c r="F121" s="165"/>
      <c r="G121" s="166" t="s">
        <v>39</v>
      </c>
      <c r="H121" s="167" t="s">
        <v>12</v>
      </c>
      <c r="I121" s="168" t="s">
        <v>40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 x14ac:dyDescent="0.35">
      <c r="A122" s="162"/>
      <c r="B122" s="163"/>
      <c r="C122" s="163"/>
      <c r="D122" s="172"/>
      <c r="E122" s="165"/>
      <c r="F122" s="165" t="s">
        <v>40</v>
      </c>
      <c r="G122" s="166" t="s">
        <v>41</v>
      </c>
      <c r="H122" s="167" t="s">
        <v>12</v>
      </c>
      <c r="I122" s="168"/>
      <c r="J122" s="168"/>
      <c r="K122" s="169"/>
      <c r="L122" s="173">
        <f ca="1">L123+L124</f>
        <v>64890</v>
      </c>
      <c r="M122" s="174">
        <f ca="1">IFERROR(__xludf.DUMMYFUNCTION("IMPORTRANGE(""https://docs.google.com/spreadsheets/d/1Yj_ptqi66GCucihVvJfMjLAmec39IyEx_6qawtMGysU/edit?usp=sharing"",""สบก!BA92"")"),52890)</f>
        <v>52890</v>
      </c>
      <c r="N122" s="175">
        <f ca="1">IFERROR(__xludf.DUMMYFUNCTION("IMPORTRANGE(""https://docs.google.com/spreadsheets/d/1Yj_ptqi66GCucihVvJfMjLAmec39IyEx_6qawtMGysU/edit?usp=sharing"",""สบก!BB92"")"),46950)</f>
        <v>46950</v>
      </c>
      <c r="O122" s="176">
        <f ca="1">IF(L122&gt;0,N122*100/L122,0)</f>
        <v>72.353213129912163</v>
      </c>
      <c r="P122" s="176">
        <f ca="1">IF(M122&gt;0,N122*100/M122,0)</f>
        <v>88.769143505388541</v>
      </c>
    </row>
    <row r="123" spans="1:16" ht="21.75" customHeight="1" x14ac:dyDescent="0.35">
      <c r="A123" s="162"/>
      <c r="B123" s="163"/>
      <c r="C123" s="163"/>
      <c r="D123" s="172"/>
      <c r="E123" s="165"/>
      <c r="F123" s="165"/>
      <c r="G123" s="177" t="s">
        <v>42</v>
      </c>
      <c r="H123" s="167" t="s">
        <v>12</v>
      </c>
      <c r="I123" s="168"/>
      <c r="J123" s="168"/>
      <c r="K123" s="169"/>
      <c r="L123" s="174">
        <f ca="1">IFERROR(__xludf.DUMMYFUNCTION("IMPORTRANGE(""https://docs.google.com/spreadsheets/d/1Yj_ptqi66GCucihVvJfMjLAmec39IyEx_6qawtMGysU/edit?usp=sharing"",""สบก!AW92"")"),0)</f>
        <v>0</v>
      </c>
      <c r="M123" s="173"/>
      <c r="N123" s="173"/>
      <c r="O123" s="176"/>
      <c r="P123" s="176"/>
    </row>
    <row r="124" spans="1:16" ht="21.75" customHeight="1" x14ac:dyDescent="0.35">
      <c r="A124" s="162"/>
      <c r="B124" s="163"/>
      <c r="C124" s="163"/>
      <c r="D124" s="172"/>
      <c r="E124" s="165"/>
      <c r="F124" s="165"/>
      <c r="G124" s="177" t="s">
        <v>43</v>
      </c>
      <c r="H124" s="167" t="s">
        <v>12</v>
      </c>
      <c r="I124" s="168"/>
      <c r="J124" s="195"/>
      <c r="K124" s="231"/>
      <c r="L124" s="174">
        <f ca="1">IFERROR(__xludf.DUMMYFUNCTION("IMPORTRANGE(""https://docs.google.com/spreadsheets/d/1Yj_ptqi66GCucihVvJfMjLAmec39IyEx_6qawtMGysU/edit?usp=sharing"",""สบก!AX92"")"),64890)</f>
        <v>64890</v>
      </c>
      <c r="M124" s="173"/>
      <c r="N124" s="173"/>
      <c r="O124" s="176"/>
      <c r="P124" s="176"/>
    </row>
    <row r="125" spans="1:16" ht="21.75" customHeight="1" x14ac:dyDescent="0.45">
      <c r="A125" s="178"/>
      <c r="B125" s="81"/>
      <c r="C125" s="82" t="s">
        <v>16</v>
      </c>
      <c r="D125" s="549" t="s">
        <v>23</v>
      </c>
      <c r="E125" s="545"/>
      <c r="F125" s="89"/>
      <c r="G125" s="83" t="s">
        <v>18</v>
      </c>
      <c r="H125" s="179" t="s">
        <v>12</v>
      </c>
      <c r="I125" s="195"/>
      <c r="J125" s="195"/>
      <c r="K125" s="231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80"/>
      <c r="B126" s="95"/>
      <c r="C126" s="95"/>
      <c r="D126" s="181"/>
      <c r="E126" s="96"/>
      <c r="F126" s="96"/>
      <c r="G126" s="97" t="s">
        <v>19</v>
      </c>
      <c r="H126" s="182" t="s">
        <v>12</v>
      </c>
      <c r="I126" s="195"/>
      <c r="J126" s="195"/>
      <c r="K126" s="231"/>
      <c r="L126" s="91">
        <f ca="1">IFERROR(__xludf.DUMMYFUNCTION("IMPORTRANGE(""https://docs.google.com/spreadsheets/d/1Yj_ptqi66GCucihVvJfMjLAmec39IyEx_6qawtMGysU/edit?usp=sharing"",""สบก!AY92"")"),0)</f>
        <v>0</v>
      </c>
      <c r="M126" s="101"/>
      <c r="N126" s="91">
        <f ca="1">IFERROR(__xludf.DUMMYFUNCTION("IMPORTRANGE(""https://docs.google.com/spreadsheets/d/1Yj_ptqi66GCucihVvJfMjLAmec39IyEx_6qawtMGysU/edit?usp=sharing"",""สบก!BC92"")"),0)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3"/>
      <c r="B127" s="184"/>
      <c r="C127" s="163" t="s">
        <v>16</v>
      </c>
      <c r="D127" s="240" t="s">
        <v>263</v>
      </c>
      <c r="E127" s="186"/>
      <c r="F127" s="186"/>
      <c r="G127" s="187"/>
      <c r="H127" s="188"/>
      <c r="I127" s="168"/>
      <c r="J127" s="195"/>
      <c r="K127" s="231"/>
      <c r="L127" s="176"/>
      <c r="M127" s="176"/>
      <c r="N127" s="176"/>
      <c r="O127" s="189"/>
      <c r="P127" s="189"/>
    </row>
    <row r="128" spans="1:16" ht="21.75" customHeight="1" x14ac:dyDescent="0.35">
      <c r="A128" s="183"/>
      <c r="B128" s="184"/>
      <c r="C128" s="184"/>
      <c r="D128" s="190">
        <v>1</v>
      </c>
      <c r="E128" s="191" t="s">
        <v>45</v>
      </c>
      <c r="F128" s="192"/>
      <c r="G128" s="193"/>
      <c r="H128" s="194"/>
      <c r="I128" s="195"/>
      <c r="J128" s="211">
        <f ca="1">IFERROR(__xludf.DUMMYFUNCTION("IMPORTRANGE(""https://docs.google.com/spreadsheets/d/1IYY_tgx_IHuhSq3AJ5eI5OnqOPBNLWSHKh2a30DoXe8/edit?usp=sharing"",""สงขลา!J58"")"),0)</f>
        <v>0</v>
      </c>
      <c r="K128" s="231"/>
      <c r="L128" s="176"/>
      <c r="M128" s="176"/>
      <c r="N128" s="176"/>
      <c r="O128" s="189"/>
      <c r="P128" s="189"/>
    </row>
    <row r="129" spans="1:16" ht="21.75" customHeight="1" x14ac:dyDescent="0.35">
      <c r="A129" s="183"/>
      <c r="B129" s="184"/>
      <c r="C129" s="184"/>
      <c r="D129" s="197">
        <v>2</v>
      </c>
      <c r="E129" s="198" t="s">
        <v>46</v>
      </c>
      <c r="F129" s="199"/>
      <c r="G129" s="200"/>
      <c r="H129" s="194"/>
      <c r="I129" s="195"/>
      <c r="J129" s="195">
        <f ca="1">IFERROR(__xludf.DUMMYFUNCTION("IMPORTRANGE(""https://docs.google.com/spreadsheets/d/1IYY_tgx_IHuhSq3AJ5eI5OnqOPBNLWSHKh2a30DoXe8/edit?usp=sharing"",""สงขลา!J59"")"),1)</f>
        <v>1</v>
      </c>
      <c r="K129" s="231"/>
      <c r="L129" s="176" t="s">
        <v>40</v>
      </c>
      <c r="M129" s="176"/>
      <c r="N129" s="176" t="s">
        <v>40</v>
      </c>
      <c r="O129" s="189"/>
      <c r="P129" s="189"/>
    </row>
    <row r="130" spans="1:16" ht="21.75" customHeight="1" x14ac:dyDescent="0.35">
      <c r="A130" s="183"/>
      <c r="B130" s="184"/>
      <c r="C130" s="184"/>
      <c r="D130" s="201"/>
      <c r="E130" s="202" t="s">
        <v>47</v>
      </c>
      <c r="F130" s="203"/>
      <c r="G130" s="204"/>
      <c r="H130" s="194"/>
      <c r="I130" s="195"/>
      <c r="J130" s="195">
        <f ca="1">IFERROR(__xludf.DUMMYFUNCTION("IMPORTRANGE(""https://docs.google.com/spreadsheets/d/1IYY_tgx_IHuhSq3AJ5eI5OnqOPBNLWSHKh2a30DoXe8/edit?usp=sharing"",""สงขลา!J60"")"),1)</f>
        <v>1</v>
      </c>
      <c r="K130" s="231"/>
      <c r="L130" s="176"/>
      <c r="M130" s="176"/>
      <c r="N130" s="176"/>
      <c r="O130" s="189"/>
      <c r="P130" s="189"/>
    </row>
    <row r="131" spans="1:16" ht="21.75" customHeight="1" x14ac:dyDescent="0.35">
      <c r="A131" s="183"/>
      <c r="B131" s="184"/>
      <c r="C131" s="184"/>
      <c r="D131" s="201"/>
      <c r="E131" s="202" t="s">
        <v>48</v>
      </c>
      <c r="F131" s="203"/>
      <c r="G131" s="204"/>
      <c r="H131" s="194"/>
      <c r="I131" s="195"/>
      <c r="J131" s="195">
        <f ca="1">IFERROR(__xludf.DUMMYFUNCTION("IMPORTRANGE(""https://docs.google.com/spreadsheets/d/1IYY_tgx_IHuhSq3AJ5eI5OnqOPBNLWSHKh2a30DoXe8/edit?usp=sharing"",""สงขลา!J61"")"),1)</f>
        <v>1</v>
      </c>
      <c r="K131" s="231"/>
      <c r="L131" s="176"/>
      <c r="M131" s="176"/>
      <c r="N131" s="176"/>
      <c r="O131" s="189"/>
      <c r="P131" s="189"/>
    </row>
    <row r="132" spans="1:16" ht="21.75" customHeight="1" x14ac:dyDescent="0.35">
      <c r="A132" s="183"/>
      <c r="B132" s="184"/>
      <c r="C132" s="184"/>
      <c r="D132" s="201"/>
      <c r="E132" s="206"/>
      <c r="F132" s="202" t="s">
        <v>70</v>
      </c>
      <c r="G132" s="204"/>
      <c r="H132" s="188" t="s">
        <v>37</v>
      </c>
      <c r="I132" s="195">
        <f ca="1">IFERROR(__xludf.DUMMYFUNCTION("IMPORTRANGE(""https://docs.google.com/spreadsheets/d/1IYY_tgx_IHuhSq3AJ5eI5OnqOPBNLWSHKh2a30DoXe8/edit?usp=sharing"",""สงขลา!I62"")"),15)</f>
        <v>15</v>
      </c>
      <c r="J132" s="211">
        <f ca="1">IFERROR(__xludf.DUMMYFUNCTION("IMPORTRANGE(""https://docs.google.com/spreadsheets/d/1IYY_tgx_IHuhSq3AJ5eI5OnqOPBNLWSHKh2a30DoXe8/edit?usp=sharing"",""สงขลา!J62"")"),15)</f>
        <v>15</v>
      </c>
      <c r="K132" s="231">
        <f t="shared" ref="K132:K133" ca="1" si="63">IF(I132&gt;0,J132*100/I132,0)</f>
        <v>100</v>
      </c>
      <c r="L132" s="176"/>
      <c r="M132" s="176"/>
      <c r="N132" s="176"/>
      <c r="O132" s="189"/>
      <c r="P132" s="189"/>
    </row>
    <row r="133" spans="1:16" ht="21.75" customHeight="1" x14ac:dyDescent="0.35">
      <c r="A133" s="183"/>
      <c r="B133" s="184"/>
      <c r="C133" s="184"/>
      <c r="D133" s="201"/>
      <c r="E133" s="206"/>
      <c r="F133" s="202" t="s">
        <v>71</v>
      </c>
      <c r="G133" s="204"/>
      <c r="H133" s="188" t="s">
        <v>37</v>
      </c>
      <c r="I133" s="195">
        <f ca="1">IFERROR(__xludf.DUMMYFUNCTION("IMPORTRANGE(""https://docs.google.com/spreadsheets/d/1IYY_tgx_IHuhSq3AJ5eI5OnqOPBNLWSHKh2a30DoXe8/edit?usp=sharing"",""สงขลา!I63"")"),15)</f>
        <v>15</v>
      </c>
      <c r="J133" s="211">
        <f ca="1">IFERROR(__xludf.DUMMYFUNCTION("IMPORTRANGE(""https://docs.google.com/spreadsheets/d/1IYY_tgx_IHuhSq3AJ5eI5OnqOPBNLWSHKh2a30DoXe8/edit?usp=sharing"",""สงขลา!J63"")"),0)</f>
        <v>0</v>
      </c>
      <c r="K133" s="231">
        <f t="shared" ca="1" si="63"/>
        <v>0</v>
      </c>
      <c r="L133" s="176"/>
      <c r="M133" s="176"/>
      <c r="N133" s="176"/>
      <c r="O133" s="189"/>
      <c r="P133" s="189"/>
    </row>
    <row r="134" spans="1:16" ht="21.75" customHeight="1" x14ac:dyDescent="0.35">
      <c r="A134" s="183"/>
      <c r="B134" s="184"/>
      <c r="C134" s="184"/>
      <c r="D134" s="201"/>
      <c r="E134" s="202" t="s">
        <v>54</v>
      </c>
      <c r="F134" s="203"/>
      <c r="G134" s="204"/>
      <c r="H134" s="194"/>
      <c r="I134" s="195"/>
      <c r="J134" s="195">
        <f ca="1">IFERROR(__xludf.DUMMYFUNCTION("IMPORTRANGE(""https://docs.google.com/spreadsheets/d/1IYY_tgx_IHuhSq3AJ5eI5OnqOPBNLWSHKh2a30DoXe8/edit?usp=sharing"",""สงขลา!J64"")"),0)</f>
        <v>0</v>
      </c>
      <c r="K134" s="231"/>
      <c r="L134" s="176"/>
      <c r="M134" s="176"/>
      <c r="N134" s="176"/>
      <c r="O134" s="189"/>
      <c r="P134" s="189"/>
    </row>
    <row r="135" spans="1:16" ht="21.75" customHeight="1" x14ac:dyDescent="0.35">
      <c r="A135" s="241"/>
      <c r="B135" s="242"/>
      <c r="C135" s="242"/>
      <c r="D135" s="243">
        <v>3</v>
      </c>
      <c r="E135" s="244" t="s">
        <v>55</v>
      </c>
      <c r="F135" s="245"/>
      <c r="G135" s="246"/>
      <c r="H135" s="247"/>
      <c r="I135" s="248"/>
      <c r="J135" s="249">
        <f ca="1">IFERROR(__xludf.DUMMYFUNCTION("IMPORTRANGE(""https://docs.google.com/spreadsheets/d/1IYY_tgx_IHuhSq3AJ5eI5OnqOPBNLWSHKh2a30DoXe8/edit?usp=sharing"",""สงขลา!J65"")"),0)</f>
        <v>0</v>
      </c>
      <c r="K135" s="250"/>
      <c r="L135" s="251"/>
      <c r="M135" s="251"/>
      <c r="N135" s="251"/>
      <c r="O135" s="252"/>
      <c r="P135" s="252"/>
    </row>
    <row r="136" spans="1:16" ht="21.75" customHeight="1" x14ac:dyDescent="0.35">
      <c r="A136" s="253" t="s">
        <v>72</v>
      </c>
      <c r="B136" s="254"/>
      <c r="C136" s="254"/>
      <c r="D136" s="254"/>
      <c r="E136" s="255"/>
      <c r="F136" s="255"/>
      <c r="G136" s="256"/>
      <c r="H136" s="257"/>
      <c r="I136" s="258"/>
      <c r="J136" s="258"/>
      <c r="K136" s="259"/>
      <c r="L136" s="260"/>
      <c r="M136" s="260"/>
      <c r="N136" s="260"/>
      <c r="O136" s="260"/>
      <c r="P136" s="260"/>
    </row>
    <row r="137" spans="1:16" ht="21.75" customHeight="1" x14ac:dyDescent="0.35">
      <c r="A137" s="261" t="s">
        <v>73</v>
      </c>
      <c r="B137" s="262"/>
      <c r="C137" s="262"/>
      <c r="D137" s="263"/>
      <c r="E137" s="263"/>
      <c r="F137" s="263"/>
      <c r="G137" s="264"/>
      <c r="H137" s="265"/>
      <c r="I137" s="266"/>
      <c r="J137" s="266"/>
      <c r="K137" s="267"/>
      <c r="L137" s="267"/>
      <c r="M137" s="267"/>
      <c r="N137" s="267"/>
      <c r="O137" s="268"/>
      <c r="P137" s="268"/>
    </row>
    <row r="138" spans="1:16" ht="21.75" customHeight="1" x14ac:dyDescent="0.35">
      <c r="A138" s="269"/>
      <c r="B138" s="270" t="s">
        <v>74</v>
      </c>
      <c r="C138" s="271"/>
      <c r="D138" s="270"/>
      <c r="E138" s="270"/>
      <c r="F138" s="270"/>
      <c r="G138" s="272"/>
      <c r="H138" s="273" t="s">
        <v>37</v>
      </c>
      <c r="I138" s="274">
        <f ca="1">IFERROR(__xludf.DUMMYFUNCTION("IMPORTRANGE(""https://docs.google.com/spreadsheets/d/1IYY_tgx_IHuhSq3AJ5eI5OnqOPBNLWSHKh2a30DoXe8/edit?usp=sharing"",""สงขลา!I68"")"),0)</f>
        <v>0</v>
      </c>
      <c r="J138" s="274">
        <f ca="1">IFERROR(__xludf.DUMMYFUNCTION("IMPORTRANGE(""https://docs.google.com/spreadsheets/d/1IYY_tgx_IHuhSq3AJ5eI5OnqOPBNLWSHKh2a30DoXe8/edit?usp=sharing"",""สงขลา!J68"")"),0)</f>
        <v>0</v>
      </c>
      <c r="K138" s="275">
        <f ca="1">IF(I138&gt;0,J138*100/I138,0)</f>
        <v>0</v>
      </c>
      <c r="L138" s="276"/>
      <c r="M138" s="276"/>
      <c r="N138" s="276"/>
      <c r="O138" s="275"/>
      <c r="P138" s="275"/>
    </row>
    <row r="139" spans="1:16" ht="21.75" customHeight="1" x14ac:dyDescent="0.35">
      <c r="A139" s="269"/>
      <c r="B139" s="270" t="s">
        <v>75</v>
      </c>
      <c r="C139" s="271"/>
      <c r="D139" s="270"/>
      <c r="E139" s="270"/>
      <c r="F139" s="270"/>
      <c r="G139" s="272"/>
      <c r="H139" s="273"/>
      <c r="I139" s="274"/>
      <c r="J139" s="274"/>
      <c r="K139" s="275"/>
      <c r="L139" s="276"/>
      <c r="M139" s="276"/>
      <c r="N139" s="276"/>
      <c r="O139" s="275"/>
      <c r="P139" s="275"/>
    </row>
    <row r="140" spans="1:16" ht="21.75" customHeight="1" x14ac:dyDescent="0.45">
      <c r="A140" s="150"/>
      <c r="B140" s="151"/>
      <c r="C140" s="152" t="s">
        <v>16</v>
      </c>
      <c r="D140" s="552" t="s">
        <v>17</v>
      </c>
      <c r="E140" s="543"/>
      <c r="F140" s="543"/>
      <c r="G140" s="543"/>
      <c r="H140" s="153" t="s">
        <v>12</v>
      </c>
      <c r="I140" s="168"/>
      <c r="J140" s="168"/>
      <c r="K140" s="169"/>
      <c r="L140" s="156">
        <f t="shared" ref="L140:N140" ca="1" si="64">L141+L142</f>
        <v>204900</v>
      </c>
      <c r="M140" s="156">
        <f t="shared" ca="1" si="64"/>
        <v>165750</v>
      </c>
      <c r="N140" s="156">
        <f t="shared" ca="1" si="64"/>
        <v>132580</v>
      </c>
      <c r="O140" s="155">
        <f t="shared" ref="O140:O142" ca="1" si="65">IF(L140&gt;0,N140*100/L140,0)</f>
        <v>64.704734016593463</v>
      </c>
      <c r="P140" s="155">
        <f t="shared" ref="P140:P142" ca="1" si="66">IF(M140&gt;0,N140*100/M140,0)</f>
        <v>79.987933634992459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8"/>
      <c r="J141" s="168"/>
      <c r="K141" s="169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8"/>
      <c r="J142" s="168"/>
      <c r="K142" s="169"/>
      <c r="L142" s="161">
        <f t="shared" ref="L142:N142" ca="1" si="68">L144+L148</f>
        <v>204900</v>
      </c>
      <c r="M142" s="161">
        <f t="shared" ca="1" si="68"/>
        <v>165750</v>
      </c>
      <c r="N142" s="161">
        <f t="shared" ca="1" si="68"/>
        <v>132580</v>
      </c>
      <c r="O142" s="160">
        <f t="shared" ca="1" si="65"/>
        <v>64.704734016593463</v>
      </c>
      <c r="P142" s="160">
        <f t="shared" ca="1" si="66"/>
        <v>79.987933634992459</v>
      </c>
    </row>
    <row r="143" spans="1:16" ht="21.75" customHeight="1" x14ac:dyDescent="0.35">
      <c r="A143" s="162"/>
      <c r="B143" s="163"/>
      <c r="C143" s="163" t="s">
        <v>16</v>
      </c>
      <c r="D143" s="164" t="s">
        <v>38</v>
      </c>
      <c r="E143" s="165"/>
      <c r="F143" s="165"/>
      <c r="G143" s="166" t="s">
        <v>39</v>
      </c>
      <c r="H143" s="167" t="s">
        <v>12</v>
      </c>
      <c r="I143" s="168" t="s">
        <v>40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 x14ac:dyDescent="0.35">
      <c r="A144" s="162"/>
      <c r="B144" s="163"/>
      <c r="C144" s="163"/>
      <c r="D144" s="172"/>
      <c r="E144" s="165"/>
      <c r="F144" s="165" t="s">
        <v>40</v>
      </c>
      <c r="G144" s="166" t="s">
        <v>41</v>
      </c>
      <c r="H144" s="167" t="s">
        <v>12</v>
      </c>
      <c r="I144" s="168"/>
      <c r="J144" s="168"/>
      <c r="K144" s="169"/>
      <c r="L144" s="173">
        <f ca="1">L145+L146</f>
        <v>204900</v>
      </c>
      <c r="M144" s="174">
        <f ca="1">IFERROR(__xludf.DUMMYFUNCTION("IMPORTRANGE(""https://docs.google.com/spreadsheets/d/1Yj_ptqi66GCucihVvJfMjLAmec39IyEx_6qawtMGysU/edit?usp=sharing"",""สบก!BJ92"")"),165750)</f>
        <v>165750</v>
      </c>
      <c r="N144" s="175">
        <f ca="1">IFERROR(__xludf.DUMMYFUNCTION("IMPORTRANGE(""https://docs.google.com/spreadsheets/d/1Yj_ptqi66GCucihVvJfMjLAmec39IyEx_6qawtMGysU/edit?usp=sharing"",""สบก!BK92"")"),132580)</f>
        <v>132580</v>
      </c>
      <c r="O144" s="176">
        <f ca="1">IF(L144&gt;0,N144*100/L144,0)</f>
        <v>64.704734016593463</v>
      </c>
      <c r="P144" s="176">
        <f ca="1">IF(M144&gt;0,N144*100/M144,0)</f>
        <v>79.987933634992459</v>
      </c>
    </row>
    <row r="145" spans="1:16" ht="21.75" customHeight="1" x14ac:dyDescent="0.35">
      <c r="A145" s="162"/>
      <c r="B145" s="163"/>
      <c r="C145" s="163"/>
      <c r="D145" s="172"/>
      <c r="E145" s="165"/>
      <c r="F145" s="165"/>
      <c r="G145" s="177" t="s">
        <v>42</v>
      </c>
      <c r="H145" s="167" t="s">
        <v>12</v>
      </c>
      <c r="I145" s="168"/>
      <c r="J145" s="168"/>
      <c r="K145" s="169"/>
      <c r="L145" s="174">
        <f ca="1">IFERROR(__xludf.DUMMYFUNCTION("IMPORTRANGE(""https://docs.google.com/spreadsheets/d/1Yj_ptqi66GCucihVvJfMjLAmec39IyEx_6qawtMGysU/edit?usp=sharing"",""สบก!BF92"")"),0)</f>
        <v>0</v>
      </c>
      <c r="M145" s="173"/>
      <c r="N145" s="173"/>
      <c r="O145" s="176"/>
      <c r="P145" s="176"/>
    </row>
    <row r="146" spans="1:16" ht="21.75" customHeight="1" x14ac:dyDescent="0.35">
      <c r="A146" s="162"/>
      <c r="B146" s="163"/>
      <c r="C146" s="163"/>
      <c r="D146" s="172"/>
      <c r="E146" s="165"/>
      <c r="F146" s="165"/>
      <c r="G146" s="177" t="s">
        <v>43</v>
      </c>
      <c r="H146" s="167" t="s">
        <v>12</v>
      </c>
      <c r="I146" s="168"/>
      <c r="J146" s="168"/>
      <c r="K146" s="169"/>
      <c r="L146" s="174">
        <f ca="1">IFERROR(__xludf.DUMMYFUNCTION("IMPORTRANGE(""https://docs.google.com/spreadsheets/d/1Yj_ptqi66GCucihVvJfMjLAmec39IyEx_6qawtMGysU/edit?usp=sharing"",""สบก!BG92"")"),204900)</f>
        <v>204900</v>
      </c>
      <c r="M146" s="173"/>
      <c r="N146" s="173"/>
      <c r="O146" s="176"/>
      <c r="P146" s="176"/>
    </row>
    <row r="147" spans="1:16" ht="21.75" customHeight="1" x14ac:dyDescent="0.45">
      <c r="A147" s="178"/>
      <c r="B147" s="81"/>
      <c r="C147" s="82" t="s">
        <v>16</v>
      </c>
      <c r="D147" s="549" t="s">
        <v>23</v>
      </c>
      <c r="E147" s="545"/>
      <c r="F147" s="89"/>
      <c r="G147" s="83" t="s">
        <v>18</v>
      </c>
      <c r="H147" s="179" t="s">
        <v>12</v>
      </c>
      <c r="I147" s="195"/>
      <c r="J147" s="195"/>
      <c r="K147" s="231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80"/>
      <c r="B148" s="95"/>
      <c r="C148" s="95"/>
      <c r="D148" s="181"/>
      <c r="E148" s="96"/>
      <c r="F148" s="96"/>
      <c r="G148" s="97" t="s">
        <v>19</v>
      </c>
      <c r="H148" s="182" t="s">
        <v>12</v>
      </c>
      <c r="I148" s="195"/>
      <c r="J148" s="195"/>
      <c r="K148" s="231"/>
      <c r="L148" s="91">
        <f ca="1">IFERROR(__xludf.DUMMYFUNCTION("IMPORTRANGE(""https://docs.google.com/spreadsheets/d/1Yj_ptqi66GCucihVvJfMjLAmec39IyEx_6qawtMGysU/edit?usp=sharing"",""สบก!BH92"")"),0)</f>
        <v>0</v>
      </c>
      <c r="M148" s="101"/>
      <c r="N148" s="91">
        <f ca="1">IFERROR(__xludf.DUMMYFUNCTION("IMPORTRANGE(""https://docs.google.com/spreadsheets/d/1Yj_ptqi66GCucihVvJfMjLAmec39IyEx_6qawtMGysU/edit?usp=sharing"",""สบก!BL92"")"),0)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7"/>
      <c r="B149" s="278"/>
      <c r="C149" s="279" t="s">
        <v>76</v>
      </c>
      <c r="D149" s="279"/>
      <c r="E149" s="279"/>
      <c r="F149" s="279"/>
      <c r="G149" s="280"/>
      <c r="H149" s="281" t="s">
        <v>77</v>
      </c>
      <c r="I149" s="282">
        <f ca="1">IFERROR(__xludf.DUMMYFUNCTION("IMPORTRANGE(""https://docs.google.com/spreadsheets/d/1IYY_tgx_IHuhSq3AJ5eI5OnqOPBNLWSHKh2a30DoXe8/edit?usp=sharing"",""สงขลา!I74"")"),4)</f>
        <v>4</v>
      </c>
      <c r="J149" s="282">
        <f ca="1">IFERROR(__xludf.DUMMYFUNCTION("IMPORTRANGE(""https://docs.google.com/spreadsheets/d/1IYY_tgx_IHuhSq3AJ5eI5OnqOPBNLWSHKh2a30DoXe8/edit?usp=sharing"",""สงขลา!J74"")"),1)</f>
        <v>1</v>
      </c>
      <c r="K149" s="283">
        <f ca="1">IF(I149&gt;0,J149*100/I149,0)</f>
        <v>25</v>
      </c>
      <c r="L149" s="284"/>
      <c r="M149" s="284"/>
      <c r="N149" s="284"/>
      <c r="O149" s="284"/>
      <c r="P149" s="284"/>
    </row>
    <row r="150" spans="1:16" ht="21.75" customHeight="1" x14ac:dyDescent="0.35">
      <c r="A150" s="162"/>
      <c r="B150" s="163"/>
      <c r="C150" s="163" t="s">
        <v>16</v>
      </c>
      <c r="D150" s="164" t="s">
        <v>38</v>
      </c>
      <c r="E150" s="165"/>
      <c r="F150" s="165"/>
      <c r="G150" s="166" t="s">
        <v>39</v>
      </c>
      <c r="H150" s="167" t="s">
        <v>12</v>
      </c>
      <c r="I150" s="168" t="s">
        <v>40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 x14ac:dyDescent="0.35">
      <c r="A151" s="162"/>
      <c r="B151" s="163"/>
      <c r="C151" s="163"/>
      <c r="D151" s="172"/>
      <c r="E151" s="165"/>
      <c r="F151" s="165" t="s">
        <v>40</v>
      </c>
      <c r="G151" s="166" t="s">
        <v>41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 x14ac:dyDescent="0.35">
      <c r="A152" s="162"/>
      <c r="B152" s="163"/>
      <c r="C152" s="163"/>
      <c r="D152" s="172"/>
      <c r="E152" s="165"/>
      <c r="F152" s="165"/>
      <c r="G152" s="177" t="s">
        <v>43</v>
      </c>
      <c r="H152" s="167" t="s">
        <v>12</v>
      </c>
      <c r="I152" s="168"/>
      <c r="J152" s="168"/>
      <c r="K152" s="169"/>
      <c r="L152" s="176"/>
      <c r="M152" s="176"/>
      <c r="N152" s="173"/>
      <c r="O152" s="176"/>
      <c r="P152" s="176"/>
    </row>
    <row r="153" spans="1:16" ht="21.75" customHeight="1" x14ac:dyDescent="0.35">
      <c r="A153" s="183"/>
      <c r="B153" s="184"/>
      <c r="C153" s="163" t="s">
        <v>16</v>
      </c>
      <c r="D153" s="185" t="s">
        <v>44</v>
      </c>
      <c r="E153" s="186"/>
      <c r="F153" s="186"/>
      <c r="G153" s="187"/>
      <c r="H153" s="188"/>
      <c r="I153" s="168"/>
      <c r="J153" s="168"/>
      <c r="K153" s="169"/>
      <c r="L153" s="189"/>
      <c r="M153" s="189"/>
      <c r="N153" s="189"/>
      <c r="O153" s="189"/>
      <c r="P153" s="189"/>
    </row>
    <row r="154" spans="1:16" ht="21.75" customHeight="1" x14ac:dyDescent="0.35">
      <c r="A154" s="183"/>
      <c r="B154" s="184"/>
      <c r="C154" s="184"/>
      <c r="D154" s="190">
        <v>1</v>
      </c>
      <c r="E154" s="191" t="s">
        <v>45</v>
      </c>
      <c r="F154" s="192"/>
      <c r="G154" s="193"/>
      <c r="H154" s="194"/>
      <c r="I154" s="195"/>
      <c r="J154" s="196">
        <f ca="1">IFERROR(__xludf.DUMMYFUNCTION("IMPORTRANGE(""https://docs.google.com/spreadsheets/d/1IYY_tgx_IHuhSq3AJ5eI5OnqOPBNLWSHKh2a30DoXe8/edit?usp=sharing"",""สงขลา!J79"")"),0)</f>
        <v>0</v>
      </c>
      <c r="K154" s="169"/>
      <c r="L154" s="189"/>
      <c r="M154" s="189"/>
      <c r="N154" s="189"/>
      <c r="O154" s="189"/>
      <c r="P154" s="189"/>
    </row>
    <row r="155" spans="1:16" ht="21.75" customHeight="1" x14ac:dyDescent="0.35">
      <c r="A155" s="183"/>
      <c r="B155" s="184"/>
      <c r="C155" s="184"/>
      <c r="D155" s="197">
        <v>2</v>
      </c>
      <c r="E155" s="198" t="s">
        <v>46</v>
      </c>
      <c r="F155" s="199"/>
      <c r="G155" s="200"/>
      <c r="H155" s="194"/>
      <c r="I155" s="195"/>
      <c r="J155" s="205">
        <f ca="1">IFERROR(__xludf.DUMMYFUNCTION("IMPORTRANGE(""https://docs.google.com/spreadsheets/d/1IYY_tgx_IHuhSq3AJ5eI5OnqOPBNLWSHKh2a30DoXe8/edit?usp=sharing"",""สงขลา!J80"")"),1)</f>
        <v>1</v>
      </c>
      <c r="K155" s="169"/>
      <c r="L155" s="189"/>
      <c r="M155" s="189"/>
      <c r="N155" s="189"/>
      <c r="O155" s="189"/>
      <c r="P155" s="189"/>
    </row>
    <row r="156" spans="1:16" ht="21.75" customHeight="1" x14ac:dyDescent="0.35">
      <c r="A156" s="183"/>
      <c r="B156" s="184"/>
      <c r="C156" s="184"/>
      <c r="D156" s="201"/>
      <c r="E156" s="202" t="s">
        <v>47</v>
      </c>
      <c r="F156" s="203"/>
      <c r="G156" s="204"/>
      <c r="H156" s="194"/>
      <c r="I156" s="195"/>
      <c r="J156" s="205">
        <f ca="1">IFERROR(__xludf.DUMMYFUNCTION("IMPORTRANGE(""https://docs.google.com/spreadsheets/d/1IYY_tgx_IHuhSq3AJ5eI5OnqOPBNLWSHKh2a30DoXe8/edit?usp=sharing"",""สงขลา!J81"")"),1)</f>
        <v>1</v>
      </c>
      <c r="K156" s="169"/>
      <c r="L156" s="189"/>
      <c r="M156" s="189"/>
      <c r="N156" s="189"/>
      <c r="O156" s="189"/>
      <c r="P156" s="189"/>
    </row>
    <row r="157" spans="1:16" ht="21.75" customHeight="1" x14ac:dyDescent="0.35">
      <c r="A157" s="183"/>
      <c r="B157" s="184"/>
      <c r="C157" s="184"/>
      <c r="D157" s="201"/>
      <c r="E157" s="202" t="s">
        <v>48</v>
      </c>
      <c r="F157" s="203"/>
      <c r="G157" s="204"/>
      <c r="H157" s="194"/>
      <c r="I157" s="195"/>
      <c r="J157" s="205">
        <f ca="1">IFERROR(__xludf.DUMMYFUNCTION("IMPORTRANGE(""https://docs.google.com/spreadsheets/d/1IYY_tgx_IHuhSq3AJ5eI5OnqOPBNLWSHKh2a30DoXe8/edit?usp=sharing"",""สงขลา!J82"")"),1)</f>
        <v>1</v>
      </c>
      <c r="K157" s="169"/>
      <c r="L157" s="189"/>
      <c r="M157" s="189"/>
      <c r="N157" s="189"/>
      <c r="O157" s="189"/>
      <c r="P157" s="189"/>
    </row>
    <row r="158" spans="1:16" ht="21.75" customHeight="1" x14ac:dyDescent="0.35">
      <c r="A158" s="183"/>
      <c r="B158" s="184"/>
      <c r="C158" s="184"/>
      <c r="D158" s="201"/>
      <c r="E158" s="206"/>
      <c r="F158" s="202" t="s">
        <v>78</v>
      </c>
      <c r="G158" s="204"/>
      <c r="H158" s="188" t="s">
        <v>77</v>
      </c>
      <c r="I158" s="195">
        <f ca="1">IFERROR(__xludf.DUMMYFUNCTION("IMPORTRANGE(""https://docs.google.com/spreadsheets/d/1IYY_tgx_IHuhSq3AJ5eI5OnqOPBNLWSHKh2a30DoXe8/edit?usp=sharing"",""สงขลา!I83"")"),4)</f>
        <v>4</v>
      </c>
      <c r="J158" s="196">
        <f ca="1">IFERROR(__xludf.DUMMYFUNCTION("IMPORTRANGE(""https://docs.google.com/spreadsheets/d/1IYY_tgx_IHuhSq3AJ5eI5OnqOPBNLWSHKh2a30DoXe8/edit?usp=sharing"",""สงขลา!J83"")"),1)</f>
        <v>1</v>
      </c>
      <c r="K158" s="169">
        <f ca="1">IF(I158&gt;0,J158*100/I158,0)</f>
        <v>25</v>
      </c>
      <c r="L158" s="189"/>
      <c r="M158" s="189"/>
      <c r="N158" s="189"/>
      <c r="O158" s="189"/>
      <c r="P158" s="189"/>
    </row>
    <row r="159" spans="1:16" ht="21.75" customHeight="1" x14ac:dyDescent="0.35">
      <c r="A159" s="183"/>
      <c r="B159" s="184"/>
      <c r="C159" s="184"/>
      <c r="D159" s="201"/>
      <c r="E159" s="203"/>
      <c r="F159" s="285" t="s">
        <v>79</v>
      </c>
      <c r="G159" s="204"/>
      <c r="H159" s="286" t="s">
        <v>37</v>
      </c>
      <c r="I159" s="195"/>
      <c r="J159" s="211">
        <f ca="1">IFERROR(__xludf.DUMMYFUNCTION("IMPORTRANGE(""https://docs.google.com/spreadsheets/d/1IYY_tgx_IHuhSq3AJ5eI5OnqOPBNLWSHKh2a30DoXe8/edit?usp=sharing"",""สงขลา!J84"")"),34)</f>
        <v>34</v>
      </c>
      <c r="K159" s="169"/>
      <c r="L159" s="189"/>
      <c r="M159" s="189"/>
      <c r="N159" s="189"/>
      <c r="O159" s="189"/>
      <c r="P159" s="189"/>
    </row>
    <row r="160" spans="1:16" ht="21.75" customHeight="1" x14ac:dyDescent="0.45">
      <c r="A160" s="183"/>
      <c r="B160" s="184"/>
      <c r="C160" s="184"/>
      <c r="D160" s="201"/>
      <c r="E160" s="203"/>
      <c r="F160" s="203"/>
      <c r="G160" s="287" t="s">
        <v>80</v>
      </c>
      <c r="H160" s="286" t="s">
        <v>37</v>
      </c>
      <c r="I160" s="195"/>
      <c r="J160" s="288">
        <f ca="1">IFERROR(__xludf.DUMMYFUNCTION("IMPORTRANGE(""https://docs.google.com/spreadsheets/d/1IYY_tgx_IHuhSq3AJ5eI5OnqOPBNLWSHKh2a30DoXe8/edit?usp=sharing"",""สงขลา!J85"")"),34)</f>
        <v>34</v>
      </c>
      <c r="K160" s="169"/>
      <c r="L160" s="189"/>
      <c r="M160" s="189"/>
      <c r="N160" s="189"/>
      <c r="O160" s="189"/>
      <c r="P160" s="189"/>
    </row>
    <row r="161" spans="1:16" ht="21.75" customHeight="1" x14ac:dyDescent="0.45">
      <c r="A161" s="183"/>
      <c r="B161" s="184"/>
      <c r="C161" s="184"/>
      <c r="D161" s="201"/>
      <c r="E161" s="203"/>
      <c r="F161" s="203"/>
      <c r="G161" s="287" t="s">
        <v>81</v>
      </c>
      <c r="H161" s="286" t="s">
        <v>37</v>
      </c>
      <c r="I161" s="195"/>
      <c r="J161" s="288">
        <f ca="1">IFERROR(__xludf.DUMMYFUNCTION("IMPORTRANGE(""https://docs.google.com/spreadsheets/d/1IYY_tgx_IHuhSq3AJ5eI5OnqOPBNLWSHKh2a30DoXe8/edit?usp=sharing"",""สงขลา!J86"")"),0)</f>
        <v>0</v>
      </c>
      <c r="K161" s="169"/>
      <c r="L161" s="189"/>
      <c r="M161" s="189"/>
      <c r="N161" s="189"/>
      <c r="O161" s="189"/>
      <c r="P161" s="189"/>
    </row>
    <row r="162" spans="1:16" ht="21.75" customHeight="1" x14ac:dyDescent="0.35">
      <c r="A162" s="183"/>
      <c r="B162" s="184"/>
      <c r="C162" s="184"/>
      <c r="D162" s="201"/>
      <c r="E162" s="202" t="s">
        <v>54</v>
      </c>
      <c r="F162" s="203"/>
      <c r="G162" s="204"/>
      <c r="H162" s="194"/>
      <c r="I162" s="195"/>
      <c r="J162" s="205">
        <f ca="1">IFERROR(__xludf.DUMMYFUNCTION("IMPORTRANGE(""https://docs.google.com/spreadsheets/d/1IYY_tgx_IHuhSq3AJ5eI5OnqOPBNLWSHKh2a30DoXe8/edit?usp=sharing"",""สงขลา!J87"")"),0)</f>
        <v>0</v>
      </c>
      <c r="K162" s="169"/>
      <c r="L162" s="189"/>
      <c r="M162" s="189"/>
      <c r="N162" s="189"/>
      <c r="O162" s="189"/>
      <c r="P162" s="189"/>
    </row>
    <row r="163" spans="1:16" ht="21.75" customHeight="1" x14ac:dyDescent="0.35">
      <c r="A163" s="183"/>
      <c r="B163" s="184"/>
      <c r="C163" s="184"/>
      <c r="D163" s="213">
        <v>3</v>
      </c>
      <c r="E163" s="214" t="s">
        <v>55</v>
      </c>
      <c r="F163" s="215"/>
      <c r="G163" s="216"/>
      <c r="H163" s="194"/>
      <c r="I163" s="195"/>
      <c r="J163" s="217">
        <f ca="1">IFERROR(__xludf.DUMMYFUNCTION("IMPORTRANGE(""https://docs.google.com/spreadsheets/d/1IYY_tgx_IHuhSq3AJ5eI5OnqOPBNLWSHKh2a30DoXe8/edit?usp=sharing"",""สงขลา!J88"")"),0)</f>
        <v>0</v>
      </c>
      <c r="K163" s="169"/>
      <c r="L163" s="189"/>
      <c r="M163" s="189"/>
      <c r="N163" s="189"/>
      <c r="O163" s="189"/>
      <c r="P163" s="189"/>
    </row>
    <row r="164" spans="1:16" ht="21.75" customHeight="1" x14ac:dyDescent="0.35">
      <c r="A164" s="277"/>
      <c r="B164" s="278"/>
      <c r="C164" s="279" t="s">
        <v>82</v>
      </c>
      <c r="D164" s="279"/>
      <c r="E164" s="279"/>
      <c r="F164" s="279"/>
      <c r="G164" s="280"/>
      <c r="H164" s="289" t="s">
        <v>83</v>
      </c>
      <c r="I164" s="290">
        <f ca="1">IFERROR(__xludf.DUMMYFUNCTION("IMPORTRANGE(""https://docs.google.com/spreadsheets/d/1IYY_tgx_IHuhSq3AJ5eI5OnqOPBNLWSHKh2a30DoXe8/edit?usp=sharing"",""สงขลา!I89"")"),6)</f>
        <v>6</v>
      </c>
      <c r="J164" s="290">
        <f ca="1">IFERROR(__xludf.DUMMYFUNCTION("IMPORTRANGE(""https://docs.google.com/spreadsheets/d/1IYY_tgx_IHuhSq3AJ5eI5OnqOPBNLWSHKh2a30DoXe8/edit?usp=sharing"",""สงขลา!J89"")"),6)</f>
        <v>6</v>
      </c>
      <c r="K164" s="291">
        <f ca="1">IF(I164&gt;0,J164*100/I164,0)</f>
        <v>100</v>
      </c>
      <c r="L164" s="284"/>
      <c r="M164" s="284"/>
      <c r="N164" s="284"/>
      <c r="O164" s="284"/>
      <c r="P164" s="284"/>
    </row>
    <row r="165" spans="1:16" ht="21.75" customHeight="1" x14ac:dyDescent="0.35">
      <c r="A165" s="162"/>
      <c r="B165" s="163"/>
      <c r="C165" s="163" t="s">
        <v>16</v>
      </c>
      <c r="D165" s="164" t="s">
        <v>38</v>
      </c>
      <c r="E165" s="165"/>
      <c r="F165" s="165"/>
      <c r="G165" s="166" t="s">
        <v>39</v>
      </c>
      <c r="H165" s="167" t="s">
        <v>12</v>
      </c>
      <c r="I165" s="168" t="s">
        <v>40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 x14ac:dyDescent="0.35">
      <c r="A166" s="162"/>
      <c r="B166" s="163"/>
      <c r="C166" s="163"/>
      <c r="D166" s="172"/>
      <c r="E166" s="165"/>
      <c r="F166" s="165" t="s">
        <v>40</v>
      </c>
      <c r="G166" s="166" t="s">
        <v>41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 x14ac:dyDescent="0.35">
      <c r="A167" s="162"/>
      <c r="B167" s="163"/>
      <c r="C167" s="163"/>
      <c r="D167" s="172"/>
      <c r="E167" s="165"/>
      <c r="F167" s="165"/>
      <c r="G167" s="177" t="s">
        <v>43</v>
      </c>
      <c r="H167" s="167" t="s">
        <v>12</v>
      </c>
      <c r="I167" s="168"/>
      <c r="J167" s="168"/>
      <c r="K167" s="169"/>
      <c r="L167" s="176"/>
      <c r="M167" s="176"/>
      <c r="N167" s="173"/>
      <c r="O167" s="176"/>
      <c r="P167" s="176"/>
    </row>
    <row r="168" spans="1:16" ht="21.75" customHeight="1" x14ac:dyDescent="0.35">
      <c r="A168" s="183"/>
      <c r="B168" s="184"/>
      <c r="C168" s="163" t="s">
        <v>16</v>
      </c>
      <c r="D168" s="185" t="s">
        <v>44</v>
      </c>
      <c r="E168" s="186"/>
      <c r="F168" s="186"/>
      <c r="G168" s="187"/>
      <c r="H168" s="188"/>
      <c r="I168" s="168"/>
      <c r="J168" s="168"/>
      <c r="K168" s="169"/>
      <c r="L168" s="189"/>
      <c r="M168" s="189"/>
      <c r="N168" s="189"/>
      <c r="O168" s="189"/>
      <c r="P168" s="189"/>
    </row>
    <row r="169" spans="1:16" ht="21.75" customHeight="1" x14ac:dyDescent="0.35">
      <c r="A169" s="183"/>
      <c r="B169" s="184"/>
      <c r="C169" s="184"/>
      <c r="D169" s="190">
        <v>1</v>
      </c>
      <c r="E169" s="191" t="s">
        <v>45</v>
      </c>
      <c r="F169" s="192"/>
      <c r="G169" s="193"/>
      <c r="H169" s="194"/>
      <c r="I169" s="195"/>
      <c r="J169" s="196">
        <f ca="1">IFERROR(__xludf.DUMMYFUNCTION("IMPORTRANGE(""https://docs.google.com/spreadsheets/d/1IYY_tgx_IHuhSq3AJ5eI5OnqOPBNLWSHKh2a30DoXe8/edit?usp=sharing"",""สงขลา!J94"")"),0)</f>
        <v>0</v>
      </c>
      <c r="K169" s="169"/>
      <c r="L169" s="189"/>
      <c r="M169" s="189"/>
      <c r="N169" s="189"/>
      <c r="O169" s="189"/>
      <c r="P169" s="189"/>
    </row>
    <row r="170" spans="1:16" ht="21.75" customHeight="1" x14ac:dyDescent="0.35">
      <c r="A170" s="183"/>
      <c r="B170" s="184"/>
      <c r="C170" s="184"/>
      <c r="D170" s="197">
        <v>2</v>
      </c>
      <c r="E170" s="198" t="s">
        <v>46</v>
      </c>
      <c r="F170" s="199"/>
      <c r="G170" s="200"/>
      <c r="H170" s="194"/>
      <c r="I170" s="195"/>
      <c r="J170" s="205">
        <f ca="1">IFERROR(__xludf.DUMMYFUNCTION("IMPORTRANGE(""https://docs.google.com/spreadsheets/d/1IYY_tgx_IHuhSq3AJ5eI5OnqOPBNLWSHKh2a30DoXe8/edit?usp=sharing"",""สงขลา!J95"")"),1)</f>
        <v>1</v>
      </c>
      <c r="K170" s="169"/>
      <c r="L170" s="189"/>
      <c r="M170" s="189"/>
      <c r="N170" s="189"/>
      <c r="O170" s="189"/>
      <c r="P170" s="189"/>
    </row>
    <row r="171" spans="1:16" ht="21.75" customHeight="1" x14ac:dyDescent="0.35">
      <c r="A171" s="183"/>
      <c r="B171" s="184"/>
      <c r="C171" s="184"/>
      <c r="D171" s="201"/>
      <c r="E171" s="202" t="s">
        <v>47</v>
      </c>
      <c r="F171" s="203"/>
      <c r="G171" s="204"/>
      <c r="H171" s="194"/>
      <c r="I171" s="195"/>
      <c r="J171" s="205">
        <f ca="1">IFERROR(__xludf.DUMMYFUNCTION("IMPORTRANGE(""https://docs.google.com/spreadsheets/d/1IYY_tgx_IHuhSq3AJ5eI5OnqOPBNLWSHKh2a30DoXe8/edit?usp=sharing"",""สงขลา!J96"")"),1)</f>
        <v>1</v>
      </c>
      <c r="K171" s="169"/>
      <c r="L171" s="189"/>
      <c r="M171" s="189"/>
      <c r="N171" s="189"/>
      <c r="O171" s="189"/>
      <c r="P171" s="189"/>
    </row>
    <row r="172" spans="1:16" ht="21.75" customHeight="1" x14ac:dyDescent="0.35">
      <c r="A172" s="183"/>
      <c r="B172" s="184"/>
      <c r="C172" s="184"/>
      <c r="D172" s="201"/>
      <c r="E172" s="202" t="s">
        <v>48</v>
      </c>
      <c r="F172" s="203"/>
      <c r="G172" s="204"/>
      <c r="H172" s="194"/>
      <c r="I172" s="195"/>
      <c r="J172" s="205">
        <f ca="1">IFERROR(__xludf.DUMMYFUNCTION("IMPORTRANGE(""https://docs.google.com/spreadsheets/d/1IYY_tgx_IHuhSq3AJ5eI5OnqOPBNLWSHKh2a30DoXe8/edit?usp=sharing"",""สงขลา!J97"")"),1)</f>
        <v>1</v>
      </c>
      <c r="K172" s="169"/>
      <c r="L172" s="189"/>
      <c r="M172" s="189"/>
      <c r="N172" s="189"/>
      <c r="O172" s="189"/>
      <c r="P172" s="189"/>
    </row>
    <row r="173" spans="1:16" ht="21.75" customHeight="1" x14ac:dyDescent="0.35">
      <c r="A173" s="183"/>
      <c r="B173" s="184"/>
      <c r="C173" s="184"/>
      <c r="D173" s="201"/>
      <c r="E173" s="206"/>
      <c r="F173" s="212" t="s">
        <v>84</v>
      </c>
      <c r="G173" s="204"/>
      <c r="H173" s="188" t="s">
        <v>83</v>
      </c>
      <c r="I173" s="195">
        <f ca="1">IFERROR(__xludf.DUMMYFUNCTION("IMPORTRANGE(""https://docs.google.com/spreadsheets/d/1IYY_tgx_IHuhSq3AJ5eI5OnqOPBNLWSHKh2a30DoXe8/edit?usp=sharing"",""สงขลา!I98"")"),6)</f>
        <v>6</v>
      </c>
      <c r="J173" s="196">
        <f ca="1">IFERROR(__xludf.DUMMYFUNCTION("IMPORTRANGE(""https://docs.google.com/spreadsheets/d/1IYY_tgx_IHuhSq3AJ5eI5OnqOPBNLWSHKh2a30DoXe8/edit?usp=sharing"",""สงขลา!J98"")"),6)</f>
        <v>6</v>
      </c>
      <c r="K173" s="169">
        <f ca="1">IF(I173&gt;0,J173*100/I173,0)</f>
        <v>100</v>
      </c>
      <c r="L173" s="176"/>
      <c r="M173" s="176"/>
      <c r="N173" s="173"/>
      <c r="O173" s="176"/>
      <c r="P173" s="176"/>
    </row>
    <row r="174" spans="1:16" ht="21.75" customHeight="1" x14ac:dyDescent="0.35">
      <c r="A174" s="183"/>
      <c r="B174" s="184"/>
      <c r="C174" s="184"/>
      <c r="D174" s="201"/>
      <c r="E174" s="202" t="s">
        <v>54</v>
      </c>
      <c r="F174" s="203"/>
      <c r="G174" s="204"/>
      <c r="H174" s="194"/>
      <c r="I174" s="195"/>
      <c r="J174" s="205">
        <f ca="1">IFERROR(__xludf.DUMMYFUNCTION("IMPORTRANGE(""https://docs.google.com/spreadsheets/d/1IYY_tgx_IHuhSq3AJ5eI5OnqOPBNLWSHKh2a30DoXe8/edit?usp=sharing"",""สงขลา!J99"")"),0)</f>
        <v>0</v>
      </c>
      <c r="K174" s="169"/>
      <c r="L174" s="189"/>
      <c r="M174" s="189"/>
      <c r="N174" s="189"/>
      <c r="O174" s="189"/>
      <c r="P174" s="189"/>
    </row>
    <row r="175" spans="1:16" ht="21.75" customHeight="1" x14ac:dyDescent="0.35">
      <c r="A175" s="183"/>
      <c r="B175" s="184"/>
      <c r="C175" s="184"/>
      <c r="D175" s="213">
        <v>3</v>
      </c>
      <c r="E175" s="214" t="s">
        <v>55</v>
      </c>
      <c r="F175" s="215"/>
      <c r="G175" s="216"/>
      <c r="H175" s="194"/>
      <c r="I175" s="195"/>
      <c r="J175" s="217">
        <f ca="1">IFERROR(__xludf.DUMMYFUNCTION("IMPORTRANGE(""https://docs.google.com/spreadsheets/d/1IYY_tgx_IHuhSq3AJ5eI5OnqOPBNLWSHKh2a30DoXe8/edit?usp=sharing"",""สงขลา!J100"")"),0)</f>
        <v>0</v>
      </c>
      <c r="K175" s="169"/>
      <c r="L175" s="189"/>
      <c r="M175" s="189"/>
      <c r="N175" s="189"/>
      <c r="O175" s="189"/>
      <c r="P175" s="189"/>
    </row>
    <row r="176" spans="1:16" ht="21.75" customHeight="1" x14ac:dyDescent="0.35">
      <c r="A176" s="277"/>
      <c r="B176" s="278"/>
      <c r="C176" s="279" t="s">
        <v>85</v>
      </c>
      <c r="D176" s="279"/>
      <c r="E176" s="279"/>
      <c r="F176" s="279"/>
      <c r="G176" s="280"/>
      <c r="H176" s="289" t="s">
        <v>83</v>
      </c>
      <c r="I176" s="290">
        <f ca="1">IFERROR(__xludf.DUMMYFUNCTION("IMPORTRANGE(""https://docs.google.com/spreadsheets/d/1IYY_tgx_IHuhSq3AJ5eI5OnqOPBNLWSHKh2a30DoXe8/edit?usp=sharing"",""สงขลา!I101"")"),7)</f>
        <v>7</v>
      </c>
      <c r="J176" s="290">
        <f ca="1">IFERROR(__xludf.DUMMYFUNCTION("IMPORTRANGE(""https://docs.google.com/spreadsheets/d/1IYY_tgx_IHuhSq3AJ5eI5OnqOPBNLWSHKh2a30DoXe8/edit?usp=sharing"",""สงขลา!J101"")"),7)</f>
        <v>7</v>
      </c>
      <c r="K176" s="291">
        <f ca="1">IF(I176&gt;0,J176*100/I176,0)</f>
        <v>100</v>
      </c>
      <c r="L176" s="284"/>
      <c r="M176" s="284"/>
      <c r="N176" s="284"/>
      <c r="O176" s="284"/>
      <c r="P176" s="284"/>
    </row>
    <row r="177" spans="1:16" ht="21.75" customHeight="1" x14ac:dyDescent="0.35">
      <c r="A177" s="162"/>
      <c r="B177" s="163"/>
      <c r="C177" s="163" t="s">
        <v>16</v>
      </c>
      <c r="D177" s="164" t="s">
        <v>38</v>
      </c>
      <c r="E177" s="165"/>
      <c r="F177" s="165"/>
      <c r="G177" s="166" t="s">
        <v>39</v>
      </c>
      <c r="H177" s="167" t="s">
        <v>12</v>
      </c>
      <c r="I177" s="168" t="s">
        <v>40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 x14ac:dyDescent="0.35">
      <c r="A178" s="162"/>
      <c r="B178" s="163"/>
      <c r="C178" s="163"/>
      <c r="D178" s="172"/>
      <c r="E178" s="165"/>
      <c r="F178" s="165" t="s">
        <v>40</v>
      </c>
      <c r="G178" s="166" t="s">
        <v>41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 x14ac:dyDescent="0.35">
      <c r="A179" s="162"/>
      <c r="B179" s="163"/>
      <c r="C179" s="163"/>
      <c r="D179" s="172"/>
      <c r="E179" s="165"/>
      <c r="F179" s="165"/>
      <c r="G179" s="177" t="s">
        <v>43</v>
      </c>
      <c r="H179" s="167" t="s">
        <v>12</v>
      </c>
      <c r="I179" s="168"/>
      <c r="J179" s="195"/>
      <c r="K179" s="231"/>
      <c r="L179" s="176"/>
      <c r="M179" s="176"/>
      <c r="N179" s="173"/>
      <c r="O179" s="176"/>
      <c r="P179" s="176"/>
    </row>
    <row r="180" spans="1:16" ht="21.75" customHeight="1" x14ac:dyDescent="0.35">
      <c r="A180" s="183"/>
      <c r="B180" s="184"/>
      <c r="C180" s="163" t="s">
        <v>16</v>
      </c>
      <c r="D180" s="185" t="s">
        <v>44</v>
      </c>
      <c r="E180" s="186"/>
      <c r="F180" s="186"/>
      <c r="G180" s="187"/>
      <c r="H180" s="188"/>
      <c r="I180" s="168"/>
      <c r="J180" s="195"/>
      <c r="K180" s="231"/>
      <c r="L180" s="176"/>
      <c r="M180" s="176"/>
      <c r="N180" s="176"/>
      <c r="O180" s="189"/>
      <c r="P180" s="189"/>
    </row>
    <row r="181" spans="1:16" ht="21.75" customHeight="1" x14ac:dyDescent="0.35">
      <c r="A181" s="183"/>
      <c r="B181" s="184"/>
      <c r="C181" s="184"/>
      <c r="D181" s="190">
        <v>1</v>
      </c>
      <c r="E181" s="191" t="s">
        <v>45</v>
      </c>
      <c r="F181" s="192"/>
      <c r="G181" s="193"/>
      <c r="H181" s="194"/>
      <c r="I181" s="195"/>
      <c r="J181" s="195">
        <f ca="1">IFERROR(__xludf.DUMMYFUNCTION("IMPORTRANGE(""https://docs.google.com/spreadsheets/d/1IYY_tgx_IHuhSq3AJ5eI5OnqOPBNLWSHKh2a30DoXe8/edit?usp=sharing"",""สงขลา!J106"")"),0)</f>
        <v>0</v>
      </c>
      <c r="K181" s="231"/>
      <c r="L181" s="176"/>
      <c r="M181" s="176"/>
      <c r="N181" s="176"/>
      <c r="O181" s="189"/>
      <c r="P181" s="189"/>
    </row>
    <row r="182" spans="1:16" ht="21.75" customHeight="1" x14ac:dyDescent="0.35">
      <c r="A182" s="183"/>
      <c r="B182" s="184"/>
      <c r="C182" s="184"/>
      <c r="D182" s="197">
        <v>2</v>
      </c>
      <c r="E182" s="198" t="s">
        <v>46</v>
      </c>
      <c r="F182" s="199"/>
      <c r="G182" s="200"/>
      <c r="H182" s="194"/>
      <c r="I182" s="195"/>
      <c r="J182" s="195">
        <f ca="1">IFERROR(__xludf.DUMMYFUNCTION("IMPORTRANGE(""https://docs.google.com/spreadsheets/d/1IYY_tgx_IHuhSq3AJ5eI5OnqOPBNLWSHKh2a30DoXe8/edit?usp=sharing"",""สงขลา!J107"")"),1)</f>
        <v>1</v>
      </c>
      <c r="K182" s="231"/>
      <c r="L182" s="176"/>
      <c r="M182" s="176"/>
      <c r="N182" s="176"/>
      <c r="O182" s="189"/>
      <c r="P182" s="189"/>
    </row>
    <row r="183" spans="1:16" ht="21.75" customHeight="1" x14ac:dyDescent="0.35">
      <c r="A183" s="183"/>
      <c r="B183" s="184"/>
      <c r="C183" s="184"/>
      <c r="D183" s="201"/>
      <c r="E183" s="202" t="s">
        <v>47</v>
      </c>
      <c r="F183" s="203"/>
      <c r="G183" s="204"/>
      <c r="H183" s="194"/>
      <c r="I183" s="195"/>
      <c r="J183" s="195">
        <f ca="1">IFERROR(__xludf.DUMMYFUNCTION("IMPORTRANGE(""https://docs.google.com/spreadsheets/d/1IYY_tgx_IHuhSq3AJ5eI5OnqOPBNLWSHKh2a30DoXe8/edit?usp=sharing"",""สงขลา!J108"")"),0)</f>
        <v>0</v>
      </c>
      <c r="K183" s="231"/>
      <c r="L183" s="176"/>
      <c r="M183" s="176"/>
      <c r="N183" s="176"/>
      <c r="O183" s="189"/>
      <c r="P183" s="189"/>
    </row>
    <row r="184" spans="1:16" ht="21.75" customHeight="1" x14ac:dyDescent="0.35">
      <c r="A184" s="183"/>
      <c r="B184" s="184"/>
      <c r="C184" s="184"/>
      <c r="D184" s="201"/>
      <c r="E184" s="202" t="s">
        <v>48</v>
      </c>
      <c r="F184" s="203"/>
      <c r="G184" s="204"/>
      <c r="H184" s="194"/>
      <c r="I184" s="195"/>
      <c r="J184" s="195">
        <f ca="1">IFERROR(__xludf.DUMMYFUNCTION("IMPORTRANGE(""https://docs.google.com/spreadsheets/d/1IYY_tgx_IHuhSq3AJ5eI5OnqOPBNLWSHKh2a30DoXe8/edit?usp=sharing"",""สงขลา!J109"")"),0)</f>
        <v>0</v>
      </c>
      <c r="K184" s="231"/>
      <c r="L184" s="176"/>
      <c r="M184" s="176"/>
      <c r="N184" s="176"/>
      <c r="O184" s="189"/>
      <c r="P184" s="189"/>
    </row>
    <row r="185" spans="1:16" ht="21.75" customHeight="1" x14ac:dyDescent="0.35">
      <c r="A185" s="183"/>
      <c r="B185" s="184"/>
      <c r="C185" s="184"/>
      <c r="D185" s="201"/>
      <c r="E185" s="206"/>
      <c r="F185" s="202" t="s">
        <v>86</v>
      </c>
      <c r="G185" s="204"/>
      <c r="H185" s="188" t="s">
        <v>83</v>
      </c>
      <c r="I185" s="195">
        <f ca="1">IFERROR(__xludf.DUMMYFUNCTION("IMPORTRANGE(""https://docs.google.com/spreadsheets/d/1IYY_tgx_IHuhSq3AJ5eI5OnqOPBNLWSHKh2a30DoXe8/edit?usp=sharing"",""สงขลา!I110"")"),7)</f>
        <v>7</v>
      </c>
      <c r="J185" s="211">
        <f ca="1">IFERROR(__xludf.DUMMYFUNCTION("IMPORTRANGE(""https://docs.google.com/spreadsheets/d/1IYY_tgx_IHuhSq3AJ5eI5OnqOPBNLWSHKh2a30DoXe8/edit?usp=sharing"",""สงขลา!J110"")"),0)</f>
        <v>0</v>
      </c>
      <c r="K185" s="231">
        <f t="shared" ref="K185:K186" ca="1" si="69">IF(I185&gt;0,J185*100/I185,0)</f>
        <v>0</v>
      </c>
      <c r="L185" s="176"/>
      <c r="M185" s="176"/>
      <c r="N185" s="173"/>
      <c r="O185" s="176"/>
      <c r="P185" s="176"/>
    </row>
    <row r="186" spans="1:16" ht="21.75" customHeight="1" x14ac:dyDescent="0.35">
      <c r="A186" s="183"/>
      <c r="B186" s="184"/>
      <c r="C186" s="184"/>
      <c r="D186" s="201"/>
      <c r="E186" s="206"/>
      <c r="F186" s="202" t="s">
        <v>87</v>
      </c>
      <c r="G186" s="204"/>
      <c r="H186" s="188" t="s">
        <v>83</v>
      </c>
      <c r="I186" s="195">
        <f ca="1">IFERROR(__xludf.DUMMYFUNCTION("IMPORTRANGE(""https://docs.google.com/spreadsheets/d/1IYY_tgx_IHuhSq3AJ5eI5OnqOPBNLWSHKh2a30DoXe8/edit?usp=sharing"",""สงขลา!I111"")"),7)</f>
        <v>7</v>
      </c>
      <c r="J186" s="211">
        <f ca="1">IFERROR(__xludf.DUMMYFUNCTION("IMPORTRANGE(""https://docs.google.com/spreadsheets/d/1IYY_tgx_IHuhSq3AJ5eI5OnqOPBNLWSHKh2a30DoXe8/edit?usp=sharing"",""สงขลา!J111"")"),7)</f>
        <v>7</v>
      </c>
      <c r="K186" s="231">
        <f t="shared" ca="1" si="69"/>
        <v>100</v>
      </c>
      <c r="L186" s="176"/>
      <c r="M186" s="176"/>
      <c r="N186" s="173"/>
      <c r="O186" s="176"/>
      <c r="P186" s="176"/>
    </row>
    <row r="187" spans="1:16" ht="21.75" customHeight="1" x14ac:dyDescent="0.35">
      <c r="A187" s="183"/>
      <c r="B187" s="184"/>
      <c r="C187" s="184"/>
      <c r="D187" s="201"/>
      <c r="E187" s="202" t="s">
        <v>54</v>
      </c>
      <c r="F187" s="203"/>
      <c r="G187" s="204"/>
      <c r="H187" s="194"/>
      <c r="I187" s="195"/>
      <c r="J187" s="195">
        <f ca="1">IFERROR(__xludf.DUMMYFUNCTION("IMPORTRANGE(""https://docs.google.com/spreadsheets/d/1IYY_tgx_IHuhSq3AJ5eI5OnqOPBNLWSHKh2a30DoXe8/edit?usp=sharing"",""สงขลา!J112"")"),0)</f>
        <v>0</v>
      </c>
      <c r="K187" s="231"/>
      <c r="L187" s="176"/>
      <c r="M187" s="176"/>
      <c r="N187" s="176"/>
      <c r="O187" s="189"/>
      <c r="P187" s="189"/>
    </row>
    <row r="188" spans="1:16" ht="21.75" customHeight="1" x14ac:dyDescent="0.35">
      <c r="A188" s="183"/>
      <c r="B188" s="184"/>
      <c r="C188" s="184"/>
      <c r="D188" s="213">
        <v>3</v>
      </c>
      <c r="E188" s="214" t="s">
        <v>55</v>
      </c>
      <c r="F188" s="215"/>
      <c r="G188" s="216"/>
      <c r="H188" s="194"/>
      <c r="I188" s="195"/>
      <c r="J188" s="234">
        <f ca="1">IFERROR(__xludf.DUMMYFUNCTION("IMPORTRANGE(""https://docs.google.com/spreadsheets/d/1IYY_tgx_IHuhSq3AJ5eI5OnqOPBNLWSHKh2a30DoXe8/edit?usp=sharing"",""สงขลา!J113"")"),0)</f>
        <v>0</v>
      </c>
      <c r="K188" s="231"/>
      <c r="L188" s="176"/>
      <c r="M188" s="176"/>
      <c r="N188" s="176"/>
      <c r="O188" s="189"/>
      <c r="P188" s="189"/>
    </row>
    <row r="189" spans="1:16" ht="21.75" customHeight="1" x14ac:dyDescent="0.35">
      <c r="A189" s="277"/>
      <c r="B189" s="278"/>
      <c r="C189" s="279" t="s">
        <v>88</v>
      </c>
      <c r="D189" s="279"/>
      <c r="E189" s="279"/>
      <c r="F189" s="279"/>
      <c r="G189" s="280"/>
      <c r="H189" s="292" t="s">
        <v>89</v>
      </c>
      <c r="I189" s="290">
        <f ca="1">IFERROR(__xludf.DUMMYFUNCTION("IMPORTRANGE(""https://docs.google.com/spreadsheets/d/1IYY_tgx_IHuhSq3AJ5eI5OnqOPBNLWSHKh2a30DoXe8/edit?usp=sharing"",""สงขลา!I114"")"),15000)</f>
        <v>15000</v>
      </c>
      <c r="J189" s="290">
        <f ca="1">IFERROR(__xludf.DUMMYFUNCTION("IMPORTRANGE(""https://docs.google.com/spreadsheets/d/1IYY_tgx_IHuhSq3AJ5eI5OnqOPBNLWSHKh2a30DoXe8/edit?usp=sharing"",""สงขลา!J114"")"),0)</f>
        <v>0</v>
      </c>
      <c r="K189" s="291">
        <f ca="1">IF(I189&gt;0,J189*100/I189,0)</f>
        <v>0</v>
      </c>
      <c r="L189" s="284"/>
      <c r="M189" s="284"/>
      <c r="N189" s="284"/>
      <c r="O189" s="284"/>
      <c r="P189" s="284"/>
    </row>
    <row r="190" spans="1:16" ht="21.75" customHeight="1" x14ac:dyDescent="0.35">
      <c r="A190" s="162"/>
      <c r="B190" s="163"/>
      <c r="C190" s="163" t="s">
        <v>16</v>
      </c>
      <c r="D190" s="164" t="s">
        <v>38</v>
      </c>
      <c r="E190" s="165"/>
      <c r="F190" s="165"/>
      <c r="G190" s="166" t="s">
        <v>39</v>
      </c>
      <c r="H190" s="167" t="s">
        <v>12</v>
      </c>
      <c r="I190" s="168" t="s">
        <v>40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 x14ac:dyDescent="0.35">
      <c r="A191" s="162"/>
      <c r="B191" s="163"/>
      <c r="C191" s="163"/>
      <c r="D191" s="172"/>
      <c r="E191" s="165"/>
      <c r="F191" s="165" t="s">
        <v>40</v>
      </c>
      <c r="G191" s="166" t="s">
        <v>41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 x14ac:dyDescent="0.35">
      <c r="A192" s="162"/>
      <c r="B192" s="163"/>
      <c r="C192" s="163"/>
      <c r="D192" s="172"/>
      <c r="E192" s="165"/>
      <c r="F192" s="165"/>
      <c r="G192" s="177" t="s">
        <v>43</v>
      </c>
      <c r="H192" s="167" t="s">
        <v>12</v>
      </c>
      <c r="I192" s="168"/>
      <c r="J192" s="168"/>
      <c r="K192" s="169"/>
      <c r="L192" s="176"/>
      <c r="M192" s="176"/>
      <c r="N192" s="173"/>
      <c r="O192" s="176"/>
      <c r="P192" s="176"/>
    </row>
    <row r="193" spans="1:16" ht="21.75" customHeight="1" x14ac:dyDescent="0.35">
      <c r="A193" s="183"/>
      <c r="B193" s="184"/>
      <c r="C193" s="163" t="s">
        <v>16</v>
      </c>
      <c r="D193" s="185" t="s">
        <v>44</v>
      </c>
      <c r="E193" s="186"/>
      <c r="F193" s="186"/>
      <c r="G193" s="187"/>
      <c r="H193" s="188"/>
      <c r="I193" s="168"/>
      <c r="J193" s="168"/>
      <c r="K193" s="169"/>
      <c r="L193" s="189"/>
      <c r="M193" s="189"/>
      <c r="N193" s="189"/>
      <c r="O193" s="189"/>
      <c r="P193" s="189"/>
    </row>
    <row r="194" spans="1:16" ht="21.75" customHeight="1" x14ac:dyDescent="0.35">
      <c r="A194" s="183"/>
      <c r="B194" s="184"/>
      <c r="C194" s="184"/>
      <c r="D194" s="190">
        <v>1</v>
      </c>
      <c r="E194" s="191" t="s">
        <v>45</v>
      </c>
      <c r="F194" s="192"/>
      <c r="G194" s="193"/>
      <c r="H194" s="194"/>
      <c r="I194" s="195"/>
      <c r="J194" s="205">
        <f ca="1">IFERROR(__xludf.DUMMYFUNCTION("IMPORTRANGE(""https://docs.google.com/spreadsheets/d/1IYY_tgx_IHuhSq3AJ5eI5OnqOPBNLWSHKh2a30DoXe8/edit?usp=sharing"",""สงขลา!J119"")"),0)</f>
        <v>0</v>
      </c>
      <c r="K194" s="169"/>
      <c r="L194" s="189"/>
      <c r="M194" s="189"/>
      <c r="N194" s="189"/>
      <c r="O194" s="189"/>
      <c r="P194" s="189"/>
    </row>
    <row r="195" spans="1:16" ht="21.75" customHeight="1" x14ac:dyDescent="0.35">
      <c r="A195" s="183"/>
      <c r="B195" s="184"/>
      <c r="C195" s="184"/>
      <c r="D195" s="197">
        <v>2</v>
      </c>
      <c r="E195" s="198" t="s">
        <v>46</v>
      </c>
      <c r="F195" s="199"/>
      <c r="G195" s="200"/>
      <c r="H195" s="194"/>
      <c r="I195" s="195"/>
      <c r="J195" s="196">
        <f ca="1">IFERROR(__xludf.DUMMYFUNCTION("IMPORTRANGE(""https://docs.google.com/spreadsheets/d/1IYY_tgx_IHuhSq3AJ5eI5OnqOPBNLWSHKh2a30DoXe8/edit?usp=sharing"",""สงขลา!J120"")"),1)</f>
        <v>1</v>
      </c>
      <c r="K195" s="169"/>
      <c r="L195" s="189"/>
      <c r="M195" s="189"/>
      <c r="N195" s="189"/>
      <c r="O195" s="189"/>
      <c r="P195" s="189"/>
    </row>
    <row r="196" spans="1:16" ht="21.75" customHeight="1" x14ac:dyDescent="0.35">
      <c r="A196" s="183"/>
      <c r="B196" s="184"/>
      <c r="C196" s="184"/>
      <c r="D196" s="201"/>
      <c r="E196" s="202" t="s">
        <v>47</v>
      </c>
      <c r="F196" s="203"/>
      <c r="G196" s="204"/>
      <c r="H196" s="194"/>
      <c r="I196" s="195"/>
      <c r="J196" s="196">
        <f ca="1">IFERROR(__xludf.DUMMYFUNCTION("IMPORTRANGE(""https://docs.google.com/spreadsheets/d/1IYY_tgx_IHuhSq3AJ5eI5OnqOPBNLWSHKh2a30DoXe8/edit?usp=sharing"",""สงขลา!J121"")"),0)</f>
        <v>0</v>
      </c>
      <c r="K196" s="169"/>
      <c r="L196" s="189"/>
      <c r="M196" s="189"/>
      <c r="N196" s="189"/>
      <c r="O196" s="189"/>
      <c r="P196" s="189"/>
    </row>
    <row r="197" spans="1:16" ht="21.75" customHeight="1" x14ac:dyDescent="0.35">
      <c r="A197" s="183"/>
      <c r="B197" s="184"/>
      <c r="C197" s="184"/>
      <c r="D197" s="201"/>
      <c r="E197" s="202" t="s">
        <v>48</v>
      </c>
      <c r="F197" s="203"/>
      <c r="G197" s="204"/>
      <c r="H197" s="194"/>
      <c r="I197" s="195"/>
      <c r="J197" s="205">
        <f ca="1">IFERROR(__xludf.DUMMYFUNCTION("IMPORTRANGE(""https://docs.google.com/spreadsheets/d/1IYY_tgx_IHuhSq3AJ5eI5OnqOPBNLWSHKh2a30DoXe8/edit?usp=sharing"",""สงขลา!J122"")"),0)</f>
        <v>0</v>
      </c>
      <c r="K197" s="169"/>
      <c r="L197" s="189"/>
      <c r="M197" s="189"/>
      <c r="N197" s="189"/>
      <c r="O197" s="189"/>
      <c r="P197" s="189"/>
    </row>
    <row r="198" spans="1:16" ht="21.75" customHeight="1" x14ac:dyDescent="0.35">
      <c r="A198" s="183"/>
      <c r="B198" s="184"/>
      <c r="C198" s="184"/>
      <c r="D198" s="201"/>
      <c r="E198" s="203"/>
      <c r="F198" s="203" t="s">
        <v>90</v>
      </c>
      <c r="G198" s="204"/>
      <c r="H198" s="188"/>
      <c r="I198" s="195"/>
      <c r="J198" s="195"/>
      <c r="K198" s="169"/>
      <c r="L198" s="189"/>
      <c r="M198" s="189"/>
      <c r="N198" s="189"/>
      <c r="O198" s="189"/>
      <c r="P198" s="189"/>
    </row>
    <row r="199" spans="1:16" ht="21.75" customHeight="1" x14ac:dyDescent="0.35">
      <c r="A199" s="183"/>
      <c r="B199" s="184"/>
      <c r="C199" s="184"/>
      <c r="D199" s="201"/>
      <c r="E199" s="206"/>
      <c r="F199" s="203"/>
      <c r="G199" s="202" t="s">
        <v>91</v>
      </c>
      <c r="H199" s="188" t="s">
        <v>89</v>
      </c>
      <c r="I199" s="195">
        <f ca="1">IFERROR(__xludf.DUMMYFUNCTION("IMPORTRANGE(""https://docs.google.com/spreadsheets/d/1IYY_tgx_IHuhSq3AJ5eI5OnqOPBNLWSHKh2a30DoXe8/edit?usp=sharing"",""สงขลา!I124"")"),15000)</f>
        <v>15000</v>
      </c>
      <c r="J199" s="196">
        <f ca="1">IFERROR(__xludf.DUMMYFUNCTION("IMPORTRANGE(""https://docs.google.com/spreadsheets/d/1IYY_tgx_IHuhSq3AJ5eI5OnqOPBNLWSHKh2a30DoXe8/edit?usp=sharing"",""สงขลา!J124"")"),0)</f>
        <v>0</v>
      </c>
      <c r="K199" s="169">
        <f t="shared" ref="K199:K201" ca="1" si="70">IF(I199&gt;0,J199*100/I199,0)</f>
        <v>0</v>
      </c>
      <c r="L199" s="189"/>
      <c r="M199" s="189"/>
      <c r="N199" s="189"/>
      <c r="O199" s="189"/>
      <c r="P199" s="189"/>
    </row>
    <row r="200" spans="1:16" ht="21.75" customHeight="1" x14ac:dyDescent="0.35">
      <c r="A200" s="183"/>
      <c r="B200" s="184"/>
      <c r="C200" s="184"/>
      <c r="D200" s="201"/>
      <c r="E200" s="206"/>
      <c r="F200" s="203"/>
      <c r="G200" s="202" t="s">
        <v>92</v>
      </c>
      <c r="H200" s="188" t="s">
        <v>89</v>
      </c>
      <c r="I200" s="195">
        <f ca="1">IFERROR(__xludf.DUMMYFUNCTION("IMPORTRANGE(""https://docs.google.com/spreadsheets/d/1IYY_tgx_IHuhSq3AJ5eI5OnqOPBNLWSHKh2a30DoXe8/edit?usp=sharing"",""สงขลา!I125"")"),15000)</f>
        <v>15000</v>
      </c>
      <c r="J200" s="196">
        <f ca="1">IFERROR(__xludf.DUMMYFUNCTION("IMPORTRANGE(""https://docs.google.com/spreadsheets/d/1IYY_tgx_IHuhSq3AJ5eI5OnqOPBNLWSHKh2a30DoXe8/edit?usp=sharing"",""สงขลา!J125"")"),0)</f>
        <v>0</v>
      </c>
      <c r="K200" s="169">
        <f t="shared" ca="1" si="70"/>
        <v>0</v>
      </c>
      <c r="L200" s="176"/>
      <c r="M200" s="176"/>
      <c r="N200" s="173"/>
      <c r="O200" s="176"/>
      <c r="P200" s="176"/>
    </row>
    <row r="201" spans="1:16" ht="21.75" customHeight="1" x14ac:dyDescent="0.35">
      <c r="A201" s="183"/>
      <c r="B201" s="184"/>
      <c r="C201" s="184"/>
      <c r="D201" s="201"/>
      <c r="E201" s="206"/>
      <c r="F201" s="203" t="s">
        <v>93</v>
      </c>
      <c r="G201" s="204"/>
      <c r="H201" s="188" t="s">
        <v>37</v>
      </c>
      <c r="I201" s="195">
        <f ca="1">IFERROR(__xludf.DUMMYFUNCTION("IMPORTRANGE(""https://docs.google.com/spreadsheets/d/1IYY_tgx_IHuhSq3AJ5eI5OnqOPBNLWSHKh2a30DoXe8/edit?usp=sharing"",""สงขลา!I126"")"),0)</f>
        <v>0</v>
      </c>
      <c r="J201" s="196">
        <f ca="1">IFERROR(__xludf.DUMMYFUNCTION("IMPORTRANGE(""https://docs.google.com/spreadsheets/d/1IYY_tgx_IHuhSq3AJ5eI5OnqOPBNLWSHKh2a30DoXe8/edit?usp=sharing"",""สงขลา!J126"")"),0)</f>
        <v>0</v>
      </c>
      <c r="K201" s="169">
        <f t="shared" ca="1" si="70"/>
        <v>0</v>
      </c>
      <c r="L201" s="176"/>
      <c r="M201" s="176"/>
      <c r="N201" s="173"/>
      <c r="O201" s="176"/>
      <c r="P201" s="176"/>
    </row>
    <row r="202" spans="1:16" ht="21.75" customHeight="1" x14ac:dyDescent="0.35">
      <c r="A202" s="183"/>
      <c r="B202" s="184"/>
      <c r="C202" s="184"/>
      <c r="D202" s="201"/>
      <c r="E202" s="202" t="s">
        <v>54</v>
      </c>
      <c r="F202" s="203"/>
      <c r="G202" s="204"/>
      <c r="H202" s="194"/>
      <c r="I202" s="195"/>
      <c r="J202" s="205">
        <f ca="1">IFERROR(__xludf.DUMMYFUNCTION("IMPORTRANGE(""https://docs.google.com/spreadsheets/d/1IYY_tgx_IHuhSq3AJ5eI5OnqOPBNLWSHKh2a30DoXe8/edit?usp=sharing"",""สงขลา!J127"")"),0)</f>
        <v>0</v>
      </c>
      <c r="K202" s="169"/>
      <c r="L202" s="189"/>
      <c r="M202" s="189"/>
      <c r="N202" s="189"/>
      <c r="O202" s="189"/>
      <c r="P202" s="189"/>
    </row>
    <row r="203" spans="1:16" ht="21.75" customHeight="1" x14ac:dyDescent="0.35">
      <c r="A203" s="241"/>
      <c r="B203" s="242"/>
      <c r="C203" s="242"/>
      <c r="D203" s="243">
        <v>3</v>
      </c>
      <c r="E203" s="244" t="s">
        <v>55</v>
      </c>
      <c r="F203" s="245"/>
      <c r="G203" s="246"/>
      <c r="H203" s="247"/>
      <c r="I203" s="248"/>
      <c r="J203" s="293">
        <f ca="1">IFERROR(__xludf.DUMMYFUNCTION("IMPORTRANGE(""https://docs.google.com/spreadsheets/d/1IYY_tgx_IHuhSq3AJ5eI5OnqOPBNLWSHKh2a30DoXe8/edit?usp=sharing"",""สงขลา!J128"")"),0)</f>
        <v>0</v>
      </c>
      <c r="K203" s="294"/>
      <c r="L203" s="252"/>
      <c r="M203" s="252"/>
      <c r="N203" s="252"/>
      <c r="O203" s="252"/>
      <c r="P203" s="252"/>
    </row>
    <row r="204" spans="1:16" ht="21.75" customHeight="1" x14ac:dyDescent="0.35">
      <c r="A204" s="277"/>
      <c r="B204" s="278"/>
      <c r="C204" s="295" t="s">
        <v>94</v>
      </c>
      <c r="D204" s="279"/>
      <c r="E204" s="279"/>
      <c r="F204" s="279"/>
      <c r="G204" s="280"/>
      <c r="H204" s="292" t="s">
        <v>37</v>
      </c>
      <c r="I204" s="290">
        <f ca="1">IFERROR(__xludf.DUMMYFUNCTION("IMPORTRANGE(""https://docs.google.com/spreadsheets/d/1IYY_tgx_IHuhSq3AJ5eI5OnqOPBNLWSHKh2a30DoXe8/edit?usp=sharing"",""สงขลา!I129"")"),0)</f>
        <v>0</v>
      </c>
      <c r="J204" s="290">
        <f ca="1">IFERROR(__xludf.DUMMYFUNCTION("IMPORTRANGE(""https://docs.google.com/spreadsheets/d/1IYY_tgx_IHuhSq3AJ5eI5OnqOPBNLWSHKh2a30DoXe8/edit?usp=sharing"",""สงขลา!J129"")"),0)</f>
        <v>0</v>
      </c>
      <c r="K204" s="291">
        <f ca="1">IF(I204&gt;0,J204*100/I204,0)</f>
        <v>0</v>
      </c>
      <c r="L204" s="284"/>
      <c r="M204" s="284"/>
      <c r="N204" s="284"/>
      <c r="O204" s="284"/>
      <c r="P204" s="284"/>
    </row>
    <row r="205" spans="1:16" ht="21.75" customHeight="1" x14ac:dyDescent="0.35">
      <c r="A205" s="162"/>
      <c r="B205" s="163"/>
      <c r="C205" s="163" t="s">
        <v>16</v>
      </c>
      <c r="D205" s="164" t="s">
        <v>38</v>
      </c>
      <c r="E205" s="165"/>
      <c r="F205" s="165"/>
      <c r="G205" s="166" t="s">
        <v>39</v>
      </c>
      <c r="H205" s="167" t="s">
        <v>12</v>
      </c>
      <c r="I205" s="168" t="s">
        <v>40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 x14ac:dyDescent="0.35">
      <c r="A206" s="162"/>
      <c r="B206" s="163"/>
      <c r="C206" s="163"/>
      <c r="D206" s="172"/>
      <c r="E206" s="165"/>
      <c r="F206" s="165" t="s">
        <v>40</v>
      </c>
      <c r="G206" s="166" t="s">
        <v>41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 x14ac:dyDescent="0.35">
      <c r="A207" s="162"/>
      <c r="B207" s="163"/>
      <c r="C207" s="163"/>
      <c r="D207" s="172"/>
      <c r="E207" s="165"/>
      <c r="F207" s="165"/>
      <c r="G207" s="177" t="s">
        <v>43</v>
      </c>
      <c r="H207" s="167" t="s">
        <v>12</v>
      </c>
      <c r="I207" s="168"/>
      <c r="J207" s="195"/>
      <c r="K207" s="231"/>
      <c r="L207" s="176"/>
      <c r="M207" s="176"/>
      <c r="N207" s="173"/>
      <c r="O207" s="176"/>
      <c r="P207" s="176"/>
    </row>
    <row r="208" spans="1:16" ht="21.75" customHeight="1" x14ac:dyDescent="0.35">
      <c r="A208" s="183"/>
      <c r="B208" s="184"/>
      <c r="C208" s="163" t="s">
        <v>16</v>
      </c>
      <c r="D208" s="185" t="s">
        <v>44</v>
      </c>
      <c r="E208" s="186"/>
      <c r="F208" s="186"/>
      <c r="G208" s="187"/>
      <c r="H208" s="188"/>
      <c r="I208" s="168"/>
      <c r="J208" s="195"/>
      <c r="K208" s="231"/>
      <c r="L208" s="176"/>
      <c r="M208" s="176"/>
      <c r="N208" s="176"/>
      <c r="O208" s="189"/>
      <c r="P208" s="189"/>
    </row>
    <row r="209" spans="1:16" ht="21.75" customHeight="1" x14ac:dyDescent="0.35">
      <c r="A209" s="183"/>
      <c r="B209" s="184"/>
      <c r="C209" s="184"/>
      <c r="D209" s="190">
        <v>1</v>
      </c>
      <c r="E209" s="191" t="s">
        <v>45</v>
      </c>
      <c r="F209" s="192"/>
      <c r="G209" s="193"/>
      <c r="H209" s="194"/>
      <c r="I209" s="195"/>
      <c r="J209" s="195">
        <f ca="1">IFERROR(__xludf.DUMMYFUNCTION("IMPORTRANGE(""https://docs.google.com/spreadsheets/d/1IYY_tgx_IHuhSq3AJ5eI5OnqOPBNLWSHKh2a30DoXe8/edit?usp=sharing"",""สงขลา!J134"")"),0)</f>
        <v>0</v>
      </c>
      <c r="K209" s="231"/>
      <c r="L209" s="176"/>
      <c r="M209" s="176"/>
      <c r="N209" s="176"/>
      <c r="O209" s="189"/>
      <c r="P209" s="189"/>
    </row>
    <row r="210" spans="1:16" ht="21.75" customHeight="1" x14ac:dyDescent="0.35">
      <c r="A210" s="183"/>
      <c r="B210" s="184"/>
      <c r="C210" s="184"/>
      <c r="D210" s="197">
        <v>2</v>
      </c>
      <c r="E210" s="198" t="s">
        <v>46</v>
      </c>
      <c r="F210" s="199"/>
      <c r="G210" s="200"/>
      <c r="H210" s="194"/>
      <c r="I210" s="195"/>
      <c r="J210" s="195">
        <f ca="1">IFERROR(__xludf.DUMMYFUNCTION("IMPORTRANGE(""https://docs.google.com/spreadsheets/d/1IYY_tgx_IHuhSq3AJ5eI5OnqOPBNLWSHKh2a30DoXe8/edit?usp=sharing"",""สงขลา!J135"")"),0)</f>
        <v>0</v>
      </c>
      <c r="K210" s="231"/>
      <c r="L210" s="176"/>
      <c r="M210" s="176"/>
      <c r="N210" s="176"/>
      <c r="O210" s="189"/>
      <c r="P210" s="189"/>
    </row>
    <row r="211" spans="1:16" ht="21.75" customHeight="1" x14ac:dyDescent="0.35">
      <c r="A211" s="183"/>
      <c r="B211" s="184"/>
      <c r="C211" s="184"/>
      <c r="D211" s="201"/>
      <c r="E211" s="202" t="s">
        <v>47</v>
      </c>
      <c r="F211" s="203"/>
      <c r="G211" s="204"/>
      <c r="H211" s="194"/>
      <c r="I211" s="195"/>
      <c r="J211" s="195">
        <f ca="1">IFERROR(__xludf.DUMMYFUNCTION("IMPORTRANGE(""https://docs.google.com/spreadsheets/d/1IYY_tgx_IHuhSq3AJ5eI5OnqOPBNLWSHKh2a30DoXe8/edit?usp=sharing"",""สงขลา!J136"")"),0)</f>
        <v>0</v>
      </c>
      <c r="K211" s="231"/>
      <c r="L211" s="176"/>
      <c r="M211" s="176"/>
      <c r="N211" s="176"/>
      <c r="O211" s="189"/>
      <c r="P211" s="189"/>
    </row>
    <row r="212" spans="1:16" ht="21.75" customHeight="1" x14ac:dyDescent="0.35">
      <c r="A212" s="183"/>
      <c r="B212" s="184"/>
      <c r="C212" s="184"/>
      <c r="D212" s="201"/>
      <c r="E212" s="202" t="s">
        <v>48</v>
      </c>
      <c r="F212" s="203"/>
      <c r="G212" s="204"/>
      <c r="H212" s="194"/>
      <c r="I212" s="195"/>
      <c r="J212" s="195">
        <f ca="1">IFERROR(__xludf.DUMMYFUNCTION("IMPORTRANGE(""https://docs.google.com/spreadsheets/d/1IYY_tgx_IHuhSq3AJ5eI5OnqOPBNLWSHKh2a30DoXe8/edit?usp=sharing"",""สงขลา!J137"")"),0)</f>
        <v>0</v>
      </c>
      <c r="K212" s="231"/>
      <c r="L212" s="176"/>
      <c r="M212" s="176"/>
      <c r="N212" s="176"/>
      <c r="O212" s="189"/>
      <c r="P212" s="189"/>
    </row>
    <row r="213" spans="1:16" ht="21.75" customHeight="1" x14ac:dyDescent="0.35">
      <c r="A213" s="183"/>
      <c r="B213" s="184"/>
      <c r="C213" s="184"/>
      <c r="D213" s="201"/>
      <c r="E213" s="206"/>
      <c r="F213" s="203" t="s">
        <v>95</v>
      </c>
      <c r="G213" s="204"/>
      <c r="H213" s="188" t="s">
        <v>37</v>
      </c>
      <c r="I213" s="195">
        <f ca="1">IFERROR(__xludf.DUMMYFUNCTION("IMPORTRANGE(""https://docs.google.com/spreadsheets/d/1IYY_tgx_IHuhSq3AJ5eI5OnqOPBNLWSHKh2a30DoXe8/edit?usp=sharing"",""สงขลา!I138"")"),0)</f>
        <v>0</v>
      </c>
      <c r="J213" s="211">
        <f ca="1">IFERROR(__xludf.DUMMYFUNCTION("IMPORTRANGE(""https://docs.google.com/spreadsheets/d/1IYY_tgx_IHuhSq3AJ5eI5OnqOPBNLWSHKh2a30DoXe8/edit?usp=sharing"",""สงขลา!J138"")"),0)</f>
        <v>0</v>
      </c>
      <c r="K213" s="231">
        <f ca="1">IF(I213&gt;0,J213*100/I213,0)</f>
        <v>0</v>
      </c>
      <c r="L213" s="176"/>
      <c r="M213" s="176"/>
      <c r="N213" s="173"/>
      <c r="O213" s="176"/>
      <c r="P213" s="176"/>
    </row>
    <row r="214" spans="1:16" ht="21.75" customHeight="1" x14ac:dyDescent="0.35">
      <c r="A214" s="183"/>
      <c r="B214" s="184"/>
      <c r="C214" s="184"/>
      <c r="D214" s="201"/>
      <c r="E214" s="206"/>
      <c r="F214" s="202" t="s">
        <v>53</v>
      </c>
      <c r="G214" s="204"/>
      <c r="H214" s="188"/>
      <c r="I214" s="195"/>
      <c r="J214" s="195"/>
      <c r="K214" s="231"/>
      <c r="L214" s="176"/>
      <c r="M214" s="176"/>
      <c r="N214" s="176"/>
      <c r="O214" s="189"/>
      <c r="P214" s="189"/>
    </row>
    <row r="215" spans="1:16" ht="21.75" customHeight="1" x14ac:dyDescent="0.35">
      <c r="A215" s="183"/>
      <c r="B215" s="184"/>
      <c r="C215" s="184"/>
      <c r="D215" s="201"/>
      <c r="E215" s="206"/>
      <c r="F215" s="203"/>
      <c r="G215" s="233" t="s">
        <v>96</v>
      </c>
      <c r="H215" s="188" t="s">
        <v>37</v>
      </c>
      <c r="I215" s="195">
        <f ca="1">IFERROR(__xludf.DUMMYFUNCTION("IMPORTRANGE(""https://docs.google.com/spreadsheets/d/1IYY_tgx_IHuhSq3AJ5eI5OnqOPBNLWSHKh2a30DoXe8/edit?usp=sharing"",""สงขลา!I140"")"),0)</f>
        <v>0</v>
      </c>
      <c r="J215" s="211">
        <f ca="1">IFERROR(__xludf.DUMMYFUNCTION("IMPORTRANGE(""https://docs.google.com/spreadsheets/d/1IYY_tgx_IHuhSq3AJ5eI5OnqOPBNLWSHKh2a30DoXe8/edit?usp=sharing"",""สงขลา!J140"")"),0)</f>
        <v>0</v>
      </c>
      <c r="K215" s="231">
        <f t="shared" ref="K215:K216" ca="1" si="71">IF(I215&gt;0,J215*100/I215,0)</f>
        <v>0</v>
      </c>
      <c r="L215" s="176"/>
      <c r="M215" s="176"/>
      <c r="N215" s="173"/>
      <c r="O215" s="176"/>
      <c r="P215" s="176"/>
    </row>
    <row r="216" spans="1:16" ht="21.75" customHeight="1" x14ac:dyDescent="0.35">
      <c r="A216" s="183"/>
      <c r="B216" s="184"/>
      <c r="C216" s="184"/>
      <c r="D216" s="201"/>
      <c r="E216" s="206"/>
      <c r="F216" s="203"/>
      <c r="G216" s="233" t="s">
        <v>97</v>
      </c>
      <c r="H216" s="188" t="s">
        <v>59</v>
      </c>
      <c r="I216" s="195">
        <f ca="1">IFERROR(__xludf.DUMMYFUNCTION("IMPORTRANGE(""https://docs.google.com/spreadsheets/d/1IYY_tgx_IHuhSq3AJ5eI5OnqOPBNLWSHKh2a30DoXe8/edit?usp=sharing"",""สงขลา!I141"")"),0)</f>
        <v>0</v>
      </c>
      <c r="J216" s="211">
        <f ca="1">IFERROR(__xludf.DUMMYFUNCTION("IMPORTRANGE(""https://docs.google.com/spreadsheets/d/1IYY_tgx_IHuhSq3AJ5eI5OnqOPBNLWSHKh2a30DoXe8/edit?usp=sharing"",""สงขลา!J141"")"),0)</f>
        <v>0</v>
      </c>
      <c r="K216" s="231">
        <f t="shared" ca="1" si="71"/>
        <v>0</v>
      </c>
      <c r="L216" s="176"/>
      <c r="M216" s="176"/>
      <c r="N216" s="173"/>
      <c r="O216" s="176"/>
      <c r="P216" s="176"/>
    </row>
    <row r="217" spans="1:16" ht="21.75" customHeight="1" x14ac:dyDescent="0.35">
      <c r="A217" s="183"/>
      <c r="B217" s="184"/>
      <c r="C217" s="184"/>
      <c r="D217" s="201"/>
      <c r="E217" s="202" t="s">
        <v>54</v>
      </c>
      <c r="F217" s="203"/>
      <c r="G217" s="204"/>
      <c r="H217" s="194"/>
      <c r="I217" s="195"/>
      <c r="J217" s="195">
        <f ca="1">IFERROR(__xludf.DUMMYFUNCTION("IMPORTRANGE(""https://docs.google.com/spreadsheets/d/1IYY_tgx_IHuhSq3AJ5eI5OnqOPBNLWSHKh2a30DoXe8/edit?usp=sharing"",""สงขลา!J142"")"),0)</f>
        <v>0</v>
      </c>
      <c r="K217" s="231"/>
      <c r="L217" s="176"/>
      <c r="M217" s="176"/>
      <c r="N217" s="176"/>
      <c r="O217" s="189"/>
      <c r="P217" s="189"/>
    </row>
    <row r="218" spans="1:16" ht="21.75" customHeight="1" x14ac:dyDescent="0.35">
      <c r="A218" s="241"/>
      <c r="B218" s="242"/>
      <c r="C218" s="242"/>
      <c r="D218" s="243">
        <v>3</v>
      </c>
      <c r="E218" s="244" t="s">
        <v>55</v>
      </c>
      <c r="F218" s="245"/>
      <c r="G218" s="246"/>
      <c r="H218" s="247"/>
      <c r="I218" s="248"/>
      <c r="J218" s="249">
        <f ca="1">IFERROR(__xludf.DUMMYFUNCTION("IMPORTRANGE(""https://docs.google.com/spreadsheets/d/1IYY_tgx_IHuhSq3AJ5eI5OnqOPBNLWSHKh2a30DoXe8/edit?usp=sharing"",""สงขลา!J143"")"),0)</f>
        <v>0</v>
      </c>
      <c r="K218" s="250"/>
      <c r="L218" s="251"/>
      <c r="M218" s="251"/>
      <c r="N218" s="251"/>
      <c r="O218" s="252"/>
      <c r="P218" s="252"/>
    </row>
    <row r="219" spans="1:16" ht="21.75" customHeight="1" x14ac:dyDescent="0.35">
      <c r="A219" s="269"/>
      <c r="B219" s="270" t="s">
        <v>98</v>
      </c>
      <c r="C219" s="271"/>
      <c r="D219" s="270"/>
      <c r="E219" s="270"/>
      <c r="F219" s="270"/>
      <c r="G219" s="272"/>
      <c r="H219" s="273" t="s">
        <v>37</v>
      </c>
      <c r="I219" s="274">
        <f ca="1">IFERROR(__xludf.DUMMYFUNCTION("IMPORTRANGE(""https://docs.google.com/spreadsheets/d/1IYY_tgx_IHuhSq3AJ5eI5OnqOPBNLWSHKh2a30DoXe8/edit?usp=sharing"",""สงขลา!I144"")"),15)</f>
        <v>15</v>
      </c>
      <c r="J219" s="274">
        <f ca="1">IFERROR(__xludf.DUMMYFUNCTION("IMPORTRANGE(""https://docs.google.com/spreadsheets/d/1IYY_tgx_IHuhSq3AJ5eI5OnqOPBNLWSHKh2a30DoXe8/edit?usp=sharing"",""สงขลา!J144"")"),15)</f>
        <v>15</v>
      </c>
      <c r="K219" s="275">
        <f ca="1">IF(I219&gt;0,J219*100/I219,0)</f>
        <v>100</v>
      </c>
      <c r="L219" s="276"/>
      <c r="M219" s="276"/>
      <c r="N219" s="276"/>
      <c r="O219" s="275"/>
      <c r="P219" s="275"/>
    </row>
    <row r="220" spans="1:16" ht="21.75" customHeight="1" x14ac:dyDescent="0.45">
      <c r="A220" s="150"/>
      <c r="B220" s="151"/>
      <c r="C220" s="152" t="s">
        <v>16</v>
      </c>
      <c r="D220" s="552" t="s">
        <v>17</v>
      </c>
      <c r="E220" s="543"/>
      <c r="F220" s="543"/>
      <c r="G220" s="543"/>
      <c r="H220" s="153" t="s">
        <v>12</v>
      </c>
      <c r="I220" s="168"/>
      <c r="J220" s="168"/>
      <c r="K220" s="169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8"/>
      <c r="J221" s="168"/>
      <c r="K221" s="169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8"/>
      <c r="J222" s="168"/>
      <c r="K222" s="169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5">
      <c r="A223" s="162"/>
      <c r="B223" s="163"/>
      <c r="C223" s="163" t="s">
        <v>16</v>
      </c>
      <c r="D223" s="164" t="s">
        <v>38</v>
      </c>
      <c r="E223" s="165"/>
      <c r="F223" s="165"/>
      <c r="G223" s="166" t="s">
        <v>39</v>
      </c>
      <c r="H223" s="167" t="s">
        <v>12</v>
      </c>
      <c r="I223" s="168" t="s">
        <v>40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 x14ac:dyDescent="0.35">
      <c r="A224" s="162"/>
      <c r="B224" s="163"/>
      <c r="C224" s="163"/>
      <c r="D224" s="172"/>
      <c r="E224" s="165"/>
      <c r="F224" s="165" t="s">
        <v>40</v>
      </c>
      <c r="G224" s="166" t="s">
        <v>41</v>
      </c>
      <c r="H224" s="167" t="s">
        <v>12</v>
      </c>
      <c r="I224" s="168"/>
      <c r="J224" s="168"/>
      <c r="K224" s="169"/>
      <c r="L224" s="173">
        <f ca="1">L225+L226</f>
        <v>21125</v>
      </c>
      <c r="M224" s="174">
        <f ca="1">IFERROR(__xludf.DUMMYFUNCTION("IMPORTRANGE(""https://docs.google.com/spreadsheets/d/1Yj_ptqi66GCucihVvJfMjLAmec39IyEx_6qawtMGysU/edit?usp=sharing"",""สบก!BS92"")"),21125)</f>
        <v>21125</v>
      </c>
      <c r="N224" s="175">
        <f ca="1">IFERROR(__xludf.DUMMYFUNCTION("IMPORTRANGE(""https://docs.google.com/spreadsheets/d/1Yj_ptqi66GCucihVvJfMjLAmec39IyEx_6qawtMGysU/edit?usp=sharing"",""สบก!BT92"")"),21125)</f>
        <v>21125</v>
      </c>
      <c r="O224" s="176">
        <f ca="1">IF(L224&gt;0,N224*100/L224,0)</f>
        <v>100</v>
      </c>
      <c r="P224" s="176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2"/>
      <c r="E225" s="165"/>
      <c r="F225" s="165"/>
      <c r="G225" s="177" t="s">
        <v>42</v>
      </c>
      <c r="H225" s="167" t="s">
        <v>12</v>
      </c>
      <c r="I225" s="168"/>
      <c r="J225" s="168"/>
      <c r="K225" s="169"/>
      <c r="L225" s="174">
        <f ca="1">IFERROR(__xludf.DUMMYFUNCTION("IMPORTRANGE(""https://docs.google.com/spreadsheets/d/1Yj_ptqi66GCucihVvJfMjLAmec39IyEx_6qawtMGysU/edit?usp=sharing"",""สบก!BO92"")"),0)</f>
        <v>0</v>
      </c>
      <c r="M225" s="173"/>
      <c r="N225" s="173"/>
      <c r="O225" s="176"/>
      <c r="P225" s="176"/>
    </row>
    <row r="226" spans="1:16" ht="21.75" customHeight="1" x14ac:dyDescent="0.35">
      <c r="A226" s="162"/>
      <c r="B226" s="163"/>
      <c r="C226" s="163"/>
      <c r="D226" s="172"/>
      <c r="E226" s="165"/>
      <c r="F226" s="165"/>
      <c r="G226" s="177" t="s">
        <v>43</v>
      </c>
      <c r="H226" s="167" t="s">
        <v>12</v>
      </c>
      <c r="I226" s="168"/>
      <c r="J226" s="168"/>
      <c r="K226" s="169"/>
      <c r="L226" s="174">
        <f ca="1">IFERROR(__xludf.DUMMYFUNCTION("IMPORTRANGE(""https://docs.google.com/spreadsheets/d/1Yj_ptqi66GCucihVvJfMjLAmec39IyEx_6qawtMGysU/edit?usp=sharing"",""สบก!BP92"")"),21125)</f>
        <v>21125</v>
      </c>
      <c r="M226" s="173"/>
      <c r="N226" s="173"/>
      <c r="O226" s="176"/>
      <c r="P226" s="176"/>
    </row>
    <row r="227" spans="1:16" ht="21.75" customHeight="1" x14ac:dyDescent="0.45">
      <c r="A227" s="178"/>
      <c r="B227" s="81"/>
      <c r="C227" s="82" t="s">
        <v>16</v>
      </c>
      <c r="D227" s="549" t="s">
        <v>23</v>
      </c>
      <c r="E227" s="545"/>
      <c r="F227" s="89"/>
      <c r="G227" s="83" t="s">
        <v>18</v>
      </c>
      <c r="H227" s="179" t="s">
        <v>12</v>
      </c>
      <c r="I227" s="208"/>
      <c r="J227" s="208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80"/>
      <c r="B228" s="95"/>
      <c r="C228" s="95"/>
      <c r="D228" s="181"/>
      <c r="E228" s="96"/>
      <c r="F228" s="96"/>
      <c r="G228" s="97" t="s">
        <v>19</v>
      </c>
      <c r="H228" s="182" t="s">
        <v>12</v>
      </c>
      <c r="I228" s="208"/>
      <c r="J228" s="208"/>
      <c r="K228" s="296"/>
      <c r="L228" s="91">
        <f ca="1">IFERROR(__xludf.DUMMYFUNCTION("IMPORTRANGE(""https://docs.google.com/spreadsheets/d/1Yj_ptqi66GCucihVvJfMjLAmec39IyEx_6qawtMGysU/edit?usp=sharing"",""สบก!BQ92"")"),0)</f>
        <v>0</v>
      </c>
      <c r="M228" s="101"/>
      <c r="N228" s="91">
        <f ca="1">IFERROR(__xludf.DUMMYFUNCTION("IMPORTRANGE(""https://docs.google.com/spreadsheets/d/1Yj_ptqi66GCucihVvJfMjLAmec39IyEx_6qawtMGysU/edit?usp=sharing"",""สบก!BU92"")"),0)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3"/>
      <c r="B229" s="297"/>
      <c r="C229" s="271" t="s">
        <v>99</v>
      </c>
      <c r="D229" s="270"/>
      <c r="E229" s="270"/>
      <c r="F229" s="270"/>
      <c r="G229" s="272"/>
      <c r="H229" s="273" t="s">
        <v>37</v>
      </c>
      <c r="I229" s="274">
        <f ca="1">IFERROR(__xludf.DUMMYFUNCTION("IMPORTRANGE(""https://docs.google.com/spreadsheets/d/1IYY_tgx_IHuhSq3AJ5eI5OnqOPBNLWSHKh2a30DoXe8/edit?usp=sharing"",""สงขลา!I149"")"),15)</f>
        <v>15</v>
      </c>
      <c r="J229" s="274">
        <f ca="1">IFERROR(__xludf.DUMMYFUNCTION("IMPORTRANGE(""https://docs.google.com/spreadsheets/d/1IYY_tgx_IHuhSq3AJ5eI5OnqOPBNLWSHKh2a30DoXe8/edit?usp=sharing"",""สงขลา!J149"")"),15)</f>
        <v>15</v>
      </c>
      <c r="K229" s="275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3"/>
      <c r="B230" s="184"/>
      <c r="C230" s="163" t="s">
        <v>16</v>
      </c>
      <c r="D230" s="185" t="s">
        <v>44</v>
      </c>
      <c r="E230" s="186"/>
      <c r="F230" s="186"/>
      <c r="G230" s="187"/>
      <c r="H230" s="188"/>
      <c r="I230" s="168"/>
      <c r="J230" s="168"/>
      <c r="K230" s="169"/>
      <c r="L230" s="189"/>
      <c r="M230" s="189"/>
      <c r="N230" s="189"/>
      <c r="O230" s="189"/>
      <c r="P230" s="189"/>
    </row>
    <row r="231" spans="1:16" ht="21.75" customHeight="1" x14ac:dyDescent="0.35">
      <c r="A231" s="183"/>
      <c r="B231" s="184"/>
      <c r="C231" s="184"/>
      <c r="D231" s="190">
        <v>1</v>
      </c>
      <c r="E231" s="191" t="s">
        <v>45</v>
      </c>
      <c r="F231" s="192"/>
      <c r="G231" s="193"/>
      <c r="H231" s="194"/>
      <c r="I231" s="195"/>
      <c r="J231" s="205">
        <f ca="1">IFERROR(__xludf.DUMMYFUNCTION("IMPORTRANGE(""https://docs.google.com/spreadsheets/d/1IYY_tgx_IHuhSq3AJ5eI5OnqOPBNLWSHKh2a30DoXe8/edit?usp=sharing"",""สงขลา!J151"")"),0)</f>
        <v>0</v>
      </c>
      <c r="K231" s="169"/>
      <c r="L231" s="189"/>
      <c r="M231" s="189"/>
      <c r="N231" s="189"/>
      <c r="O231" s="189"/>
      <c r="P231" s="189"/>
    </row>
    <row r="232" spans="1:16" ht="21.75" customHeight="1" x14ac:dyDescent="0.35">
      <c r="A232" s="183"/>
      <c r="B232" s="184"/>
      <c r="C232" s="184"/>
      <c r="D232" s="197">
        <v>2</v>
      </c>
      <c r="E232" s="198" t="s">
        <v>46</v>
      </c>
      <c r="F232" s="199"/>
      <c r="G232" s="200"/>
      <c r="H232" s="194"/>
      <c r="I232" s="195"/>
      <c r="J232" s="196">
        <f ca="1">IFERROR(__xludf.DUMMYFUNCTION("IMPORTRANGE(""https://docs.google.com/spreadsheets/d/1IYY_tgx_IHuhSq3AJ5eI5OnqOPBNLWSHKh2a30DoXe8/edit?usp=sharing"",""สงขลา!J152"")"),1)</f>
        <v>1</v>
      </c>
      <c r="K232" s="169"/>
      <c r="L232" s="189" t="s">
        <v>40</v>
      </c>
      <c r="M232" s="189"/>
      <c r="N232" s="189" t="s">
        <v>40</v>
      </c>
      <c r="O232" s="189"/>
      <c r="P232" s="189"/>
    </row>
    <row r="233" spans="1:16" ht="21.75" customHeight="1" x14ac:dyDescent="0.35">
      <c r="A233" s="183"/>
      <c r="B233" s="184"/>
      <c r="C233" s="184"/>
      <c r="D233" s="201"/>
      <c r="E233" s="202" t="s">
        <v>47</v>
      </c>
      <c r="F233" s="203"/>
      <c r="G233" s="204"/>
      <c r="H233" s="194"/>
      <c r="I233" s="195"/>
      <c r="J233" s="196">
        <f ca="1">IFERROR(__xludf.DUMMYFUNCTION("IMPORTRANGE(""https://docs.google.com/spreadsheets/d/1IYY_tgx_IHuhSq3AJ5eI5OnqOPBNLWSHKh2a30DoXe8/edit?usp=sharing"",""สงขลา!J153"")"),1)</f>
        <v>1</v>
      </c>
      <c r="K233" s="169"/>
      <c r="L233" s="189"/>
      <c r="M233" s="189"/>
      <c r="N233" s="189"/>
      <c r="O233" s="189"/>
      <c r="P233" s="189"/>
    </row>
    <row r="234" spans="1:16" ht="21.75" customHeight="1" x14ac:dyDescent="0.35">
      <c r="A234" s="183"/>
      <c r="B234" s="184"/>
      <c r="C234" s="184"/>
      <c r="D234" s="201"/>
      <c r="E234" s="202" t="s">
        <v>48</v>
      </c>
      <c r="F234" s="203"/>
      <c r="G234" s="204"/>
      <c r="H234" s="194"/>
      <c r="I234" s="195"/>
      <c r="J234" s="205">
        <f ca="1">IFERROR(__xludf.DUMMYFUNCTION("IMPORTRANGE(""https://docs.google.com/spreadsheets/d/1IYY_tgx_IHuhSq3AJ5eI5OnqOPBNLWSHKh2a30DoXe8/edit?usp=sharing"",""สงขลา!J154"")"),1)</f>
        <v>1</v>
      </c>
      <c r="K234" s="169"/>
      <c r="L234" s="189"/>
      <c r="M234" s="189"/>
      <c r="N234" s="189"/>
      <c r="O234" s="189"/>
      <c r="P234" s="189"/>
    </row>
    <row r="235" spans="1:16" ht="21.75" customHeight="1" x14ac:dyDescent="0.35">
      <c r="A235" s="183"/>
      <c r="B235" s="184"/>
      <c r="C235" s="184"/>
      <c r="D235" s="201"/>
      <c r="E235" s="206"/>
      <c r="F235" s="203"/>
      <c r="G235" s="299" t="s">
        <v>70</v>
      </c>
      <c r="H235" s="194" t="s">
        <v>37</v>
      </c>
      <c r="I235" s="195">
        <f ca="1">IFERROR(__xludf.DUMMYFUNCTION("IMPORTRANGE(""https://docs.google.com/spreadsheets/d/1IYY_tgx_IHuhSq3AJ5eI5OnqOPBNLWSHKh2a30DoXe8/edit?usp=sharing"",""สงขลา!I155"")"),15)</f>
        <v>15</v>
      </c>
      <c r="J235" s="196">
        <f ca="1">IFERROR(__xludf.DUMMYFUNCTION("IMPORTRANGE(""https://docs.google.com/spreadsheets/d/1IYY_tgx_IHuhSq3AJ5eI5OnqOPBNLWSHKh2a30DoXe8/edit?usp=sharing"",""สงขลา!J155"")"),15)</f>
        <v>15</v>
      </c>
      <c r="K235" s="169">
        <f ca="1">IF(I235&gt;0,J235*100/I235,0)</f>
        <v>100</v>
      </c>
      <c r="L235" s="189"/>
      <c r="M235" s="189"/>
      <c r="N235" s="189"/>
      <c r="O235" s="189"/>
      <c r="P235" s="189"/>
    </row>
    <row r="236" spans="1:16" ht="21.75" customHeight="1" x14ac:dyDescent="0.35">
      <c r="A236" s="183"/>
      <c r="B236" s="184"/>
      <c r="C236" s="184"/>
      <c r="D236" s="201"/>
      <c r="E236" s="202" t="s">
        <v>54</v>
      </c>
      <c r="F236" s="203"/>
      <c r="G236" s="204"/>
      <c r="H236" s="194"/>
      <c r="I236" s="195"/>
      <c r="J236" s="205">
        <f ca="1">IFERROR(__xludf.DUMMYFUNCTION("IMPORTRANGE(""https://docs.google.com/spreadsheets/d/1IYY_tgx_IHuhSq3AJ5eI5OnqOPBNLWSHKh2a30DoXe8/edit?usp=sharing"",""สงขลา!J156"")"),0)</f>
        <v>0</v>
      </c>
      <c r="K236" s="169"/>
      <c r="L236" s="189"/>
      <c r="M236" s="189"/>
      <c r="N236" s="189"/>
      <c r="O236" s="189"/>
      <c r="P236" s="189"/>
    </row>
    <row r="237" spans="1:16" ht="21.75" customHeight="1" x14ac:dyDescent="0.35">
      <c r="A237" s="183"/>
      <c r="B237" s="184"/>
      <c r="C237" s="184"/>
      <c r="D237" s="213">
        <v>3</v>
      </c>
      <c r="E237" s="214" t="s">
        <v>55</v>
      </c>
      <c r="F237" s="215"/>
      <c r="G237" s="216"/>
      <c r="H237" s="194"/>
      <c r="I237" s="195"/>
      <c r="J237" s="217">
        <f ca="1">IFERROR(__xludf.DUMMYFUNCTION("IMPORTRANGE(""https://docs.google.com/spreadsheets/d/1IYY_tgx_IHuhSq3AJ5eI5OnqOPBNLWSHKh2a30DoXe8/edit?usp=sharing"",""สงขลา!J157"")"),0)</f>
        <v>0</v>
      </c>
      <c r="K237" s="169"/>
      <c r="L237" s="189"/>
      <c r="M237" s="189"/>
      <c r="N237" s="189"/>
      <c r="O237" s="189"/>
      <c r="P237" s="189"/>
    </row>
    <row r="238" spans="1:16" ht="21.75" customHeight="1" x14ac:dyDescent="0.35">
      <c r="A238" s="183"/>
      <c r="B238" s="184"/>
      <c r="C238" s="271" t="s">
        <v>100</v>
      </c>
      <c r="D238" s="300"/>
      <c r="E238" s="270"/>
      <c r="F238" s="270"/>
      <c r="G238" s="272"/>
      <c r="H238" s="273" t="s">
        <v>37</v>
      </c>
      <c r="I238" s="274">
        <f ca="1">IFERROR(__xludf.DUMMYFUNCTION("IMPORTRANGE(""https://docs.google.com/spreadsheets/d/1IYY_tgx_IHuhSq3AJ5eI5OnqOPBNLWSHKh2a30DoXe8/edit?usp=sharing"",""สงขลา!I158"")"),0)</f>
        <v>0</v>
      </c>
      <c r="J238" s="274">
        <f ca="1">IFERROR(__xludf.DUMMYFUNCTION("IMPORTRANGE(""https://docs.google.com/spreadsheets/d/1IYY_tgx_IHuhSq3AJ5eI5OnqOPBNLWSHKh2a30DoXe8/edit?usp=sharing"",""สงขลา!J158"")"),0)</f>
        <v>0</v>
      </c>
      <c r="K238" s="275">
        <f ca="1">IF(I238&gt;0,J238*100/I238,0)</f>
        <v>0</v>
      </c>
      <c r="L238" s="189"/>
      <c r="M238" s="189"/>
      <c r="N238" s="189"/>
      <c r="O238" s="189"/>
      <c r="P238" s="189"/>
    </row>
    <row r="239" spans="1:16" ht="21.75" customHeight="1" x14ac:dyDescent="0.35">
      <c r="A239" s="183"/>
      <c r="B239" s="184"/>
      <c r="C239" s="163" t="s">
        <v>16</v>
      </c>
      <c r="D239" s="185" t="s">
        <v>44</v>
      </c>
      <c r="E239" s="186"/>
      <c r="F239" s="186"/>
      <c r="G239" s="187"/>
      <c r="H239" s="188"/>
      <c r="I239" s="168"/>
      <c r="J239" s="168"/>
      <c r="K239" s="169"/>
      <c r="L239" s="189"/>
      <c r="M239" s="189"/>
      <c r="N239" s="189"/>
      <c r="O239" s="189"/>
      <c r="P239" s="189"/>
    </row>
    <row r="240" spans="1:16" ht="21.75" customHeight="1" x14ac:dyDescent="0.35">
      <c r="A240" s="183"/>
      <c r="B240" s="184"/>
      <c r="C240" s="184"/>
      <c r="D240" s="190">
        <v>1</v>
      </c>
      <c r="E240" s="191" t="s">
        <v>45</v>
      </c>
      <c r="F240" s="192"/>
      <c r="G240" s="193"/>
      <c r="H240" s="194"/>
      <c r="I240" s="195"/>
      <c r="J240" s="195" t="str">
        <f ca="1">IFERROR(__xludf.DUMMYFUNCTION("IMPORTRANGE(""https://docs.google.com/spreadsheets/d/1IYY_tgx_IHuhSq3AJ5eI5OnqOPBNLWSHKh2a30DoXe8/edit?usp=sharing"",""สงขลา!J159"")"),"")</f>
        <v/>
      </c>
      <c r="K240" s="169"/>
      <c r="L240" s="189"/>
      <c r="M240" s="189"/>
      <c r="N240" s="189"/>
      <c r="O240" s="189"/>
      <c r="P240" s="189"/>
    </row>
    <row r="241" spans="1:16" ht="21.75" customHeight="1" x14ac:dyDescent="0.35">
      <c r="A241" s="183"/>
      <c r="B241" s="184"/>
      <c r="C241" s="184"/>
      <c r="D241" s="197">
        <v>2</v>
      </c>
      <c r="E241" s="198" t="s">
        <v>46</v>
      </c>
      <c r="F241" s="199"/>
      <c r="G241" s="200"/>
      <c r="H241" s="194"/>
      <c r="I241" s="195"/>
      <c r="J241" s="195">
        <f ca="1">IFERROR(__xludf.DUMMYFUNCTION("IMPORTRANGE(""https://docs.google.com/spreadsheets/d/1IYY_tgx_IHuhSq3AJ5eI5OnqOPBNLWSHKh2a30DoXe8/edit?usp=sharing"",""สงขลา!J161"")"),0)</f>
        <v>0</v>
      </c>
      <c r="K241" s="169"/>
      <c r="L241" s="189" t="s">
        <v>40</v>
      </c>
      <c r="M241" s="189"/>
      <c r="N241" s="189" t="s">
        <v>40</v>
      </c>
      <c r="O241" s="189"/>
      <c r="P241" s="189"/>
    </row>
    <row r="242" spans="1:16" ht="21.75" customHeight="1" x14ac:dyDescent="0.35">
      <c r="A242" s="183"/>
      <c r="B242" s="184"/>
      <c r="C242" s="184"/>
      <c r="D242" s="201"/>
      <c r="E242" s="202" t="s">
        <v>47</v>
      </c>
      <c r="F242" s="203"/>
      <c r="G242" s="204"/>
      <c r="H242" s="194"/>
      <c r="I242" s="195"/>
      <c r="J242" s="195">
        <f ca="1">IFERROR(__xludf.DUMMYFUNCTION("IMPORTRANGE(""https://docs.google.com/spreadsheets/d/1IYY_tgx_IHuhSq3AJ5eI5OnqOPBNLWSHKh2a30DoXe8/edit?usp=sharing"",""สงขลา!J162"")"),0)</f>
        <v>0</v>
      </c>
      <c r="K242" s="169"/>
      <c r="L242" s="189"/>
      <c r="M242" s="189"/>
      <c r="N242" s="189"/>
      <c r="O242" s="189"/>
      <c r="P242" s="189"/>
    </row>
    <row r="243" spans="1:16" ht="21.75" customHeight="1" x14ac:dyDescent="0.35">
      <c r="A243" s="183"/>
      <c r="B243" s="184"/>
      <c r="C243" s="184"/>
      <c r="D243" s="201"/>
      <c r="E243" s="202" t="s">
        <v>48</v>
      </c>
      <c r="F243" s="203"/>
      <c r="G243" s="204"/>
      <c r="H243" s="194"/>
      <c r="I243" s="195"/>
      <c r="J243" s="195">
        <f ca="1">IFERROR(__xludf.DUMMYFUNCTION("IMPORTRANGE(""https://docs.google.com/spreadsheets/d/1IYY_tgx_IHuhSq3AJ5eI5OnqOPBNLWSHKh2a30DoXe8/edit?usp=sharing"",""สงขลา!J163"")"),0)</f>
        <v>0</v>
      </c>
      <c r="K243" s="169"/>
      <c r="L243" s="189"/>
      <c r="M243" s="189"/>
      <c r="N243" s="189"/>
      <c r="O243" s="189"/>
      <c r="P243" s="189"/>
    </row>
    <row r="244" spans="1:16" ht="21.75" customHeight="1" x14ac:dyDescent="0.35">
      <c r="A244" s="183"/>
      <c r="B244" s="184"/>
      <c r="C244" s="184"/>
      <c r="D244" s="201"/>
      <c r="E244" s="203"/>
      <c r="F244" s="202" t="s">
        <v>101</v>
      </c>
      <c r="G244" s="203"/>
      <c r="H244" s="194" t="s">
        <v>37</v>
      </c>
      <c r="I244" s="211">
        <f ca="1">IFERROR(__xludf.DUMMYFUNCTION("IMPORTRANGE(""https://docs.google.com/spreadsheets/d/1IYY_tgx_IHuhSq3AJ5eI5OnqOPBNLWSHKh2a30DoXe8/edit?usp=sharing"",""สงขลา!I164"")"),0)</f>
        <v>0</v>
      </c>
      <c r="J244" s="195">
        <f ca="1">IFERROR(__xludf.DUMMYFUNCTION("IMPORTRANGE(""https://docs.google.com/spreadsheets/d/1IYY_tgx_IHuhSq3AJ5eI5OnqOPBNLWSHKh2a30DoXe8/edit?usp=sharing"",""สงขลา!J164"")"),0)</f>
        <v>0</v>
      </c>
      <c r="K244" s="169">
        <f ca="1">IF(I244&gt;0,J244*100/I244,0)</f>
        <v>0</v>
      </c>
      <c r="L244" s="189"/>
      <c r="M244" s="189"/>
      <c r="N244" s="189"/>
      <c r="O244" s="189"/>
      <c r="P244" s="189"/>
    </row>
    <row r="245" spans="1:16" ht="21.75" customHeight="1" x14ac:dyDescent="0.35">
      <c r="A245" s="183"/>
      <c r="B245" s="184"/>
      <c r="C245" s="184"/>
      <c r="D245" s="201"/>
      <c r="E245" s="202" t="s">
        <v>54</v>
      </c>
      <c r="F245" s="203"/>
      <c r="G245" s="204"/>
      <c r="H245" s="194"/>
      <c r="I245" s="195"/>
      <c r="J245" s="195">
        <f ca="1">IFERROR(__xludf.DUMMYFUNCTION("IMPORTRANGE(""https://docs.google.com/spreadsheets/d/1IYY_tgx_IHuhSq3AJ5eI5OnqOPBNLWSHKh2a30DoXe8/edit?usp=sharing"",""สงขลา!J165"")"),0)</f>
        <v>0</v>
      </c>
      <c r="K245" s="169"/>
      <c r="L245" s="189"/>
      <c r="M245" s="189"/>
      <c r="N245" s="189"/>
      <c r="O245" s="189"/>
      <c r="P245" s="189"/>
    </row>
    <row r="246" spans="1:16" ht="21.75" customHeight="1" x14ac:dyDescent="0.35">
      <c r="A246" s="241"/>
      <c r="B246" s="242"/>
      <c r="C246" s="242"/>
      <c r="D246" s="243">
        <v>3</v>
      </c>
      <c r="E246" s="244" t="s">
        <v>55</v>
      </c>
      <c r="F246" s="245"/>
      <c r="G246" s="246"/>
      <c r="H246" s="247"/>
      <c r="I246" s="248"/>
      <c r="J246" s="249">
        <f ca="1">IFERROR(__xludf.DUMMYFUNCTION("IMPORTRANGE(""https://docs.google.com/spreadsheets/d/1IYY_tgx_IHuhSq3AJ5eI5OnqOPBNLWSHKh2a30DoXe8/edit?usp=sharing"",""สงขลา!J166"")"),0)</f>
        <v>0</v>
      </c>
      <c r="K246" s="294"/>
      <c r="L246" s="252"/>
      <c r="M246" s="252"/>
      <c r="N246" s="252"/>
      <c r="O246" s="252"/>
      <c r="P246" s="252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IFERROR(__xludf.DUMMYFUNCTION("IMPORTRANGE(""https://docs.google.com/spreadsheets/d/1IYY_tgx_IHuhSq3AJ5eI5OnqOPBNLWSHKh2a30DoXe8/edit?usp=sharing"",""สงขลา!I169"")"),0)</f>
        <v>0</v>
      </c>
      <c r="J249" s="322">
        <f ca="1">IFERROR(__xludf.DUMMYFUNCTION("IMPORTRANGE(""https://docs.google.com/spreadsheets/d/1IYY_tgx_IHuhSq3AJ5eI5OnqOPBNLWSHKh2a30DoXe8/edit?usp=sharing"",""สงขลา!J169"")"),0)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52" t="s">
        <v>17</v>
      </c>
      <c r="E250" s="543"/>
      <c r="F250" s="543"/>
      <c r="G250" s="543"/>
      <c r="H250" s="153" t="s">
        <v>12</v>
      </c>
      <c r="I250" s="168"/>
      <c r="J250" s="168"/>
      <c r="K250" s="169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8"/>
      <c r="J251" s="168"/>
      <c r="K251" s="169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8"/>
      <c r="J252" s="168"/>
      <c r="K252" s="169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5">
      <c r="A253" s="162"/>
      <c r="B253" s="163"/>
      <c r="C253" s="163" t="s">
        <v>16</v>
      </c>
      <c r="D253" s="164" t="s">
        <v>38</v>
      </c>
      <c r="E253" s="165"/>
      <c r="F253" s="165"/>
      <c r="G253" s="166" t="s">
        <v>39</v>
      </c>
      <c r="H253" s="167" t="s">
        <v>12</v>
      </c>
      <c r="I253" s="168" t="s">
        <v>40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 x14ac:dyDescent="0.35">
      <c r="A254" s="162"/>
      <c r="B254" s="163"/>
      <c r="C254" s="163"/>
      <c r="D254" s="172"/>
      <c r="E254" s="165"/>
      <c r="F254" s="165" t="s">
        <v>40</v>
      </c>
      <c r="G254" s="166" t="s">
        <v>41</v>
      </c>
      <c r="H254" s="167" t="s">
        <v>12</v>
      </c>
      <c r="I254" s="168"/>
      <c r="J254" s="168"/>
      <c r="K254" s="169"/>
      <c r="L254" s="173">
        <f ca="1">L255+L256</f>
        <v>0</v>
      </c>
      <c r="M254" s="174">
        <f ca="1">IFERROR(__xludf.DUMMYFUNCTION("IMPORTRANGE(""https://docs.google.com/spreadsheets/d/1Yj_ptqi66GCucihVvJfMjLAmec39IyEx_6qawtMGysU/edit?usp=sharing"",""สบก!CB92"")"),0)</f>
        <v>0</v>
      </c>
      <c r="N254" s="175">
        <f ca="1">IFERROR(__xludf.DUMMYFUNCTION("IMPORTRANGE(""https://docs.google.com/spreadsheets/d/1Yj_ptqi66GCucihVvJfMjLAmec39IyEx_6qawtMGysU/edit?usp=sharing"",""สบก!CC92"")"),0)</f>
        <v>0</v>
      </c>
      <c r="O254" s="176">
        <f ca="1">IF(L254&gt;0,N254*100/L254,0)</f>
        <v>0</v>
      </c>
      <c r="P254" s="176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2"/>
      <c r="E255" s="165"/>
      <c r="F255" s="165"/>
      <c r="G255" s="177" t="s">
        <v>42</v>
      </c>
      <c r="H255" s="167" t="s">
        <v>12</v>
      </c>
      <c r="I255" s="168"/>
      <c r="J255" s="168"/>
      <c r="K255" s="169"/>
      <c r="L255" s="174">
        <f ca="1">IFERROR(__xludf.DUMMYFUNCTION("IMPORTRANGE(""https://docs.google.com/spreadsheets/d/1Yj_ptqi66GCucihVvJfMjLAmec39IyEx_6qawtMGysU/edit?usp=sharing"",""สบก!BX92"")"),0)</f>
        <v>0</v>
      </c>
      <c r="M255" s="173"/>
      <c r="N255" s="173"/>
      <c r="O255" s="176"/>
      <c r="P255" s="176"/>
    </row>
    <row r="256" spans="1:16" ht="21.75" customHeight="1" x14ac:dyDescent="0.35">
      <c r="A256" s="162"/>
      <c r="B256" s="163"/>
      <c r="C256" s="163"/>
      <c r="D256" s="172"/>
      <c r="E256" s="165"/>
      <c r="F256" s="165"/>
      <c r="G256" s="177" t="s">
        <v>43</v>
      </c>
      <c r="H256" s="167" t="s">
        <v>12</v>
      </c>
      <c r="I256" s="168"/>
      <c r="J256" s="168"/>
      <c r="K256" s="169"/>
      <c r="L256" s="174">
        <f ca="1">IFERROR(__xludf.DUMMYFUNCTION("IMPORTRANGE(""https://docs.google.com/spreadsheets/d/1Yj_ptqi66GCucihVvJfMjLAmec39IyEx_6qawtMGysU/edit?usp=sharing"",""สบก!BY92"")"),0)</f>
        <v>0</v>
      </c>
      <c r="M256" s="173"/>
      <c r="N256" s="173"/>
      <c r="O256" s="176"/>
      <c r="P256" s="176"/>
    </row>
    <row r="257" spans="1:16" ht="21.75" customHeight="1" x14ac:dyDescent="0.45">
      <c r="A257" s="178"/>
      <c r="B257" s="81"/>
      <c r="C257" s="82" t="s">
        <v>16</v>
      </c>
      <c r="D257" s="549" t="s">
        <v>23</v>
      </c>
      <c r="E257" s="545"/>
      <c r="F257" s="89"/>
      <c r="G257" s="83" t="s">
        <v>18</v>
      </c>
      <c r="H257" s="179" t="s">
        <v>12</v>
      </c>
      <c r="I257" s="168"/>
      <c r="J257" s="168"/>
      <c r="K257" s="169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80"/>
      <c r="B258" s="95"/>
      <c r="C258" s="95"/>
      <c r="D258" s="181"/>
      <c r="E258" s="96"/>
      <c r="F258" s="96"/>
      <c r="G258" s="97" t="s">
        <v>19</v>
      </c>
      <c r="H258" s="182" t="s">
        <v>12</v>
      </c>
      <c r="I258" s="168"/>
      <c r="J258" s="168"/>
      <c r="K258" s="169"/>
      <c r="L258" s="91">
        <f ca="1">IFERROR(__xludf.DUMMYFUNCTION("IMPORTRANGE(""https://docs.google.com/spreadsheets/d/1Yj_ptqi66GCucihVvJfMjLAmec39IyEx_6qawtMGysU/edit?usp=sharing"",""สบก!BZ92"")"),0)</f>
        <v>0</v>
      </c>
      <c r="M258" s="101"/>
      <c r="N258" s="91">
        <f ca="1">IFERROR(__xludf.DUMMYFUNCTION("IMPORTRANGE(""https://docs.google.com/spreadsheets/d/1Yj_ptqi66GCucihVvJfMjLAmec39IyEx_6qawtMGysU/edit?usp=sharing"",""สบก!CD92"")"),0)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3"/>
      <c r="B259" s="184"/>
      <c r="C259" s="163" t="s">
        <v>16</v>
      </c>
      <c r="D259" s="185" t="s">
        <v>44</v>
      </c>
      <c r="E259" s="186"/>
      <c r="F259" s="186"/>
      <c r="G259" s="187"/>
      <c r="H259" s="188"/>
      <c r="I259" s="168"/>
      <c r="J259" s="168"/>
      <c r="K259" s="169"/>
      <c r="L259" s="189"/>
      <c r="M259" s="189"/>
      <c r="N259" s="189"/>
      <c r="O259" s="189"/>
      <c r="P259" s="189"/>
    </row>
    <row r="260" spans="1:16" ht="21.75" customHeight="1" x14ac:dyDescent="0.35">
      <c r="A260" s="183"/>
      <c r="B260" s="184"/>
      <c r="C260" s="184"/>
      <c r="D260" s="190">
        <v>1</v>
      </c>
      <c r="E260" s="191" t="s">
        <v>45</v>
      </c>
      <c r="F260" s="192"/>
      <c r="G260" s="193"/>
      <c r="H260" s="194"/>
      <c r="I260" s="195"/>
      <c r="J260" s="196">
        <f ca="1">IFERROR(__xludf.DUMMYFUNCTION("IMPORTRANGE(""https://docs.google.com/spreadsheets/d/1IYY_tgx_IHuhSq3AJ5eI5OnqOPBNLWSHKh2a30DoXe8/edit?usp=sharing"",""สงขลา!J175"")"),0)</f>
        <v>0</v>
      </c>
      <c r="K260" s="169"/>
      <c r="L260" s="189"/>
      <c r="M260" s="189"/>
      <c r="N260" s="189"/>
      <c r="O260" s="189"/>
      <c r="P260" s="189"/>
    </row>
    <row r="261" spans="1:16" ht="21.75" customHeight="1" x14ac:dyDescent="0.35">
      <c r="A261" s="183"/>
      <c r="B261" s="184"/>
      <c r="C261" s="184"/>
      <c r="D261" s="197">
        <v>2</v>
      </c>
      <c r="E261" s="198" t="s">
        <v>46</v>
      </c>
      <c r="F261" s="199"/>
      <c r="G261" s="200"/>
      <c r="H261" s="194"/>
      <c r="I261" s="195"/>
      <c r="J261" s="205">
        <f ca="1">IFERROR(__xludf.DUMMYFUNCTION("IMPORTRANGE(""https://docs.google.com/spreadsheets/d/1IYY_tgx_IHuhSq3AJ5eI5OnqOPBNLWSHKh2a30DoXe8/edit?usp=sharing"",""สงขลา!J176"")"),0)</f>
        <v>0</v>
      </c>
      <c r="K261" s="169"/>
      <c r="L261" s="189" t="s">
        <v>40</v>
      </c>
      <c r="M261" s="189"/>
      <c r="N261" s="189" t="s">
        <v>40</v>
      </c>
      <c r="O261" s="189"/>
      <c r="P261" s="189"/>
    </row>
    <row r="262" spans="1:16" ht="21.75" customHeight="1" x14ac:dyDescent="0.35">
      <c r="A262" s="183"/>
      <c r="B262" s="184"/>
      <c r="C262" s="184"/>
      <c r="D262" s="201"/>
      <c r="E262" s="202" t="s">
        <v>47</v>
      </c>
      <c r="F262" s="203"/>
      <c r="G262" s="204"/>
      <c r="H262" s="194"/>
      <c r="I262" s="195"/>
      <c r="J262" s="205">
        <f ca="1">IFERROR(__xludf.DUMMYFUNCTION("IMPORTRANGE(""https://docs.google.com/spreadsheets/d/1IYY_tgx_IHuhSq3AJ5eI5OnqOPBNLWSHKh2a30DoXe8/edit?usp=sharing"",""สงขลา!J177"")"),0)</f>
        <v>0</v>
      </c>
      <c r="K262" s="169"/>
      <c r="L262" s="189"/>
      <c r="M262" s="189"/>
      <c r="N262" s="189"/>
      <c r="O262" s="189"/>
      <c r="P262" s="189"/>
    </row>
    <row r="263" spans="1:16" ht="21.75" customHeight="1" x14ac:dyDescent="0.35">
      <c r="A263" s="183"/>
      <c r="B263" s="184"/>
      <c r="C263" s="184"/>
      <c r="D263" s="201"/>
      <c r="E263" s="202" t="s">
        <v>48</v>
      </c>
      <c r="F263" s="203"/>
      <c r="G263" s="204"/>
      <c r="H263" s="194"/>
      <c r="I263" s="195"/>
      <c r="J263" s="205">
        <f ca="1">IFERROR(__xludf.DUMMYFUNCTION("IMPORTRANGE(""https://docs.google.com/spreadsheets/d/1IYY_tgx_IHuhSq3AJ5eI5OnqOPBNLWSHKh2a30DoXe8/edit?usp=sharing"",""สงขลา!J178"")"),0)</f>
        <v>0</v>
      </c>
      <c r="K263" s="169"/>
      <c r="L263" s="189"/>
      <c r="M263" s="189"/>
      <c r="N263" s="189"/>
      <c r="O263" s="189"/>
      <c r="P263" s="189"/>
    </row>
    <row r="264" spans="1:16" ht="21.75" customHeight="1" x14ac:dyDescent="0.35">
      <c r="A264" s="183"/>
      <c r="B264" s="184"/>
      <c r="C264" s="184"/>
      <c r="D264" s="201"/>
      <c r="E264" s="206"/>
      <c r="F264" s="202" t="s">
        <v>105</v>
      </c>
      <c r="G264" s="204"/>
      <c r="H264" s="188" t="s">
        <v>59</v>
      </c>
      <c r="I264" s="195">
        <f ca="1">IFERROR(__xludf.DUMMYFUNCTION("IMPORTRANGE(""https://docs.google.com/spreadsheets/d/1IYY_tgx_IHuhSq3AJ5eI5OnqOPBNLWSHKh2a30DoXe8/edit?usp=sharing"",""สงขลา!I179"")"),0)</f>
        <v>0</v>
      </c>
      <c r="J264" s="196">
        <f ca="1">IFERROR(__xludf.DUMMYFUNCTION("IMPORTRANGE(""https://docs.google.com/spreadsheets/d/1IYY_tgx_IHuhSq3AJ5eI5OnqOPBNLWSHKh2a30DoXe8/edit?usp=sharing"",""สงขลา!J179"")"),0)</f>
        <v>0</v>
      </c>
      <c r="K264" s="169">
        <f t="shared" ref="K264:K267" ca="1" si="82">IF(I264&gt;0,J264*100/I264,0)</f>
        <v>0</v>
      </c>
      <c r="L264" s="189"/>
      <c r="M264" s="189"/>
      <c r="N264" s="189"/>
      <c r="O264" s="189"/>
      <c r="P264" s="189"/>
    </row>
    <row r="265" spans="1:16" ht="21.75" customHeight="1" x14ac:dyDescent="0.35">
      <c r="A265" s="183"/>
      <c r="B265" s="184"/>
      <c r="C265" s="184"/>
      <c r="D265" s="201"/>
      <c r="E265" s="206"/>
      <c r="F265" s="202" t="s">
        <v>106</v>
      </c>
      <c r="G265" s="204"/>
      <c r="H265" s="188" t="s">
        <v>37</v>
      </c>
      <c r="I265" s="195">
        <f ca="1">IFERROR(__xludf.DUMMYFUNCTION("IMPORTRANGE(""https://docs.google.com/spreadsheets/d/1IYY_tgx_IHuhSq3AJ5eI5OnqOPBNLWSHKh2a30DoXe8/edit?usp=sharing"",""สงขลา!I180"")"),0)</f>
        <v>0</v>
      </c>
      <c r="J265" s="196">
        <f ca="1">IFERROR(__xludf.DUMMYFUNCTION("IMPORTRANGE(""https://docs.google.com/spreadsheets/d/1IYY_tgx_IHuhSq3AJ5eI5OnqOPBNLWSHKh2a30DoXe8/edit?usp=sharing"",""สงขลา!J180"")"),0)</f>
        <v>0</v>
      </c>
      <c r="K265" s="169">
        <f t="shared" ca="1" si="82"/>
        <v>0</v>
      </c>
      <c r="L265" s="189"/>
      <c r="M265" s="189"/>
      <c r="N265" s="189"/>
      <c r="O265" s="189"/>
      <c r="P265" s="189"/>
    </row>
    <row r="266" spans="1:16" ht="21.75" customHeight="1" x14ac:dyDescent="0.35">
      <c r="A266" s="183"/>
      <c r="B266" s="184"/>
      <c r="C266" s="184"/>
      <c r="D266" s="201"/>
      <c r="E266" s="206"/>
      <c r="F266" s="202" t="s">
        <v>107</v>
      </c>
      <c r="G266" s="204"/>
      <c r="H266" s="188" t="s">
        <v>37</v>
      </c>
      <c r="I266" s="195">
        <f ca="1">IFERROR(__xludf.DUMMYFUNCTION("IMPORTRANGE(""https://docs.google.com/spreadsheets/d/1IYY_tgx_IHuhSq3AJ5eI5OnqOPBNLWSHKh2a30DoXe8/edit?usp=sharing"",""สงขลา!I181"")"),0)</f>
        <v>0</v>
      </c>
      <c r="J266" s="196">
        <f ca="1">IFERROR(__xludf.DUMMYFUNCTION("IMPORTRANGE(""https://docs.google.com/spreadsheets/d/1IYY_tgx_IHuhSq3AJ5eI5OnqOPBNLWSHKh2a30DoXe8/edit?usp=sharing"",""สงขลา!J181"")"),0)</f>
        <v>0</v>
      </c>
      <c r="K266" s="169">
        <f t="shared" ca="1" si="82"/>
        <v>0</v>
      </c>
      <c r="L266" s="189"/>
      <c r="M266" s="189"/>
      <c r="N266" s="189"/>
      <c r="O266" s="189"/>
      <c r="P266" s="189"/>
    </row>
    <row r="267" spans="1:16" ht="21.75" customHeight="1" x14ac:dyDescent="0.35">
      <c r="A267" s="183"/>
      <c r="B267" s="184"/>
      <c r="C267" s="184"/>
      <c r="D267" s="201"/>
      <c r="E267" s="206"/>
      <c r="F267" s="202" t="s">
        <v>108</v>
      </c>
      <c r="G267" s="204"/>
      <c r="H267" s="188" t="s">
        <v>37</v>
      </c>
      <c r="I267" s="195">
        <f ca="1">IFERROR(__xludf.DUMMYFUNCTION("IMPORTRANGE(""https://docs.google.com/spreadsheets/d/1IYY_tgx_IHuhSq3AJ5eI5OnqOPBNLWSHKh2a30DoXe8/edit?usp=sharing"",""สงขลา!I182"")"),0)</f>
        <v>0</v>
      </c>
      <c r="J267" s="196">
        <f ca="1">IFERROR(__xludf.DUMMYFUNCTION("IMPORTRANGE(""https://docs.google.com/spreadsheets/d/1IYY_tgx_IHuhSq3AJ5eI5OnqOPBNLWSHKh2a30DoXe8/edit?usp=sharing"",""สงขลา!J182"")"),0)</f>
        <v>0</v>
      </c>
      <c r="K267" s="169">
        <f t="shared" ca="1" si="82"/>
        <v>0</v>
      </c>
      <c r="L267" s="189"/>
      <c r="M267" s="189"/>
      <c r="N267" s="189"/>
      <c r="O267" s="189"/>
      <c r="P267" s="189"/>
    </row>
    <row r="268" spans="1:16" ht="21.75" customHeight="1" x14ac:dyDescent="0.35">
      <c r="A268" s="183"/>
      <c r="B268" s="184"/>
      <c r="C268" s="184"/>
      <c r="D268" s="201"/>
      <c r="E268" s="202" t="s">
        <v>54</v>
      </c>
      <c r="F268" s="203"/>
      <c r="G268" s="204"/>
      <c r="H268" s="194"/>
      <c r="I268" s="195"/>
      <c r="J268" s="205">
        <f ca="1">IFERROR(__xludf.DUMMYFUNCTION("IMPORTRANGE(""https://docs.google.com/spreadsheets/d/1IYY_tgx_IHuhSq3AJ5eI5OnqOPBNLWSHKh2a30DoXe8/edit?usp=sharing"",""สงขลา!J183"")"),0)</f>
        <v>0</v>
      </c>
      <c r="K268" s="169"/>
      <c r="L268" s="189"/>
      <c r="M268" s="189"/>
      <c r="N268" s="189"/>
      <c r="O268" s="189"/>
      <c r="P268" s="189"/>
    </row>
    <row r="269" spans="1:16" ht="21.75" customHeight="1" x14ac:dyDescent="0.35">
      <c r="A269" s="241"/>
      <c r="B269" s="242"/>
      <c r="C269" s="242"/>
      <c r="D269" s="243">
        <v>3</v>
      </c>
      <c r="E269" s="244" t="s">
        <v>55</v>
      </c>
      <c r="F269" s="245"/>
      <c r="G269" s="246"/>
      <c r="H269" s="247"/>
      <c r="I269" s="248"/>
      <c r="J269" s="293">
        <f ca="1">IFERROR(__xludf.DUMMYFUNCTION("IMPORTRANGE(""https://docs.google.com/spreadsheets/d/1IYY_tgx_IHuhSq3AJ5eI5OnqOPBNLWSHKh2a30DoXe8/edit?usp=sharing"",""สงขลา!J184"")"),0)</f>
        <v>0</v>
      </c>
      <c r="K269" s="294"/>
      <c r="L269" s="252"/>
      <c r="M269" s="252"/>
      <c r="N269" s="252"/>
      <c r="O269" s="252"/>
      <c r="P269" s="252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IFERROR(__xludf.DUMMYFUNCTION("IMPORTRANGE(""https://docs.google.com/spreadsheets/d/1IYY_tgx_IHuhSq3AJ5eI5OnqOPBNLWSHKh2a30DoXe8/edit?usp=sharing"",""สงขลา!I185"")"),15)</f>
        <v>15</v>
      </c>
      <c r="J270" s="322">
        <f ca="1">IFERROR(__xludf.DUMMYFUNCTION("IMPORTRANGE(""https://docs.google.com/spreadsheets/d/1IYY_tgx_IHuhSq3AJ5eI5OnqOPBNLWSHKh2a30DoXe8/edit?usp=sharing"",""สงขลา!J185"")"),15)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52" t="s">
        <v>17</v>
      </c>
      <c r="E271" s="543"/>
      <c r="F271" s="543"/>
      <c r="G271" s="543"/>
      <c r="H271" s="153" t="s">
        <v>12</v>
      </c>
      <c r="I271" s="168"/>
      <c r="J271" s="168"/>
      <c r="K271" s="169"/>
      <c r="L271" s="156">
        <f t="shared" ref="L271:N271" ca="1" si="83">L272+L273</f>
        <v>187200</v>
      </c>
      <c r="M271" s="156">
        <f t="shared" ca="1" si="83"/>
        <v>98250</v>
      </c>
      <c r="N271" s="156">
        <f t="shared" ca="1" si="83"/>
        <v>88530</v>
      </c>
      <c r="O271" s="155">
        <f t="shared" ref="O271:O273" ca="1" si="84">IF(L271&gt;0,N271*100/L271,0)</f>
        <v>47.291666666666664</v>
      </c>
      <c r="P271" s="155">
        <f t="shared" ref="P271:P273" ca="1" si="85">IF(M271&gt;0,N271*100/M271,0)</f>
        <v>90.10687022900764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8"/>
      <c r="J272" s="168"/>
      <c r="K272" s="169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8"/>
      <c r="J273" s="168"/>
      <c r="K273" s="169"/>
      <c r="L273" s="161">
        <f t="shared" ref="L273:N273" ca="1" si="87">L275+L279</f>
        <v>187200</v>
      </c>
      <c r="M273" s="161">
        <f t="shared" ca="1" si="87"/>
        <v>98250</v>
      </c>
      <c r="N273" s="161">
        <f t="shared" ca="1" si="87"/>
        <v>88530</v>
      </c>
      <c r="O273" s="160">
        <f t="shared" ca="1" si="84"/>
        <v>47.291666666666664</v>
      </c>
      <c r="P273" s="160">
        <f t="shared" ca="1" si="85"/>
        <v>90.10687022900764</v>
      </c>
    </row>
    <row r="274" spans="1:16" ht="21.75" customHeight="1" x14ac:dyDescent="0.35">
      <c r="A274" s="162"/>
      <c r="B274" s="163"/>
      <c r="C274" s="163" t="s">
        <v>16</v>
      </c>
      <c r="D274" s="164" t="s">
        <v>38</v>
      </c>
      <c r="E274" s="165"/>
      <c r="F274" s="165"/>
      <c r="G274" s="166" t="s">
        <v>39</v>
      </c>
      <c r="H274" s="167" t="s">
        <v>12</v>
      </c>
      <c r="I274" s="168" t="s">
        <v>40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 x14ac:dyDescent="0.35">
      <c r="A275" s="162"/>
      <c r="B275" s="163"/>
      <c r="C275" s="163"/>
      <c r="D275" s="172"/>
      <c r="E275" s="165"/>
      <c r="F275" s="165" t="s">
        <v>40</v>
      </c>
      <c r="G275" s="166" t="s">
        <v>41</v>
      </c>
      <c r="H275" s="167" t="s">
        <v>12</v>
      </c>
      <c r="I275" s="168"/>
      <c r="J275" s="168"/>
      <c r="K275" s="169"/>
      <c r="L275" s="173">
        <f ca="1">L276+L277</f>
        <v>187200</v>
      </c>
      <c r="M275" s="174">
        <f ca="1">IFERROR(__xludf.DUMMYFUNCTION("IMPORTRANGE(""https://docs.google.com/spreadsheets/d/1Yj_ptqi66GCucihVvJfMjLAmec39IyEx_6qawtMGysU/edit?usp=sharing"",""สบก!CK92"")"),98250)</f>
        <v>98250</v>
      </c>
      <c r="N275" s="175">
        <f ca="1">IFERROR(__xludf.DUMMYFUNCTION("IMPORTRANGE(""https://docs.google.com/spreadsheets/d/1Yj_ptqi66GCucihVvJfMjLAmec39IyEx_6qawtMGysU/edit?usp=sharing"",""สบก!CL92"")"),88530)</f>
        <v>88530</v>
      </c>
      <c r="O275" s="176">
        <f ca="1">IF(L275&gt;0,N275*100/L275,0)</f>
        <v>47.291666666666664</v>
      </c>
      <c r="P275" s="176">
        <f ca="1">IF(M275&gt;0,N275*100/M275,0)</f>
        <v>90.10687022900764</v>
      </c>
    </row>
    <row r="276" spans="1:16" ht="21.75" customHeight="1" x14ac:dyDescent="0.35">
      <c r="A276" s="162"/>
      <c r="B276" s="163"/>
      <c r="C276" s="163"/>
      <c r="D276" s="172"/>
      <c r="E276" s="165"/>
      <c r="F276" s="165"/>
      <c r="G276" s="177" t="s">
        <v>42</v>
      </c>
      <c r="H276" s="167" t="s">
        <v>12</v>
      </c>
      <c r="I276" s="168"/>
      <c r="J276" s="168"/>
      <c r="K276" s="169"/>
      <c r="L276" s="174">
        <f ca="1">IFERROR(__xludf.DUMMYFUNCTION("IMPORTRANGE(""https://docs.google.com/spreadsheets/d/1Yj_ptqi66GCucihVvJfMjLAmec39IyEx_6qawtMGysU/edit?usp=sharing"",""สบก!CG92"")"),132000)</f>
        <v>132000</v>
      </c>
      <c r="M276" s="173"/>
      <c r="N276" s="173"/>
      <c r="O276" s="176"/>
      <c r="P276" s="176"/>
    </row>
    <row r="277" spans="1:16" ht="21.75" customHeight="1" x14ac:dyDescent="0.35">
      <c r="A277" s="162"/>
      <c r="B277" s="163"/>
      <c r="C277" s="163"/>
      <c r="D277" s="172"/>
      <c r="E277" s="165"/>
      <c r="F277" s="165"/>
      <c r="G277" s="177" t="s">
        <v>43</v>
      </c>
      <c r="H277" s="167" t="s">
        <v>12</v>
      </c>
      <c r="I277" s="168"/>
      <c r="J277" s="168"/>
      <c r="K277" s="169"/>
      <c r="L277" s="174">
        <f ca="1">IFERROR(__xludf.DUMMYFUNCTION("IMPORTRANGE(""https://docs.google.com/spreadsheets/d/1Yj_ptqi66GCucihVvJfMjLAmec39IyEx_6qawtMGysU/edit?usp=sharing"",""สบก!CH92"")"),55200)</f>
        <v>55200</v>
      </c>
      <c r="M277" s="173"/>
      <c r="N277" s="173"/>
      <c r="O277" s="176"/>
      <c r="P277" s="176"/>
    </row>
    <row r="278" spans="1:16" ht="21.75" customHeight="1" x14ac:dyDescent="0.45">
      <c r="A278" s="178"/>
      <c r="B278" s="81"/>
      <c r="C278" s="82" t="s">
        <v>16</v>
      </c>
      <c r="D278" s="549" t="s">
        <v>23</v>
      </c>
      <c r="E278" s="545"/>
      <c r="F278" s="89"/>
      <c r="G278" s="83" t="s">
        <v>18</v>
      </c>
      <c r="H278" s="179" t="s">
        <v>12</v>
      </c>
      <c r="I278" s="168"/>
      <c r="J278" s="168"/>
      <c r="K278" s="169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80"/>
      <c r="B279" s="95"/>
      <c r="C279" s="95"/>
      <c r="D279" s="181"/>
      <c r="E279" s="96"/>
      <c r="F279" s="96"/>
      <c r="G279" s="97" t="s">
        <v>19</v>
      </c>
      <c r="H279" s="182" t="s">
        <v>12</v>
      </c>
      <c r="I279" s="168"/>
      <c r="J279" s="168"/>
      <c r="K279" s="169"/>
      <c r="L279" s="91">
        <f ca="1">IFERROR(__xludf.DUMMYFUNCTION("IMPORTRANGE(""https://docs.google.com/spreadsheets/d/1Yj_ptqi66GCucihVvJfMjLAmec39IyEx_6qawtMGysU/edit?usp=sharing"",""สบก!CI92"")"),0)</f>
        <v>0</v>
      </c>
      <c r="M279" s="101"/>
      <c r="N279" s="91">
        <f ca="1">IFERROR(__xludf.DUMMYFUNCTION("IMPORTRANGE(""https://docs.google.com/spreadsheets/d/1Yj_ptqi66GCucihVvJfMjLAmec39IyEx_6qawtMGysU/edit?usp=sharing"",""สบก!CM92"")"),0)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3"/>
      <c r="B280" s="184"/>
      <c r="C280" s="163" t="s">
        <v>16</v>
      </c>
      <c r="D280" s="185" t="s">
        <v>44</v>
      </c>
      <c r="E280" s="186"/>
      <c r="F280" s="186"/>
      <c r="G280" s="187"/>
      <c r="H280" s="188"/>
      <c r="I280" s="168"/>
      <c r="J280" s="168"/>
      <c r="K280" s="169"/>
      <c r="L280" s="189"/>
      <c r="M280" s="189"/>
      <c r="N280" s="189"/>
      <c r="O280" s="189"/>
      <c r="P280" s="189"/>
    </row>
    <row r="281" spans="1:16" ht="21.75" customHeight="1" x14ac:dyDescent="0.35">
      <c r="A281" s="183"/>
      <c r="B281" s="184"/>
      <c r="C281" s="184"/>
      <c r="D281" s="190">
        <v>1</v>
      </c>
      <c r="E281" s="191" t="s">
        <v>45</v>
      </c>
      <c r="F281" s="192"/>
      <c r="G281" s="193"/>
      <c r="H281" s="194"/>
      <c r="I281" s="195"/>
      <c r="J281" s="196">
        <f ca="1">IFERROR(__xludf.DUMMYFUNCTION("IMPORTRANGE(""https://docs.google.com/spreadsheets/d/1IYY_tgx_IHuhSq3AJ5eI5OnqOPBNLWSHKh2a30DoXe8/edit?usp=sharing"",""สงขลา!J191"")"),0)</f>
        <v>0</v>
      </c>
      <c r="K281" s="169"/>
      <c r="L281" s="189"/>
      <c r="M281" s="189"/>
      <c r="N281" s="189"/>
      <c r="O281" s="189"/>
      <c r="P281" s="189"/>
    </row>
    <row r="282" spans="1:16" ht="21.75" customHeight="1" x14ac:dyDescent="0.35">
      <c r="A282" s="183"/>
      <c r="B282" s="184"/>
      <c r="C282" s="184"/>
      <c r="D282" s="197">
        <v>2</v>
      </c>
      <c r="E282" s="198" t="s">
        <v>46</v>
      </c>
      <c r="F282" s="199"/>
      <c r="G282" s="200"/>
      <c r="H282" s="194"/>
      <c r="I282" s="195"/>
      <c r="J282" s="205">
        <f ca="1">IFERROR(__xludf.DUMMYFUNCTION("IMPORTRANGE(""https://docs.google.com/spreadsheets/d/1IYY_tgx_IHuhSq3AJ5eI5OnqOPBNLWSHKh2a30DoXe8/edit?usp=sharing"",""สงขลา!J192"")"),1)</f>
        <v>1</v>
      </c>
      <c r="K282" s="169"/>
      <c r="L282" s="189"/>
      <c r="M282" s="189"/>
      <c r="N282" s="189"/>
      <c r="O282" s="189"/>
      <c r="P282" s="189"/>
    </row>
    <row r="283" spans="1:16" ht="21.75" customHeight="1" x14ac:dyDescent="0.35">
      <c r="A283" s="183"/>
      <c r="B283" s="184"/>
      <c r="C283" s="184"/>
      <c r="D283" s="201"/>
      <c r="E283" s="202" t="s">
        <v>47</v>
      </c>
      <c r="F283" s="203"/>
      <c r="G283" s="204"/>
      <c r="H283" s="194"/>
      <c r="I283" s="195"/>
      <c r="J283" s="205">
        <f ca="1">IFERROR(__xludf.DUMMYFUNCTION("IMPORTRANGE(""https://docs.google.com/spreadsheets/d/1IYY_tgx_IHuhSq3AJ5eI5OnqOPBNLWSHKh2a30DoXe8/edit?usp=sharing"",""สงขลา!J193"")"),1)</f>
        <v>1</v>
      </c>
      <c r="K283" s="169"/>
      <c r="L283" s="189"/>
      <c r="M283" s="189"/>
      <c r="N283" s="189"/>
      <c r="O283" s="189"/>
      <c r="P283" s="189"/>
    </row>
    <row r="284" spans="1:16" ht="21.75" customHeight="1" x14ac:dyDescent="0.35">
      <c r="A284" s="183"/>
      <c r="B284" s="184"/>
      <c r="C284" s="184"/>
      <c r="D284" s="201"/>
      <c r="E284" s="202" t="s">
        <v>48</v>
      </c>
      <c r="F284" s="203"/>
      <c r="G284" s="204"/>
      <c r="H284" s="194"/>
      <c r="I284" s="195"/>
      <c r="J284" s="205">
        <f ca="1">IFERROR(__xludf.DUMMYFUNCTION("IMPORTRANGE(""https://docs.google.com/spreadsheets/d/1IYY_tgx_IHuhSq3AJ5eI5OnqOPBNLWSHKh2a30DoXe8/edit?usp=sharing"",""สงขลา!J194"")"),1)</f>
        <v>1</v>
      </c>
      <c r="K284" s="169"/>
      <c r="L284" s="189"/>
      <c r="M284" s="189"/>
      <c r="N284" s="189"/>
      <c r="O284" s="189"/>
      <c r="P284" s="189"/>
    </row>
    <row r="285" spans="1:16" ht="21.75" customHeight="1" x14ac:dyDescent="0.35">
      <c r="A285" s="183"/>
      <c r="B285" s="184"/>
      <c r="C285" s="184"/>
      <c r="D285" s="201"/>
      <c r="E285" s="203"/>
      <c r="F285" s="202" t="s">
        <v>110</v>
      </c>
      <c r="G285" s="204"/>
      <c r="H285" s="194" t="s">
        <v>37</v>
      </c>
      <c r="I285" s="195">
        <f ca="1">IFERROR(__xludf.DUMMYFUNCTION("IMPORTRANGE(""https://docs.google.com/spreadsheets/d/1IYY_tgx_IHuhSq3AJ5eI5OnqOPBNLWSHKh2a30DoXe8/edit?usp=sharing"",""สงขลา!I195"")"),15)</f>
        <v>15</v>
      </c>
      <c r="J285" s="196">
        <f ca="1">IFERROR(__xludf.DUMMYFUNCTION("IMPORTRANGE(""https://docs.google.com/spreadsheets/d/1IYY_tgx_IHuhSq3AJ5eI5OnqOPBNLWSHKh2a30DoXe8/edit?usp=sharing"",""สงขลา!J195"")"),15)</f>
        <v>15</v>
      </c>
      <c r="K285" s="169">
        <f ca="1">IF(I285&gt;0,J285*100/I285,0)</f>
        <v>100</v>
      </c>
      <c r="L285" s="189"/>
      <c r="M285" s="189"/>
      <c r="N285" s="189"/>
      <c r="O285" s="189"/>
      <c r="P285" s="189"/>
    </row>
    <row r="286" spans="1:16" ht="21.75" customHeight="1" x14ac:dyDescent="0.35">
      <c r="A286" s="183"/>
      <c r="B286" s="184"/>
      <c r="C286" s="184"/>
      <c r="D286" s="201"/>
      <c r="E286" s="202" t="s">
        <v>54</v>
      </c>
      <c r="F286" s="203"/>
      <c r="G286" s="204"/>
      <c r="H286" s="194"/>
      <c r="I286" s="195"/>
      <c r="J286" s="205">
        <f ca="1">IFERROR(__xludf.DUMMYFUNCTION("IMPORTRANGE(""https://docs.google.com/spreadsheets/d/1IYY_tgx_IHuhSq3AJ5eI5OnqOPBNLWSHKh2a30DoXe8/edit?usp=sharing"",""สงขลา!J196"")"),0)</f>
        <v>0</v>
      </c>
      <c r="K286" s="169"/>
      <c r="L286" s="189"/>
      <c r="M286" s="189"/>
      <c r="N286" s="189"/>
      <c r="O286" s="189"/>
      <c r="P286" s="189"/>
    </row>
    <row r="287" spans="1:16" ht="21.75" customHeight="1" x14ac:dyDescent="0.35">
      <c r="A287" s="183"/>
      <c r="B287" s="184"/>
      <c r="C287" s="184"/>
      <c r="D287" s="213">
        <v>3</v>
      </c>
      <c r="E287" s="214" t="s">
        <v>55</v>
      </c>
      <c r="F287" s="215"/>
      <c r="G287" s="216"/>
      <c r="H287" s="194"/>
      <c r="I287" s="195"/>
      <c r="J287" s="217">
        <f ca="1">IFERROR(__xludf.DUMMYFUNCTION("IMPORTRANGE(""https://docs.google.com/spreadsheets/d/1IYY_tgx_IHuhSq3AJ5eI5OnqOPBNLWSHKh2a30DoXe8/edit?usp=sharing"",""สงขลา!J197"")"),0)</f>
        <v>0</v>
      </c>
      <c r="K287" s="169"/>
      <c r="L287" s="189"/>
      <c r="M287" s="189"/>
      <c r="N287" s="189"/>
      <c r="O287" s="189"/>
      <c r="P287" s="189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IFERROR(__xludf.DUMMYFUNCTION("IMPORTRANGE(""https://docs.google.com/spreadsheets/d/1IYY_tgx_IHuhSq3AJ5eI5OnqOPBNLWSHKh2a30DoXe8/edit?usp=sharing"",""สงขลา!I199"")"),15)</f>
        <v>15</v>
      </c>
      <c r="J289" s="322">
        <f ca="1">IFERROR(__xludf.DUMMYFUNCTION("IMPORTRANGE(""https://docs.google.com/spreadsheets/d/1IYY_tgx_IHuhSq3AJ5eI5OnqOPBNLWSHKh2a30DoXe8/edit?usp=sharing"",""สงขลา!J199"")"),15)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52" t="s">
        <v>17</v>
      </c>
      <c r="E290" s="543"/>
      <c r="F290" s="543"/>
      <c r="G290" s="543"/>
      <c r="H290" s="153" t="s">
        <v>12</v>
      </c>
      <c r="I290" s="195"/>
      <c r="J290" s="195"/>
      <c r="K290" s="231"/>
      <c r="L290" s="156">
        <f t="shared" ref="L290:N290" ca="1" si="88">L291+L292</f>
        <v>81820</v>
      </c>
      <c r="M290" s="156">
        <f t="shared" ca="1" si="88"/>
        <v>34760</v>
      </c>
      <c r="N290" s="156">
        <f t="shared" ca="1" si="88"/>
        <v>34760</v>
      </c>
      <c r="O290" s="155">
        <f t="shared" ref="O290:O292" ca="1" si="89">IF(L290&gt;0,N290*100/L290,0)</f>
        <v>42.483500366658518</v>
      </c>
      <c r="P290" s="155">
        <f t="shared" ref="P290:P292" ca="1" si="90">IF(M290&gt;0,N290*100/M290,0)</f>
        <v>100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5"/>
      <c r="J291" s="195"/>
      <c r="K291" s="231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5"/>
      <c r="J292" s="195"/>
      <c r="K292" s="231"/>
      <c r="L292" s="161">
        <f t="shared" ref="L292:N292" ca="1" si="92">L294+L298</f>
        <v>81820</v>
      </c>
      <c r="M292" s="161">
        <f t="shared" ca="1" si="92"/>
        <v>34760</v>
      </c>
      <c r="N292" s="161">
        <f t="shared" ca="1" si="92"/>
        <v>34760</v>
      </c>
      <c r="O292" s="160">
        <f t="shared" ca="1" si="89"/>
        <v>42.483500366658518</v>
      </c>
      <c r="P292" s="160">
        <f t="shared" ca="1" si="90"/>
        <v>100</v>
      </c>
    </row>
    <row r="293" spans="1:16" ht="21.75" customHeight="1" x14ac:dyDescent="0.35">
      <c r="A293" s="162"/>
      <c r="B293" s="163"/>
      <c r="C293" s="163" t="s">
        <v>16</v>
      </c>
      <c r="D293" s="164" t="s">
        <v>38</v>
      </c>
      <c r="E293" s="165"/>
      <c r="F293" s="165"/>
      <c r="G293" s="166" t="s">
        <v>39</v>
      </c>
      <c r="H293" s="167" t="s">
        <v>12</v>
      </c>
      <c r="I293" s="195" t="s">
        <v>40</v>
      </c>
      <c r="J293" s="195"/>
      <c r="K293" s="231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 x14ac:dyDescent="0.35">
      <c r="A294" s="162"/>
      <c r="B294" s="163"/>
      <c r="C294" s="163"/>
      <c r="D294" s="172"/>
      <c r="E294" s="165"/>
      <c r="F294" s="165" t="s">
        <v>40</v>
      </c>
      <c r="G294" s="166" t="s">
        <v>41</v>
      </c>
      <c r="H294" s="167" t="s">
        <v>12</v>
      </c>
      <c r="I294" s="195"/>
      <c r="J294" s="195"/>
      <c r="K294" s="231"/>
      <c r="L294" s="173">
        <f ca="1">L295+L296</f>
        <v>81820</v>
      </c>
      <c r="M294" s="174">
        <f ca="1">IFERROR(__xludf.DUMMYFUNCTION("IMPORTRANGE(""https://docs.google.com/spreadsheets/d/1Yj_ptqi66GCucihVvJfMjLAmec39IyEx_6qawtMGysU/edit?usp=sharing"",""สบก!CT92"")"),34760)</f>
        <v>34760</v>
      </c>
      <c r="N294" s="175">
        <f ca="1">IFERROR(__xludf.DUMMYFUNCTION("IMPORTRANGE(""https://docs.google.com/spreadsheets/d/1Yj_ptqi66GCucihVvJfMjLAmec39IyEx_6qawtMGysU/edit?usp=sharing"",""สบก!CU92"")"),34760)</f>
        <v>34760</v>
      </c>
      <c r="O294" s="176">
        <f ca="1">IF(L294&gt;0,N294*100/L294,0)</f>
        <v>42.483500366658518</v>
      </c>
      <c r="P294" s="176">
        <f ca="1">IF(M294&gt;0,N294*100/M294,0)</f>
        <v>100</v>
      </c>
    </row>
    <row r="295" spans="1:16" ht="21.75" customHeight="1" x14ac:dyDescent="0.35">
      <c r="A295" s="162"/>
      <c r="B295" s="163"/>
      <c r="C295" s="163"/>
      <c r="D295" s="172"/>
      <c r="E295" s="165"/>
      <c r="F295" s="165"/>
      <c r="G295" s="177" t="s">
        <v>42</v>
      </c>
      <c r="H295" s="167" t="s">
        <v>12</v>
      </c>
      <c r="I295" s="195"/>
      <c r="J295" s="195"/>
      <c r="K295" s="231"/>
      <c r="L295" s="174">
        <f ca="1">IFERROR(__xludf.DUMMYFUNCTION("IMPORTRANGE(""https://docs.google.com/spreadsheets/d/1Yj_ptqi66GCucihVvJfMjLAmec39IyEx_6qawtMGysU/edit?usp=sharing"",""สบก!CP92"")"),0)</f>
        <v>0</v>
      </c>
      <c r="M295" s="173"/>
      <c r="N295" s="173"/>
      <c r="O295" s="176"/>
      <c r="P295" s="176"/>
    </row>
    <row r="296" spans="1:16" ht="21.75" customHeight="1" x14ac:dyDescent="0.35">
      <c r="A296" s="162"/>
      <c r="B296" s="163"/>
      <c r="C296" s="163"/>
      <c r="D296" s="172"/>
      <c r="E296" s="165"/>
      <c r="F296" s="165"/>
      <c r="G296" s="177" t="s">
        <v>43</v>
      </c>
      <c r="H296" s="167" t="s">
        <v>12</v>
      </c>
      <c r="I296" s="195"/>
      <c r="J296" s="195"/>
      <c r="K296" s="231"/>
      <c r="L296" s="174">
        <f ca="1">IFERROR(__xludf.DUMMYFUNCTION("IMPORTRANGE(""https://docs.google.com/spreadsheets/d/1Yj_ptqi66GCucihVvJfMjLAmec39IyEx_6qawtMGysU/edit?usp=sharing"",""สบก!CQ92"")"),81820)</f>
        <v>81820</v>
      </c>
      <c r="M296" s="173"/>
      <c r="N296" s="173"/>
      <c r="O296" s="176"/>
      <c r="P296" s="176"/>
    </row>
    <row r="297" spans="1:16" ht="21.75" customHeight="1" x14ac:dyDescent="0.45">
      <c r="A297" s="178"/>
      <c r="B297" s="81"/>
      <c r="C297" s="82" t="s">
        <v>16</v>
      </c>
      <c r="D297" s="549" t="s">
        <v>23</v>
      </c>
      <c r="E297" s="545"/>
      <c r="F297" s="89"/>
      <c r="G297" s="83" t="s">
        <v>18</v>
      </c>
      <c r="H297" s="179" t="s">
        <v>12</v>
      </c>
      <c r="I297" s="195"/>
      <c r="J297" s="195"/>
      <c r="K297" s="231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80"/>
      <c r="B298" s="95"/>
      <c r="C298" s="95"/>
      <c r="D298" s="181"/>
      <c r="E298" s="96"/>
      <c r="F298" s="96"/>
      <c r="G298" s="97" t="s">
        <v>19</v>
      </c>
      <c r="H298" s="182" t="s">
        <v>12</v>
      </c>
      <c r="I298" s="195"/>
      <c r="J298" s="195"/>
      <c r="K298" s="231"/>
      <c r="L298" s="91">
        <f ca="1">IFERROR(__xludf.DUMMYFUNCTION("IMPORTRANGE(""https://docs.google.com/spreadsheets/d/1Yj_ptqi66GCucihVvJfMjLAmec39IyEx_6qawtMGysU/edit?usp=sharing"",""สบก!CR92"")"),0)</f>
        <v>0</v>
      </c>
      <c r="M298" s="101"/>
      <c r="N298" s="91">
        <f ca="1">IFERROR(__xludf.DUMMYFUNCTION("IMPORTRANGE(""https://docs.google.com/spreadsheets/d/1Yj_ptqi66GCucihVvJfMjLAmec39IyEx_6qawtMGysU/edit?usp=sharing"",""สบก!CV92"")"),0)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3"/>
      <c r="B299" s="184"/>
      <c r="C299" s="163" t="s">
        <v>16</v>
      </c>
      <c r="D299" s="185" t="s">
        <v>44</v>
      </c>
      <c r="E299" s="186"/>
      <c r="F299" s="186"/>
      <c r="G299" s="187"/>
      <c r="H299" s="188"/>
      <c r="I299" s="195"/>
      <c r="J299" s="195"/>
      <c r="K299" s="231"/>
      <c r="L299" s="176"/>
      <c r="M299" s="176"/>
      <c r="N299" s="176"/>
      <c r="O299" s="189"/>
      <c r="P299" s="189"/>
    </row>
    <row r="300" spans="1:16" ht="21.75" customHeight="1" x14ac:dyDescent="0.35">
      <c r="A300" s="183"/>
      <c r="B300" s="184"/>
      <c r="C300" s="184"/>
      <c r="D300" s="190">
        <v>1</v>
      </c>
      <c r="E300" s="191" t="s">
        <v>45</v>
      </c>
      <c r="F300" s="192"/>
      <c r="G300" s="193"/>
      <c r="H300" s="194"/>
      <c r="I300" s="195"/>
      <c r="J300" s="195">
        <f ca="1">IFERROR(__xludf.DUMMYFUNCTION("IMPORTRANGE(""https://docs.google.com/spreadsheets/d/1IYY_tgx_IHuhSq3AJ5eI5OnqOPBNLWSHKh2a30DoXe8/edit?usp=sharing"",""สงขลา!J205"")"),0)</f>
        <v>0</v>
      </c>
      <c r="K300" s="231"/>
      <c r="L300" s="176"/>
      <c r="M300" s="176"/>
      <c r="N300" s="176"/>
      <c r="O300" s="189"/>
      <c r="P300" s="189"/>
    </row>
    <row r="301" spans="1:16" ht="21.75" customHeight="1" x14ac:dyDescent="0.35">
      <c r="A301" s="183"/>
      <c r="B301" s="184"/>
      <c r="C301" s="184"/>
      <c r="D301" s="197">
        <v>2</v>
      </c>
      <c r="E301" s="198" t="s">
        <v>46</v>
      </c>
      <c r="F301" s="199"/>
      <c r="G301" s="200"/>
      <c r="H301" s="194"/>
      <c r="I301" s="195"/>
      <c r="J301" s="195">
        <f ca="1">IFERROR(__xludf.DUMMYFUNCTION("IMPORTRANGE(""https://docs.google.com/spreadsheets/d/1IYY_tgx_IHuhSq3AJ5eI5OnqOPBNLWSHKh2a30DoXe8/edit?usp=sharing"",""สงขลา!J206"")"),1)</f>
        <v>1</v>
      </c>
      <c r="K301" s="231"/>
      <c r="L301" s="176" t="s">
        <v>40</v>
      </c>
      <c r="M301" s="176"/>
      <c r="N301" s="176" t="s">
        <v>40</v>
      </c>
      <c r="O301" s="189"/>
      <c r="P301" s="189"/>
    </row>
    <row r="302" spans="1:16" ht="21.75" customHeight="1" x14ac:dyDescent="0.35">
      <c r="A302" s="183"/>
      <c r="B302" s="184"/>
      <c r="C302" s="184"/>
      <c r="D302" s="201"/>
      <c r="E302" s="202" t="s">
        <v>47</v>
      </c>
      <c r="F302" s="203"/>
      <c r="G302" s="204"/>
      <c r="H302" s="194"/>
      <c r="I302" s="195"/>
      <c r="J302" s="195">
        <f ca="1">IFERROR(__xludf.DUMMYFUNCTION("IMPORTRANGE(""https://docs.google.com/spreadsheets/d/1IYY_tgx_IHuhSq3AJ5eI5OnqOPBNLWSHKh2a30DoXe8/edit?usp=sharing"",""สงขลา!J207"")"),1)</f>
        <v>1</v>
      </c>
      <c r="K302" s="231"/>
      <c r="L302" s="176"/>
      <c r="M302" s="176"/>
      <c r="N302" s="176"/>
      <c r="O302" s="189"/>
      <c r="P302" s="189"/>
    </row>
    <row r="303" spans="1:16" ht="21.75" customHeight="1" x14ac:dyDescent="0.35">
      <c r="A303" s="183"/>
      <c r="B303" s="184"/>
      <c r="C303" s="184"/>
      <c r="D303" s="201"/>
      <c r="E303" s="202" t="s">
        <v>48</v>
      </c>
      <c r="F303" s="203"/>
      <c r="G303" s="204"/>
      <c r="H303" s="194"/>
      <c r="I303" s="195"/>
      <c r="J303" s="195">
        <f ca="1">IFERROR(__xludf.DUMMYFUNCTION("IMPORTRANGE(""https://docs.google.com/spreadsheets/d/1IYY_tgx_IHuhSq3AJ5eI5OnqOPBNLWSHKh2a30DoXe8/edit?usp=sharing"",""สงขลา!J208"")"),1)</f>
        <v>1</v>
      </c>
      <c r="K303" s="231"/>
      <c r="L303" s="176"/>
      <c r="M303" s="176"/>
      <c r="N303" s="176"/>
      <c r="O303" s="189"/>
      <c r="P303" s="189"/>
    </row>
    <row r="304" spans="1:16" ht="21.75" customHeight="1" x14ac:dyDescent="0.35">
      <c r="A304" s="183"/>
      <c r="B304" s="184"/>
      <c r="C304" s="184"/>
      <c r="D304" s="201"/>
      <c r="E304" s="206"/>
      <c r="F304" s="202" t="s">
        <v>113</v>
      </c>
      <c r="G304" s="204"/>
      <c r="H304" s="188" t="s">
        <v>37</v>
      </c>
      <c r="I304" s="195">
        <f ca="1">IFERROR(__xludf.DUMMYFUNCTION("IMPORTRANGE(""https://docs.google.com/spreadsheets/d/1IYY_tgx_IHuhSq3AJ5eI5OnqOPBNLWSHKh2a30DoXe8/edit?usp=sharing"",""สงขลา!I209"")"),15)</f>
        <v>15</v>
      </c>
      <c r="J304" s="211">
        <f ca="1">IFERROR(__xludf.DUMMYFUNCTION("IMPORTRANGE(""https://docs.google.com/spreadsheets/d/1IYY_tgx_IHuhSq3AJ5eI5OnqOPBNLWSHKh2a30DoXe8/edit?usp=sharing"",""สงขลา!J209"")"),15)</f>
        <v>15</v>
      </c>
      <c r="K304" s="231">
        <f ca="1">IF(I304&gt;0,J304*100/I304,0)</f>
        <v>100</v>
      </c>
      <c r="L304" s="176"/>
      <c r="M304" s="176"/>
      <c r="N304" s="176"/>
      <c r="O304" s="189"/>
      <c r="P304" s="189"/>
    </row>
    <row r="305" spans="1:16" ht="21.75" customHeight="1" x14ac:dyDescent="0.35">
      <c r="A305" s="183"/>
      <c r="B305" s="184"/>
      <c r="C305" s="184"/>
      <c r="D305" s="201"/>
      <c r="E305" s="206"/>
      <c r="F305" s="202" t="s">
        <v>114</v>
      </c>
      <c r="G305" s="204"/>
      <c r="H305" s="188"/>
      <c r="I305" s="195"/>
      <c r="J305" s="195"/>
      <c r="K305" s="231"/>
      <c r="L305" s="176"/>
      <c r="M305" s="176"/>
      <c r="N305" s="176"/>
      <c r="O305" s="189"/>
      <c r="P305" s="189"/>
    </row>
    <row r="306" spans="1:16" ht="21.75" customHeight="1" x14ac:dyDescent="0.35">
      <c r="A306" s="183"/>
      <c r="B306" s="184"/>
      <c r="C306" s="184"/>
      <c r="D306" s="201"/>
      <c r="E306" s="206"/>
      <c r="F306" s="203" t="s">
        <v>53</v>
      </c>
      <c r="G306" s="204"/>
      <c r="H306" s="188" t="s">
        <v>37</v>
      </c>
      <c r="I306" s="195">
        <f ca="1">IFERROR(__xludf.DUMMYFUNCTION("IMPORTRANGE(""https://docs.google.com/spreadsheets/d/1IYY_tgx_IHuhSq3AJ5eI5OnqOPBNLWSHKh2a30DoXe8/edit?usp=sharing"",""สงขลา!I211"")"),15)</f>
        <v>15</v>
      </c>
      <c r="J306" s="211">
        <f ca="1">IFERROR(__xludf.DUMMYFUNCTION("IMPORTRANGE(""https://docs.google.com/spreadsheets/d/1IYY_tgx_IHuhSq3AJ5eI5OnqOPBNLWSHKh2a30DoXe8/edit?usp=sharing"",""สงขลา!J211"")"),0)</f>
        <v>0</v>
      </c>
      <c r="K306" s="231">
        <f ca="1">IF(I306&gt;0,J306*100/I306,0)</f>
        <v>0</v>
      </c>
      <c r="L306" s="176"/>
      <c r="M306" s="176"/>
      <c r="N306" s="176"/>
      <c r="O306" s="189"/>
      <c r="P306" s="189"/>
    </row>
    <row r="307" spans="1:16" ht="21.75" customHeight="1" x14ac:dyDescent="0.35">
      <c r="A307" s="183"/>
      <c r="B307" s="184"/>
      <c r="C307" s="184"/>
      <c r="D307" s="201"/>
      <c r="E307" s="202" t="s">
        <v>54</v>
      </c>
      <c r="F307" s="203"/>
      <c r="G307" s="204"/>
      <c r="H307" s="194"/>
      <c r="I307" s="195"/>
      <c r="J307" s="195">
        <f ca="1">IFERROR(__xludf.DUMMYFUNCTION("IMPORTRANGE(""https://docs.google.com/spreadsheets/d/1IYY_tgx_IHuhSq3AJ5eI5OnqOPBNLWSHKh2a30DoXe8/edit?usp=sharing"",""สงขลา!J212"")"),0)</f>
        <v>0</v>
      </c>
      <c r="K307" s="231"/>
      <c r="L307" s="176"/>
      <c r="M307" s="176"/>
      <c r="N307" s="176"/>
      <c r="O307" s="189"/>
      <c r="P307" s="189"/>
    </row>
    <row r="308" spans="1:16" ht="21.75" customHeight="1" x14ac:dyDescent="0.35">
      <c r="A308" s="183"/>
      <c r="B308" s="184"/>
      <c r="C308" s="184"/>
      <c r="D308" s="213">
        <v>3</v>
      </c>
      <c r="E308" s="214" t="s">
        <v>55</v>
      </c>
      <c r="F308" s="215"/>
      <c r="G308" s="216"/>
      <c r="H308" s="194"/>
      <c r="I308" s="195"/>
      <c r="J308" s="332">
        <f ca="1">IFERROR(__xludf.DUMMYFUNCTION("IMPORTRANGE(""https://docs.google.com/spreadsheets/d/1IYY_tgx_IHuhSq3AJ5eI5OnqOPBNLWSHKh2a30DoXe8/edit?usp=sharing"",""สงขลา!J213"")"),0)</f>
        <v>0</v>
      </c>
      <c r="K308" s="231"/>
      <c r="L308" s="176"/>
      <c r="M308" s="176"/>
      <c r="N308" s="176"/>
      <c r="O308" s="189"/>
      <c r="P308" s="189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IFERROR(__xludf.DUMMYFUNCTION("IMPORTRANGE(""https://docs.google.com/spreadsheets/d/1IYY_tgx_IHuhSq3AJ5eI5OnqOPBNLWSHKh2a30DoXe8/edit?usp=sharing"",""สงขลา!I214"")"),1)</f>
        <v>1</v>
      </c>
      <c r="J309" s="339">
        <f ca="1">IFERROR(__xludf.DUMMYFUNCTION("IMPORTRANGE(""https://docs.google.com/spreadsheets/d/1IYY_tgx_IHuhSq3AJ5eI5OnqOPBNLWSHKh2a30DoXe8/edit?usp=sharing"",""สงขลา!J214"")"),0)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52" t="s">
        <v>17</v>
      </c>
      <c r="E310" s="543"/>
      <c r="F310" s="543"/>
      <c r="G310" s="543"/>
      <c r="H310" s="153" t="s">
        <v>12</v>
      </c>
      <c r="I310" s="342"/>
      <c r="J310" s="342"/>
      <c r="K310" s="343"/>
      <c r="L310" s="156">
        <f t="shared" ref="L310:N310" ca="1" si="93">L311+L312</f>
        <v>1267600</v>
      </c>
      <c r="M310" s="156">
        <f t="shared" ca="1" si="93"/>
        <v>1158800</v>
      </c>
      <c r="N310" s="156">
        <f t="shared" ca="1" si="93"/>
        <v>84670</v>
      </c>
      <c r="O310" s="155">
        <f t="shared" ref="O310:O312" ca="1" si="94">IF(L310&gt;0,N310*100/L310,0)</f>
        <v>6.6795519091195965</v>
      </c>
      <c r="P310" s="155">
        <f t="shared" ref="P310:P312" ca="1" si="95">IF(M310&gt;0,N310*100/M310,0)</f>
        <v>7.3066965826717292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1267600</v>
      </c>
      <c r="M312" s="161">
        <f t="shared" ca="1" si="97"/>
        <v>1158800</v>
      </c>
      <c r="N312" s="161">
        <f t="shared" ca="1" si="97"/>
        <v>84670</v>
      </c>
      <c r="O312" s="160">
        <f t="shared" ca="1" si="94"/>
        <v>6.6795519091195965</v>
      </c>
      <c r="P312" s="160">
        <f t="shared" ca="1" si="95"/>
        <v>7.3066965826717292</v>
      </c>
    </row>
    <row r="313" spans="1:16" ht="21.75" customHeight="1" x14ac:dyDescent="0.35">
      <c r="A313" s="162"/>
      <c r="B313" s="163"/>
      <c r="C313" s="163" t="s">
        <v>16</v>
      </c>
      <c r="D313" s="164" t="s">
        <v>38</v>
      </c>
      <c r="E313" s="165"/>
      <c r="F313" s="165"/>
      <c r="G313" s="166" t="s">
        <v>39</v>
      </c>
      <c r="H313" s="167" t="s">
        <v>12</v>
      </c>
      <c r="I313" s="168" t="s">
        <v>40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 x14ac:dyDescent="0.35">
      <c r="A314" s="162"/>
      <c r="B314" s="163"/>
      <c r="C314" s="163"/>
      <c r="D314" s="172"/>
      <c r="E314" s="165"/>
      <c r="F314" s="165" t="s">
        <v>40</v>
      </c>
      <c r="G314" s="166" t="s">
        <v>41</v>
      </c>
      <c r="H314" s="167" t="s">
        <v>12</v>
      </c>
      <c r="I314" s="168"/>
      <c r="J314" s="168"/>
      <c r="K314" s="169"/>
      <c r="L314" s="173">
        <f ca="1">L315+L316</f>
        <v>217600</v>
      </c>
      <c r="M314" s="174">
        <f ca="1">IFERROR(__xludf.DUMMYFUNCTION("IMPORTRANGE(""https://docs.google.com/spreadsheets/d/1Yj_ptqi66GCucihVvJfMjLAmec39IyEx_6qawtMGysU/edit?usp=sharing"",""สบก!DC92"")"),108800)</f>
        <v>108800</v>
      </c>
      <c r="N314" s="175">
        <f ca="1">IFERROR(__xludf.DUMMYFUNCTION("IMPORTRANGE(""https://docs.google.com/spreadsheets/d/1Yj_ptqi66GCucihVvJfMjLAmec39IyEx_6qawtMGysU/edit?usp=sharing"",""สบก!DD92"")"),84670)</f>
        <v>84670</v>
      </c>
      <c r="O314" s="176">
        <f ca="1">IF(L314&gt;0,N314*100/L314,0)</f>
        <v>38.910845588235297</v>
      </c>
      <c r="P314" s="176">
        <f ca="1">IF(M314&gt;0,N314*100/M314,0)</f>
        <v>77.821691176470594</v>
      </c>
    </row>
    <row r="315" spans="1:16" ht="21.75" customHeight="1" x14ac:dyDescent="0.35">
      <c r="A315" s="162"/>
      <c r="B315" s="163"/>
      <c r="C315" s="163"/>
      <c r="D315" s="172"/>
      <c r="E315" s="165"/>
      <c r="F315" s="165"/>
      <c r="G315" s="177" t="s">
        <v>42</v>
      </c>
      <c r="H315" s="167" t="s">
        <v>12</v>
      </c>
      <c r="I315" s="168"/>
      <c r="J315" s="168"/>
      <c r="K315" s="169"/>
      <c r="L315" s="174">
        <f ca="1">IFERROR(__xludf.DUMMYFUNCTION("IMPORTRANGE(""https://docs.google.com/spreadsheets/d/1Yj_ptqi66GCucihVvJfMjLAmec39IyEx_6qawtMGysU/edit?usp=sharing"",""สบก!CY92"")"),0)</f>
        <v>0</v>
      </c>
      <c r="M315" s="173"/>
      <c r="N315" s="173"/>
      <c r="O315" s="176"/>
      <c r="P315" s="176"/>
    </row>
    <row r="316" spans="1:16" ht="21.75" customHeight="1" x14ac:dyDescent="0.35">
      <c r="A316" s="162"/>
      <c r="B316" s="163"/>
      <c r="C316" s="163"/>
      <c r="D316" s="172"/>
      <c r="E316" s="165"/>
      <c r="F316" s="165"/>
      <c r="G316" s="177" t="s">
        <v>43</v>
      </c>
      <c r="H316" s="167" t="s">
        <v>12</v>
      </c>
      <c r="I316" s="168"/>
      <c r="J316" s="195"/>
      <c r="K316" s="231"/>
      <c r="L316" s="174">
        <f ca="1">IFERROR(__xludf.DUMMYFUNCTION("IMPORTRANGE(""https://docs.google.com/spreadsheets/d/1Yj_ptqi66GCucihVvJfMjLAmec39IyEx_6qawtMGysU/edit?usp=sharing"",""สบก!CZ92"")"),217600)</f>
        <v>217600</v>
      </c>
      <c r="M316" s="173"/>
      <c r="N316" s="173"/>
      <c r="O316" s="176"/>
      <c r="P316" s="176"/>
    </row>
    <row r="317" spans="1:16" ht="21.75" customHeight="1" x14ac:dyDescent="0.45">
      <c r="A317" s="178"/>
      <c r="B317" s="81"/>
      <c r="C317" s="82" t="s">
        <v>16</v>
      </c>
      <c r="D317" s="549" t="s">
        <v>23</v>
      </c>
      <c r="E317" s="545"/>
      <c r="F317" s="89"/>
      <c r="G317" s="83" t="s">
        <v>18</v>
      </c>
      <c r="H317" s="179" t="s">
        <v>12</v>
      </c>
      <c r="I317" s="168"/>
      <c r="J317" s="195"/>
      <c r="K317" s="231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80"/>
      <c r="B318" s="95"/>
      <c r="C318" s="95"/>
      <c r="D318" s="181"/>
      <c r="E318" s="96"/>
      <c r="F318" s="96"/>
      <c r="G318" s="97" t="s">
        <v>19</v>
      </c>
      <c r="H318" s="182" t="s">
        <v>12</v>
      </c>
      <c r="I318" s="168"/>
      <c r="J318" s="195"/>
      <c r="K318" s="231"/>
      <c r="L318" s="91">
        <f ca="1">IFERROR(__xludf.DUMMYFUNCTION("IMPORTRANGE(""https://docs.google.com/spreadsheets/d/1Yj_ptqi66GCucihVvJfMjLAmec39IyEx_6qawtMGysU/edit?usp=sharing"",""สบก!DA92"")"),1050000)</f>
        <v>1050000</v>
      </c>
      <c r="M318" s="101">
        <f ca="1">L318</f>
        <v>1050000</v>
      </c>
      <c r="N318" s="91">
        <f ca="1">IFERROR(__xludf.DUMMYFUNCTION("IMPORTRANGE(""https://docs.google.com/spreadsheets/d/1Yj_ptqi66GCucihVvJfMjLAmec39IyEx_6qawtMGysU/edit?usp=sharing"",""สบก!DE92"")"),0)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35">
      <c r="A319" s="183"/>
      <c r="B319" s="184"/>
      <c r="C319" s="163" t="s">
        <v>16</v>
      </c>
      <c r="D319" s="185" t="s">
        <v>44</v>
      </c>
      <c r="E319" s="186"/>
      <c r="F319" s="186"/>
      <c r="G319" s="187"/>
      <c r="H319" s="188"/>
      <c r="I319" s="168"/>
      <c r="J319" s="195"/>
      <c r="K319" s="231"/>
      <c r="L319" s="176"/>
      <c r="M319" s="176"/>
      <c r="N319" s="176"/>
      <c r="O319" s="189"/>
      <c r="P319" s="189"/>
    </row>
    <row r="320" spans="1:16" ht="21.75" customHeight="1" x14ac:dyDescent="0.35">
      <c r="A320" s="183"/>
      <c r="B320" s="184"/>
      <c r="C320" s="184"/>
      <c r="D320" s="190">
        <v>1</v>
      </c>
      <c r="E320" s="191" t="s">
        <v>45</v>
      </c>
      <c r="F320" s="192"/>
      <c r="G320" s="193"/>
      <c r="H320" s="194"/>
      <c r="I320" s="195"/>
      <c r="J320" s="195">
        <f ca="1">IFERROR(__xludf.DUMMYFUNCTION("IMPORTRANGE(""https://docs.google.com/spreadsheets/d/1IYY_tgx_IHuhSq3AJ5eI5OnqOPBNLWSHKh2a30DoXe8/edit?usp=sharing"",""สงขลา!J220"")"),0)</f>
        <v>0</v>
      </c>
      <c r="K320" s="231"/>
      <c r="L320" s="176"/>
      <c r="M320" s="176"/>
      <c r="N320" s="176"/>
      <c r="O320" s="189"/>
      <c r="P320" s="189"/>
    </row>
    <row r="321" spans="1:16" ht="21.75" customHeight="1" x14ac:dyDescent="0.35">
      <c r="A321" s="183"/>
      <c r="B321" s="184"/>
      <c r="C321" s="184"/>
      <c r="D321" s="197">
        <v>2</v>
      </c>
      <c r="E321" s="198" t="s">
        <v>46</v>
      </c>
      <c r="F321" s="199"/>
      <c r="G321" s="200"/>
      <c r="H321" s="194"/>
      <c r="I321" s="195"/>
      <c r="J321" s="195">
        <f ca="1">IFERROR(__xludf.DUMMYFUNCTION("IMPORTRANGE(""https://docs.google.com/spreadsheets/d/1IYY_tgx_IHuhSq3AJ5eI5OnqOPBNLWSHKh2a30DoXe8/edit?usp=sharing"",""สงขลา!J221"")"),1)</f>
        <v>1</v>
      </c>
      <c r="K321" s="231"/>
      <c r="L321" s="176" t="s">
        <v>40</v>
      </c>
      <c r="M321" s="176"/>
      <c r="N321" s="176" t="s">
        <v>40</v>
      </c>
      <c r="O321" s="189"/>
      <c r="P321" s="189"/>
    </row>
    <row r="322" spans="1:16" ht="21.75" customHeight="1" x14ac:dyDescent="0.35">
      <c r="A322" s="183"/>
      <c r="B322" s="184"/>
      <c r="C322" s="184"/>
      <c r="D322" s="201"/>
      <c r="E322" s="202" t="s">
        <v>47</v>
      </c>
      <c r="F322" s="203"/>
      <c r="G322" s="204"/>
      <c r="H322" s="194"/>
      <c r="I322" s="195"/>
      <c r="J322" s="195">
        <f ca="1">IFERROR(__xludf.DUMMYFUNCTION("IMPORTRANGE(""https://docs.google.com/spreadsheets/d/1IYY_tgx_IHuhSq3AJ5eI5OnqOPBNLWSHKh2a30DoXe8/edit?usp=sharing"",""สงขลา!J222"")"),1)</f>
        <v>1</v>
      </c>
      <c r="K322" s="231"/>
      <c r="L322" s="176"/>
      <c r="M322" s="176"/>
      <c r="N322" s="176"/>
      <c r="O322" s="189"/>
      <c r="P322" s="189"/>
    </row>
    <row r="323" spans="1:16" ht="21.75" customHeight="1" x14ac:dyDescent="0.35">
      <c r="A323" s="183"/>
      <c r="B323" s="184"/>
      <c r="C323" s="184"/>
      <c r="D323" s="201"/>
      <c r="E323" s="202" t="s">
        <v>48</v>
      </c>
      <c r="F323" s="203"/>
      <c r="G323" s="204"/>
      <c r="H323" s="194"/>
      <c r="I323" s="195"/>
      <c r="J323" s="195">
        <f ca="1">IFERROR(__xludf.DUMMYFUNCTION("IMPORTRANGE(""https://docs.google.com/spreadsheets/d/1IYY_tgx_IHuhSq3AJ5eI5OnqOPBNLWSHKh2a30DoXe8/edit?usp=sharing"",""สงขลา!J223"")"),1)</f>
        <v>1</v>
      </c>
      <c r="K323" s="231"/>
      <c r="L323" s="176"/>
      <c r="M323" s="176"/>
      <c r="N323" s="176"/>
      <c r="O323" s="189"/>
      <c r="P323" s="189"/>
    </row>
    <row r="324" spans="1:16" ht="21.75" customHeight="1" x14ac:dyDescent="0.35">
      <c r="A324" s="183"/>
      <c r="B324" s="184"/>
      <c r="C324" s="184"/>
      <c r="D324" s="201"/>
      <c r="E324" s="206"/>
      <c r="F324" s="202" t="s">
        <v>117</v>
      </c>
      <c r="G324" s="204"/>
      <c r="H324" s="194" t="s">
        <v>116</v>
      </c>
      <c r="I324" s="195">
        <f ca="1">IFERROR(__xludf.DUMMYFUNCTION("IMPORTRANGE(""https://docs.google.com/spreadsheets/d/1IYY_tgx_IHuhSq3AJ5eI5OnqOPBNLWSHKh2a30DoXe8/edit?usp=sharing"",""สงขลา!I224"")"),1)</f>
        <v>1</v>
      </c>
      <c r="J324" s="211">
        <f ca="1">IFERROR(__xludf.DUMMYFUNCTION("IMPORTRANGE(""https://docs.google.com/spreadsheets/d/1IYY_tgx_IHuhSq3AJ5eI5OnqOPBNLWSHKh2a30DoXe8/edit?usp=sharing"",""สงขลา!J224"")"),0)</f>
        <v>0</v>
      </c>
      <c r="K324" s="231">
        <f ca="1">IF(I324&gt;0,J324*100/I324,0)</f>
        <v>0</v>
      </c>
      <c r="L324" s="176"/>
      <c r="M324" s="176"/>
      <c r="N324" s="176"/>
      <c r="O324" s="189"/>
      <c r="P324" s="189"/>
    </row>
    <row r="325" spans="1:16" ht="21.75" customHeight="1" x14ac:dyDescent="0.35">
      <c r="A325" s="183"/>
      <c r="B325" s="184"/>
      <c r="C325" s="184"/>
      <c r="D325" s="201"/>
      <c r="E325" s="202" t="s">
        <v>54</v>
      </c>
      <c r="F325" s="203"/>
      <c r="G325" s="204"/>
      <c r="H325" s="194"/>
      <c r="I325" s="195"/>
      <c r="J325" s="195">
        <f ca="1">IFERROR(__xludf.DUMMYFUNCTION("IMPORTRANGE(""https://docs.google.com/spreadsheets/d/1IYY_tgx_IHuhSq3AJ5eI5OnqOPBNLWSHKh2a30DoXe8/edit?usp=sharing"",""สงขลา!J225"")"),0)</f>
        <v>0</v>
      </c>
      <c r="K325" s="231"/>
      <c r="L325" s="176"/>
      <c r="M325" s="176"/>
      <c r="N325" s="176"/>
      <c r="O325" s="189"/>
      <c r="P325" s="189"/>
    </row>
    <row r="326" spans="1:16" ht="21.75" customHeight="1" x14ac:dyDescent="0.35">
      <c r="A326" s="183"/>
      <c r="B326" s="184"/>
      <c r="C326" s="184"/>
      <c r="D326" s="213">
        <v>3</v>
      </c>
      <c r="E326" s="214" t="s">
        <v>55</v>
      </c>
      <c r="F326" s="215"/>
      <c r="G326" s="216"/>
      <c r="H326" s="194"/>
      <c r="I326" s="195"/>
      <c r="J326" s="234">
        <f ca="1">IFERROR(__xludf.DUMMYFUNCTION("IMPORTRANGE(""https://docs.google.com/spreadsheets/d/1IYY_tgx_IHuhSq3AJ5eI5OnqOPBNLWSHKh2a30DoXe8/edit?usp=sharing"",""สงขลา!J226"")"),0)</f>
        <v>0</v>
      </c>
      <c r="K326" s="231"/>
      <c r="L326" s="176"/>
      <c r="M326" s="176"/>
      <c r="N326" s="176"/>
      <c r="O326" s="189"/>
      <c r="P326" s="189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IFERROR(__xludf.DUMMYFUNCTION("IMPORTRANGE(""https://docs.google.com/spreadsheets/d/1IYY_tgx_IHuhSq3AJ5eI5OnqOPBNLWSHKh2a30DoXe8/edit?usp=sharing"",""สงขลา!I228"")"),210)</f>
        <v>210</v>
      </c>
      <c r="J328" s="345">
        <f ca="1">IFERROR(__xludf.DUMMYFUNCTION("IMPORTRANGE(""https://docs.google.com/spreadsheets/d/1IYY_tgx_IHuhSq3AJ5eI5OnqOPBNLWSHKh2a30DoXe8/edit?usp=sharing"",""สงขลา!J228"")"),0)</f>
        <v>0</v>
      </c>
      <c r="K328" s="323">
        <f ca="1">IF(I328&gt;0,J328*100/I328,0)</f>
        <v>0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52" t="s">
        <v>17</v>
      </c>
      <c r="E329" s="543"/>
      <c r="F329" s="543"/>
      <c r="G329" s="543"/>
      <c r="H329" s="153" t="s">
        <v>12</v>
      </c>
      <c r="I329" s="168"/>
      <c r="J329" s="168"/>
      <c r="K329" s="169"/>
      <c r="L329" s="156">
        <f t="shared" ref="L329:N329" ca="1" si="98">L330+L331</f>
        <v>1143610</v>
      </c>
      <c r="M329" s="156">
        <f t="shared" ca="1" si="98"/>
        <v>608590</v>
      </c>
      <c r="N329" s="156">
        <f t="shared" ca="1" si="98"/>
        <v>558707</v>
      </c>
      <c r="O329" s="155">
        <f t="shared" ref="O329:O331" ca="1" si="99">IF(L329&gt;0,N329*100/L329,0)</f>
        <v>48.854679479892624</v>
      </c>
      <c r="P329" s="155">
        <f t="shared" ref="P329:P331" ca="1" si="100">IF(M329&gt;0,N329*100/M329,0)</f>
        <v>91.803513038334515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8"/>
      <c r="J330" s="168"/>
      <c r="K330" s="169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8"/>
      <c r="J331" s="168"/>
      <c r="K331" s="169"/>
      <c r="L331" s="161">
        <f t="shared" ref="L331:N331" ca="1" si="102">L333+L337</f>
        <v>1143610</v>
      </c>
      <c r="M331" s="161">
        <f t="shared" ca="1" si="102"/>
        <v>608590</v>
      </c>
      <c r="N331" s="161">
        <f t="shared" ca="1" si="102"/>
        <v>558707</v>
      </c>
      <c r="O331" s="160">
        <f t="shared" ca="1" si="99"/>
        <v>48.854679479892624</v>
      </c>
      <c r="P331" s="160">
        <f t="shared" ca="1" si="100"/>
        <v>91.803513038334515</v>
      </c>
    </row>
    <row r="332" spans="1:16" ht="21.75" customHeight="1" x14ac:dyDescent="0.35">
      <c r="A332" s="162"/>
      <c r="B332" s="163"/>
      <c r="C332" s="163" t="s">
        <v>16</v>
      </c>
      <c r="D332" s="164" t="s">
        <v>38</v>
      </c>
      <c r="E332" s="165"/>
      <c r="F332" s="165"/>
      <c r="G332" s="166" t="s">
        <v>39</v>
      </c>
      <c r="H332" s="167" t="s">
        <v>12</v>
      </c>
      <c r="I332" s="168" t="s">
        <v>40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 x14ac:dyDescent="0.35">
      <c r="A333" s="162"/>
      <c r="B333" s="163"/>
      <c r="C333" s="163"/>
      <c r="D333" s="172"/>
      <c r="E333" s="165"/>
      <c r="F333" s="165" t="s">
        <v>40</v>
      </c>
      <c r="G333" s="166" t="s">
        <v>41</v>
      </c>
      <c r="H333" s="167" t="s">
        <v>12</v>
      </c>
      <c r="I333" s="168"/>
      <c r="J333" s="168"/>
      <c r="K333" s="169"/>
      <c r="L333" s="173">
        <f ca="1">L334+L335</f>
        <v>1126610</v>
      </c>
      <c r="M333" s="174">
        <f ca="1">IFERROR(__xludf.DUMMYFUNCTION("IMPORTRANGE(""https://docs.google.com/spreadsheets/d/1Yj_ptqi66GCucihVvJfMjLAmec39IyEx_6qawtMGysU/edit?usp=sharing"",""สบก!DL92"")"),591590)</f>
        <v>591590</v>
      </c>
      <c r="N333" s="175">
        <f ca="1">IFERROR(__xludf.DUMMYFUNCTION("IMPORTRANGE(""https://docs.google.com/spreadsheets/d/1Yj_ptqi66GCucihVvJfMjLAmec39IyEx_6qawtMGysU/edit?usp=sharing"",""สบก!DM92"")"),541707)</f>
        <v>541707</v>
      </c>
      <c r="O333" s="176">
        <f ca="1">IF(L333&gt;0,N333*100/L333,0)</f>
        <v>48.082921330362772</v>
      </c>
      <c r="P333" s="176">
        <f ca="1">IF(M333&gt;0,N333*100/M333,0)</f>
        <v>91.567977822478412</v>
      </c>
    </row>
    <row r="334" spans="1:16" ht="21.75" customHeight="1" x14ac:dyDescent="0.35">
      <c r="A334" s="162"/>
      <c r="B334" s="163"/>
      <c r="C334" s="163"/>
      <c r="D334" s="172"/>
      <c r="E334" s="165"/>
      <c r="F334" s="165"/>
      <c r="G334" s="177" t="s">
        <v>42</v>
      </c>
      <c r="H334" s="167" t="s">
        <v>12</v>
      </c>
      <c r="I334" s="168"/>
      <c r="J334" s="168"/>
      <c r="K334" s="169"/>
      <c r="L334" s="174">
        <f ca="1">IFERROR(__xludf.DUMMYFUNCTION("IMPORTRANGE(""https://docs.google.com/spreadsheets/d/1Yj_ptqi66GCucihVvJfMjLAmec39IyEx_6qawtMGysU/edit?usp=sharing"",""สบก!DH92"")"),773000)</f>
        <v>773000</v>
      </c>
      <c r="M334" s="173"/>
      <c r="N334" s="173"/>
      <c r="O334" s="176"/>
      <c r="P334" s="176"/>
    </row>
    <row r="335" spans="1:16" ht="21.75" customHeight="1" x14ac:dyDescent="0.35">
      <c r="A335" s="162"/>
      <c r="B335" s="163"/>
      <c r="C335" s="163"/>
      <c r="D335" s="172"/>
      <c r="E335" s="165"/>
      <c r="F335" s="165"/>
      <c r="G335" s="177" t="s">
        <v>43</v>
      </c>
      <c r="H335" s="167" t="s">
        <v>12</v>
      </c>
      <c r="I335" s="168"/>
      <c r="J335" s="168"/>
      <c r="K335" s="169"/>
      <c r="L335" s="174">
        <f ca="1">IFERROR(__xludf.DUMMYFUNCTION("IMPORTRANGE(""https://docs.google.com/spreadsheets/d/1Yj_ptqi66GCucihVvJfMjLAmec39IyEx_6qawtMGysU/edit?usp=sharing"",""สบก!DI92"")"),353610)</f>
        <v>353610</v>
      </c>
      <c r="M335" s="173"/>
      <c r="N335" s="173"/>
      <c r="O335" s="176"/>
      <c r="P335" s="176"/>
    </row>
    <row r="336" spans="1:16" ht="21.75" customHeight="1" x14ac:dyDescent="0.45">
      <c r="A336" s="178"/>
      <c r="B336" s="81"/>
      <c r="C336" s="82" t="s">
        <v>16</v>
      </c>
      <c r="D336" s="549" t="s">
        <v>23</v>
      </c>
      <c r="E336" s="545"/>
      <c r="F336" s="89"/>
      <c r="G336" s="83" t="s">
        <v>18</v>
      </c>
      <c r="H336" s="179" t="s">
        <v>12</v>
      </c>
      <c r="I336" s="168"/>
      <c r="J336" s="168"/>
      <c r="K336" s="169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80"/>
      <c r="B337" s="95"/>
      <c r="C337" s="95"/>
      <c r="D337" s="181"/>
      <c r="E337" s="96"/>
      <c r="F337" s="96"/>
      <c r="G337" s="97" t="s">
        <v>19</v>
      </c>
      <c r="H337" s="182" t="s">
        <v>12</v>
      </c>
      <c r="I337" s="168"/>
      <c r="J337" s="168"/>
      <c r="K337" s="169"/>
      <c r="L337" s="91">
        <f ca="1">IFERROR(__xludf.DUMMYFUNCTION("IMPORTRANGE(""https://docs.google.com/spreadsheets/d/1Yj_ptqi66GCucihVvJfMjLAmec39IyEx_6qawtMGysU/edit?usp=sharing"",""สบก!DJ92"")"),17000)</f>
        <v>17000</v>
      </c>
      <c r="M337" s="101">
        <f ca="1">L337</f>
        <v>17000</v>
      </c>
      <c r="N337" s="91">
        <f ca="1">IFERROR(__xludf.DUMMYFUNCTION("IMPORTRANGE(""https://docs.google.com/spreadsheets/d/1Yj_ptqi66GCucihVvJfMjLAmec39IyEx_6qawtMGysU/edit?usp=sharing"",""สบก!DN92"")"),17000)</f>
        <v>17000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3"/>
      <c r="B338" s="297"/>
      <c r="C338" s="346" t="s">
        <v>120</v>
      </c>
      <c r="D338" s="203"/>
      <c r="E338" s="203"/>
      <c r="F338" s="203"/>
      <c r="G338" s="204"/>
      <c r="H338" s="188"/>
      <c r="I338" s="347"/>
      <c r="J338" s="347"/>
      <c r="K338" s="348"/>
      <c r="L338" s="189"/>
      <c r="M338" s="189"/>
      <c r="N338" s="189"/>
      <c r="O338" s="349"/>
      <c r="P338" s="349"/>
    </row>
    <row r="339" spans="1:16" ht="21.75" customHeight="1" x14ac:dyDescent="0.35">
      <c r="A339" s="183"/>
      <c r="B339" s="297"/>
      <c r="C339" s="184"/>
      <c r="D339" s="203"/>
      <c r="E339" s="202" t="s">
        <v>121</v>
      </c>
      <c r="F339" s="203"/>
      <c r="G339" s="204"/>
      <c r="H339" s="350" t="s">
        <v>37</v>
      </c>
      <c r="I339" s="211">
        <f ca="1">IFERROR(__xludf.DUMMYFUNCTION("IMPORTRANGE(""https://docs.google.com/spreadsheets/d/1IYY_tgx_IHuhSq3AJ5eI5OnqOPBNLWSHKh2a30DoXe8/edit?usp=sharing"",""สงขลา!I234"")"),0)</f>
        <v>0</v>
      </c>
      <c r="J339" s="195">
        <f ca="1">IFERROR(__xludf.DUMMYFUNCTION("IMPORTRANGE(""https://docs.google.com/spreadsheets/d/1IYY_tgx_IHuhSq3AJ5eI5OnqOPBNLWSHKh2a30DoXe8/edit?usp=sharing"",""สงขลา!J234"")"),134)</f>
        <v>134</v>
      </c>
      <c r="K339" s="348">
        <f t="shared" ref="K339:K346" ca="1" si="103">IF(I339&gt;0,J339*100/I339,0)</f>
        <v>0</v>
      </c>
      <c r="L339" s="189"/>
      <c r="M339" s="189"/>
      <c r="N339" s="189"/>
      <c r="O339" s="349"/>
      <c r="P339" s="349"/>
    </row>
    <row r="340" spans="1:16" ht="21.75" customHeight="1" x14ac:dyDescent="0.35">
      <c r="A340" s="183"/>
      <c r="B340" s="297"/>
      <c r="C340" s="184"/>
      <c r="D340" s="203"/>
      <c r="E340" s="203"/>
      <c r="F340" s="203"/>
      <c r="G340" s="204"/>
      <c r="H340" s="350" t="s">
        <v>122</v>
      </c>
      <c r="I340" s="195">
        <f ca="1">IFERROR(__xludf.DUMMYFUNCTION("IMPORTRANGE(""https://docs.google.com/spreadsheets/d/1IYY_tgx_IHuhSq3AJ5eI5OnqOPBNLWSHKh2a30DoXe8/edit?usp=sharing"",""สงขลา!I235"")"),1720)</f>
        <v>1720</v>
      </c>
      <c r="J340" s="195">
        <f ca="1">IFERROR(__xludf.DUMMYFUNCTION("IMPORTRANGE(""https://docs.google.com/spreadsheets/d/1IYY_tgx_IHuhSq3AJ5eI5OnqOPBNLWSHKh2a30DoXe8/edit?usp=sharing"",""สงขลา!J235"")"),1232.88)</f>
        <v>1232.8800000000001</v>
      </c>
      <c r="K340" s="348">
        <f t="shared" ca="1" si="103"/>
        <v>71.679069767441874</v>
      </c>
      <c r="L340" s="189"/>
      <c r="M340" s="189"/>
      <c r="N340" s="189"/>
      <c r="O340" s="349"/>
      <c r="P340" s="349"/>
    </row>
    <row r="341" spans="1:16" ht="21.75" customHeight="1" x14ac:dyDescent="0.35">
      <c r="A341" s="183"/>
      <c r="B341" s="297"/>
      <c r="C341" s="184"/>
      <c r="D341" s="203"/>
      <c r="E341" s="202" t="s">
        <v>123</v>
      </c>
      <c r="F341" s="203"/>
      <c r="G341" s="204"/>
      <c r="H341" s="188" t="s">
        <v>37</v>
      </c>
      <c r="I341" s="195">
        <f ca="1">IFERROR(__xludf.DUMMYFUNCTION("IMPORTRANGE(""https://docs.google.com/spreadsheets/d/1IYY_tgx_IHuhSq3AJ5eI5OnqOPBNLWSHKh2a30DoXe8/edit?usp=sharing"",""สงขลา!I236"")"),210)</f>
        <v>210</v>
      </c>
      <c r="J341" s="195">
        <f ca="1">IFERROR(__xludf.DUMMYFUNCTION("IMPORTRANGE(""https://docs.google.com/spreadsheets/d/1IYY_tgx_IHuhSq3AJ5eI5OnqOPBNLWSHKh2a30DoXe8/edit?usp=sharing"",""สงขลา!J236"")"),260)</f>
        <v>260</v>
      </c>
      <c r="K341" s="348">
        <f t="shared" ca="1" si="103"/>
        <v>123.80952380952381</v>
      </c>
      <c r="L341" s="189"/>
      <c r="M341" s="189"/>
      <c r="N341" s="189"/>
      <c r="O341" s="349"/>
      <c r="P341" s="349"/>
    </row>
    <row r="342" spans="1:16" ht="21.75" customHeight="1" x14ac:dyDescent="0.35">
      <c r="A342" s="183"/>
      <c r="B342" s="297"/>
      <c r="C342" s="184"/>
      <c r="D342" s="203"/>
      <c r="E342" s="203"/>
      <c r="F342" s="203"/>
      <c r="G342" s="204"/>
      <c r="H342" s="188" t="s">
        <v>122</v>
      </c>
      <c r="I342" s="351">
        <f ca="1">IFERROR(__xludf.DUMMYFUNCTION("IMPORTRANGE(""https://docs.google.com/spreadsheets/d/1IYY_tgx_IHuhSq3AJ5eI5OnqOPBNLWSHKh2a30DoXe8/edit?usp=sharing"",""สงขลา!I237"")"),0)</f>
        <v>0</v>
      </c>
      <c r="J342" s="195">
        <f ca="1">IFERROR(__xludf.DUMMYFUNCTION("IMPORTRANGE(""https://docs.google.com/spreadsheets/d/1IYY_tgx_IHuhSq3AJ5eI5OnqOPBNLWSHKh2a30DoXe8/edit?usp=sharing"",""สงขลา!J237"")"),2771.65)</f>
        <v>2771.65</v>
      </c>
      <c r="K342" s="348">
        <f t="shared" ca="1" si="103"/>
        <v>0</v>
      </c>
      <c r="L342" s="189"/>
      <c r="M342" s="189"/>
      <c r="N342" s="189"/>
      <c r="O342" s="349"/>
      <c r="P342" s="349"/>
    </row>
    <row r="343" spans="1:16" ht="21.75" customHeight="1" x14ac:dyDescent="0.35">
      <c r="A343" s="183"/>
      <c r="B343" s="297"/>
      <c r="C343" s="184"/>
      <c r="D343" s="203"/>
      <c r="E343" s="202" t="s">
        <v>124</v>
      </c>
      <c r="F343" s="203"/>
      <c r="G343" s="204"/>
      <c r="H343" s="188" t="s">
        <v>37</v>
      </c>
      <c r="I343" s="195">
        <f ca="1">IFERROR(__xludf.DUMMYFUNCTION("IMPORTRANGE(""https://docs.google.com/spreadsheets/d/1IYY_tgx_IHuhSq3AJ5eI5OnqOPBNLWSHKh2a30DoXe8/edit?usp=sharing"",""สงขลา!I238"")"),210)</f>
        <v>210</v>
      </c>
      <c r="J343" s="195">
        <f ca="1">IFERROR(__xludf.DUMMYFUNCTION("IMPORTRANGE(""https://docs.google.com/spreadsheets/d/1IYY_tgx_IHuhSq3AJ5eI5OnqOPBNLWSHKh2a30DoXe8/edit?usp=sharing"",""สงขลา!J238"")"),0)</f>
        <v>0</v>
      </c>
      <c r="K343" s="348">
        <f t="shared" ca="1" si="103"/>
        <v>0</v>
      </c>
      <c r="L343" s="189"/>
      <c r="M343" s="189"/>
      <c r="N343" s="189"/>
      <c r="O343" s="349"/>
      <c r="P343" s="349"/>
    </row>
    <row r="344" spans="1:16" ht="21.75" customHeight="1" x14ac:dyDescent="0.35">
      <c r="A344" s="183"/>
      <c r="B344" s="297"/>
      <c r="C344" s="184"/>
      <c r="D344" s="203"/>
      <c r="E344" s="203"/>
      <c r="F344" s="203"/>
      <c r="G344" s="204"/>
      <c r="H344" s="188" t="s">
        <v>122</v>
      </c>
      <c r="I344" s="351">
        <f ca="1">IFERROR(__xludf.DUMMYFUNCTION("IMPORTRANGE(""https://docs.google.com/spreadsheets/d/1IYY_tgx_IHuhSq3AJ5eI5OnqOPBNLWSHKh2a30DoXe8/edit?usp=sharing"",""สงขลา!I239"")"),0)</f>
        <v>0</v>
      </c>
      <c r="J344" s="195">
        <f ca="1">IFERROR(__xludf.DUMMYFUNCTION("IMPORTRANGE(""https://docs.google.com/spreadsheets/d/1IYY_tgx_IHuhSq3AJ5eI5OnqOPBNLWSHKh2a30DoXe8/edit?usp=sharing"",""สงขลา!J239"")"),0)</f>
        <v>0</v>
      </c>
      <c r="K344" s="348">
        <f t="shared" ca="1" si="103"/>
        <v>0</v>
      </c>
      <c r="L344" s="189"/>
      <c r="M344" s="189"/>
      <c r="N344" s="189"/>
      <c r="O344" s="349"/>
      <c r="P344" s="349"/>
    </row>
    <row r="345" spans="1:16" ht="21.75" customHeight="1" x14ac:dyDescent="0.35">
      <c r="A345" s="183"/>
      <c r="B345" s="297"/>
      <c r="C345" s="184"/>
      <c r="D345" s="203"/>
      <c r="E345" s="202" t="s">
        <v>125</v>
      </c>
      <c r="F345" s="203"/>
      <c r="G345" s="204"/>
      <c r="H345" s="188" t="s">
        <v>37</v>
      </c>
      <c r="I345" s="195">
        <f ca="1">IFERROR(__xludf.DUMMYFUNCTION("IMPORTRANGE(""https://docs.google.com/spreadsheets/d/1IYY_tgx_IHuhSq3AJ5eI5OnqOPBNLWSHKh2a30DoXe8/edit?usp=sharing"",""สงขลา!I240"")"),210)</f>
        <v>210</v>
      </c>
      <c r="J345" s="195">
        <f ca="1">IFERROR(__xludf.DUMMYFUNCTION("IMPORTRANGE(""https://docs.google.com/spreadsheets/d/1IYY_tgx_IHuhSq3AJ5eI5OnqOPBNLWSHKh2a30DoXe8/edit?usp=sharing"",""สงขลา!J240"")"),0)</f>
        <v>0</v>
      </c>
      <c r="K345" s="348">
        <f t="shared" ca="1" si="103"/>
        <v>0</v>
      </c>
      <c r="L345" s="189"/>
      <c r="M345" s="189"/>
      <c r="N345" s="189"/>
      <c r="O345" s="349"/>
      <c r="P345" s="349"/>
    </row>
    <row r="346" spans="1:16" ht="21.75" customHeight="1" x14ac:dyDescent="0.35">
      <c r="A346" s="241"/>
      <c r="B346" s="352"/>
      <c r="C346" s="242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IFERROR(__xludf.DUMMYFUNCTION("IMPORTRANGE(""https://docs.google.com/spreadsheets/d/1IYY_tgx_IHuhSq3AJ5eI5OnqOPBNLWSHKh2a30DoXe8/edit?usp=sharing"",""สงขลา!I241"")"),0)</f>
        <v>0</v>
      </c>
      <c r="J346" s="195">
        <f ca="1">IFERROR(__xludf.DUMMYFUNCTION("IMPORTRANGE(""https://docs.google.com/spreadsheets/d/1IYY_tgx_IHuhSq3AJ5eI5OnqOPBNLWSHKh2a30DoXe8/edit?usp=sharing"",""สงขลา!J241"")"),0)</f>
        <v>0</v>
      </c>
      <c r="K346" s="357">
        <f t="shared" ca="1" si="103"/>
        <v>0</v>
      </c>
      <c r="L346" s="252"/>
      <c r="M346" s="252"/>
      <c r="N346" s="252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IFERROR(__xludf.DUMMYFUNCTION("IMPORTRANGE(""https://docs.google.com/spreadsheets/d/1IYY_tgx_IHuhSq3AJ5eI5OnqOPBNLWSHKh2a30DoXe8/edit?usp=sharing"",""สงขลา!L242"")"),1642464)</f>
        <v>1642464</v>
      </c>
      <c r="M347" s="364"/>
      <c r="N347" s="364">
        <f ca="1">IFERROR(__xludf.DUMMYFUNCTION("IMPORTRANGE(""https://docs.google.com/spreadsheets/d/1IYY_tgx_IHuhSq3AJ5eI5OnqOPBNLWSHKh2a30DoXe8/edit?usp=sharing"",""สงขลา!M242"")"),558099)</f>
        <v>558099</v>
      </c>
      <c r="O347" s="364">
        <f ca="1">+IF(L347&gt;0,N347*100/L347,0)</f>
        <v>33.979374890408558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IFERROR(__xludf.DUMMYFUNCTION("IMPORTRANGE(""https://docs.google.com/spreadsheets/d/1IYY_tgx_IHuhSq3AJ5eI5OnqOPBNLWSHKh2a30DoXe8/edit?usp=sharing"",""สงขลา!I244"")"),230)</f>
        <v>230</v>
      </c>
      <c r="J349" s="377">
        <f ca="1">IFERROR(__xludf.DUMMYFUNCTION("IMPORTRANGE(""https://docs.google.com/spreadsheets/d/1IYY_tgx_IHuhSq3AJ5eI5OnqOPBNLWSHKh2a30DoXe8/edit?usp=sharing"",""สงขลา!J244"")"),0)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IFERROR(__xludf.DUMMYFUNCTION("IMPORTRANGE(""https://docs.google.com/spreadsheets/d/1IYY_tgx_IHuhSq3AJ5eI5OnqOPBNLWSHKh2a30DoXe8/edit?usp=sharing"",""สงขลา!L244"")"),461480)</f>
        <v>461480</v>
      </c>
      <c r="M349" s="379"/>
      <c r="N349" s="379">
        <f ca="1">IFERROR(__xludf.DUMMYFUNCTION("IMPORTRANGE(""https://docs.google.com/spreadsheets/d/1IYY_tgx_IHuhSq3AJ5eI5OnqOPBNLWSHKh2a30DoXe8/edit?usp=sharing"",""สงขลา!M244"")"),73355)</f>
        <v>73355</v>
      </c>
      <c r="O349" s="379">
        <f ca="1">+IF(L349&gt;0,N349*100/L349,0)</f>
        <v>15.895596775591574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IFERROR(__xludf.DUMMYFUNCTION("IMPORTRANGE(""https://docs.google.com/spreadsheets/d/1IYY_tgx_IHuhSq3AJ5eI5OnqOPBNLWSHKh2a30DoXe8/edit?usp=sharing"",""สงขลา!I245"")"),60)</f>
        <v>60</v>
      </c>
      <c r="J350" s="377">
        <f ca="1">IFERROR(__xludf.DUMMYFUNCTION("IMPORTRANGE(""https://docs.google.com/spreadsheets/d/1IYY_tgx_IHuhSq3AJ5eI5OnqOPBNLWSHKh2a30DoXe8/edit?usp=sharing"",""สงขลา!J245"")"),0)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164" t="s">
        <v>38</v>
      </c>
      <c r="E351" s="165"/>
      <c r="F351" s="165"/>
      <c r="G351" s="166" t="s">
        <v>39</v>
      </c>
      <c r="H351" s="167" t="s">
        <v>12</v>
      </c>
      <c r="I351" s="168" t="s">
        <v>40</v>
      </c>
      <c r="J351" s="168"/>
      <c r="K351" s="169"/>
      <c r="L351" s="170">
        <f ca="1">IFERROR(__xludf.DUMMYFUNCTION("IMPORTRANGE(""https://docs.google.com/spreadsheets/d/1IYY_tgx_IHuhSq3AJ5eI5OnqOPBNLWSHKh2a30DoXe8/edit?usp=sharing"",""สงขลา!L246"")"),0)</f>
        <v>0</v>
      </c>
      <c r="M351" s="170"/>
      <c r="N351" s="170">
        <f ca="1">IFERROR(__xludf.DUMMYFUNCTION("IMPORTRANGE(""https://docs.google.com/spreadsheets/d/1IYY_tgx_IHuhSq3AJ5eI5OnqOPBNLWSHKh2a30DoXe8/edit?usp=sharing"",""สงขลา!M246"")"),0)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 x14ac:dyDescent="0.35">
      <c r="A352" s="162"/>
      <c r="B352" s="163"/>
      <c r="C352" s="163"/>
      <c r="D352" s="172"/>
      <c r="E352" s="165"/>
      <c r="F352" s="165" t="s">
        <v>40</v>
      </c>
      <c r="G352" s="166" t="s">
        <v>41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IFERROR(__xludf.DUMMYFUNCTION("IMPORTRANGE(""https://docs.google.com/spreadsheets/d/1IYY_tgx_IHuhSq3AJ5eI5OnqOPBNLWSHKh2a30DoXe8/edit?usp=sharing"",""สงขลา!L247"")"),461480)</f>
        <v>461480</v>
      </c>
      <c r="M352" s="171"/>
      <c r="N352" s="170">
        <f ca="1">IFERROR(__xludf.DUMMYFUNCTION("IMPORTRANGE(""https://docs.google.com/spreadsheets/d/1IYY_tgx_IHuhSq3AJ5eI5OnqOPBNLWSHKh2a30DoXe8/edit?usp=sharing"",""สงขลา!M247"")"),73355)</f>
        <v>73355</v>
      </c>
      <c r="O352" s="171">
        <f t="shared" ca="1" si="105"/>
        <v>15.895596775591574</v>
      </c>
      <c r="P352" s="171"/>
    </row>
    <row r="353" spans="1:16" ht="21.75" customHeight="1" x14ac:dyDescent="0.35">
      <c r="A353" s="162"/>
      <c r="B353" s="163"/>
      <c r="C353" s="163"/>
      <c r="D353" s="172"/>
      <c r="E353" s="165"/>
      <c r="F353" s="165"/>
      <c r="G353" s="380" t="s">
        <v>129</v>
      </c>
      <c r="H353" s="167" t="s">
        <v>12</v>
      </c>
      <c r="I353" s="168"/>
      <c r="J353" s="168"/>
      <c r="K353" s="169"/>
      <c r="L353" s="176">
        <f ca="1">IFERROR(__xludf.DUMMYFUNCTION("IMPORTRANGE(""https://docs.google.com/spreadsheets/d/1IYY_tgx_IHuhSq3AJ5eI5OnqOPBNLWSHKh2a30DoXe8/edit?usp=sharing"",""สงขลา!L248"")"),0)</f>
        <v>0</v>
      </c>
      <c r="M353" s="176"/>
      <c r="N353" s="176">
        <f ca="1">IFERROR(__xludf.DUMMYFUNCTION("IMPORTRANGE(""https://docs.google.com/spreadsheets/d/1IYY_tgx_IHuhSq3AJ5eI5OnqOPBNLWSHKh2a30DoXe8/edit?usp=sharing"",""สงขลา!M248"")"),0)</f>
        <v>0</v>
      </c>
      <c r="O353" s="176">
        <f t="shared" ca="1" si="105"/>
        <v>0</v>
      </c>
      <c r="P353" s="176"/>
    </row>
    <row r="354" spans="1:16" ht="21.75" customHeight="1" x14ac:dyDescent="0.35">
      <c r="A354" s="162"/>
      <c r="B354" s="163"/>
      <c r="C354" s="163"/>
      <c r="D354" s="172"/>
      <c r="E354" s="165"/>
      <c r="F354" s="165"/>
      <c r="G354" s="380" t="s">
        <v>130</v>
      </c>
      <c r="H354" s="167" t="s">
        <v>12</v>
      </c>
      <c r="I354" s="168"/>
      <c r="J354" s="168"/>
      <c r="K354" s="169"/>
      <c r="L354" s="176">
        <f ca="1">IFERROR(__xludf.DUMMYFUNCTION("IMPORTRANGE(""https://docs.google.com/spreadsheets/d/1IYY_tgx_IHuhSq3AJ5eI5OnqOPBNLWSHKh2a30DoXe8/edit?usp=sharing"",""สงขลา!L249"")"),461480)</f>
        <v>461480</v>
      </c>
      <c r="M354" s="176"/>
      <c r="N354" s="173">
        <f ca="1">IFERROR(__xludf.DUMMYFUNCTION("IMPORTRANGE(""https://docs.google.com/spreadsheets/d/1IYY_tgx_IHuhSq3AJ5eI5OnqOPBNLWSHKh2a30DoXe8/edit?usp=sharing"",""สงขลา!M249"")"),73355)</f>
        <v>73355</v>
      </c>
      <c r="O354" s="176">
        <f t="shared" ca="1" si="105"/>
        <v>15.895596775591574</v>
      </c>
      <c r="P354" s="176"/>
    </row>
    <row r="355" spans="1:16" ht="21.75" customHeight="1" x14ac:dyDescent="0.35">
      <c r="A355" s="381"/>
      <c r="B355" s="382"/>
      <c r="C355" s="163"/>
      <c r="D355" s="383"/>
      <c r="E355" s="165"/>
      <c r="F355" s="165"/>
      <c r="G355" s="384" t="s">
        <v>131</v>
      </c>
      <c r="H355" s="167" t="s">
        <v>12</v>
      </c>
      <c r="I355" s="195"/>
      <c r="J355" s="195"/>
      <c r="K355" s="231"/>
      <c r="L355" s="176"/>
      <c r="M355" s="176"/>
      <c r="N355" s="385">
        <f ca="1">IFERROR(__xludf.DUMMYFUNCTION("IMPORTRANGE(""https://docs.google.com/spreadsheets/d/1IYY_tgx_IHuhSq3AJ5eI5OnqOPBNLWSHKh2a30DoXe8/edit?usp=sharing"",""สงขลา!M250"")"),0)</f>
        <v>0</v>
      </c>
      <c r="O355" s="176"/>
      <c r="P355" s="176"/>
    </row>
    <row r="356" spans="1:16" ht="21.75" customHeight="1" x14ac:dyDescent="0.35">
      <c r="A356" s="381"/>
      <c r="B356" s="382"/>
      <c r="C356" s="163"/>
      <c r="D356" s="383"/>
      <c r="E356" s="165"/>
      <c r="F356" s="165"/>
      <c r="G356" s="384" t="s">
        <v>132</v>
      </c>
      <c r="H356" s="167" t="s">
        <v>12</v>
      </c>
      <c r="I356" s="195"/>
      <c r="J356" s="195"/>
      <c r="K356" s="231"/>
      <c r="L356" s="176"/>
      <c r="M356" s="176"/>
      <c r="N356" s="385">
        <f ca="1">IFERROR(__xludf.DUMMYFUNCTION("IMPORTRANGE(""https://docs.google.com/spreadsheets/d/1IYY_tgx_IHuhSq3AJ5eI5OnqOPBNLWSHKh2a30DoXe8/edit?usp=sharing"",""สงขลา!M251"")"),0)</f>
        <v>0</v>
      </c>
      <c r="O356" s="176"/>
      <c r="P356" s="176"/>
    </row>
    <row r="357" spans="1:16" ht="21.75" customHeight="1" x14ac:dyDescent="0.35">
      <c r="A357" s="381"/>
      <c r="B357" s="382"/>
      <c r="C357" s="163"/>
      <c r="D357" s="383"/>
      <c r="E357" s="165"/>
      <c r="F357" s="165"/>
      <c r="G357" s="384" t="s">
        <v>133</v>
      </c>
      <c r="H357" s="167" t="s">
        <v>12</v>
      </c>
      <c r="I357" s="195"/>
      <c r="J357" s="195"/>
      <c r="K357" s="231"/>
      <c r="L357" s="176"/>
      <c r="M357" s="176"/>
      <c r="N357" s="385">
        <f ca="1">IFERROR(__xludf.DUMMYFUNCTION("IMPORTRANGE(""https://docs.google.com/spreadsheets/d/1IYY_tgx_IHuhSq3AJ5eI5OnqOPBNLWSHKh2a30DoXe8/edit?usp=sharing"",""สงขลา!M252"")"),53935)</f>
        <v>53935</v>
      </c>
      <c r="O357" s="176"/>
      <c r="P357" s="176"/>
    </row>
    <row r="358" spans="1:16" ht="21.75" customHeight="1" x14ac:dyDescent="0.35">
      <c r="A358" s="381"/>
      <c r="B358" s="382"/>
      <c r="C358" s="163"/>
      <c r="D358" s="383"/>
      <c r="E358" s="165"/>
      <c r="F358" s="165"/>
      <c r="G358" s="384" t="s">
        <v>134</v>
      </c>
      <c r="H358" s="167" t="s">
        <v>12</v>
      </c>
      <c r="I358" s="195"/>
      <c r="J358" s="195"/>
      <c r="K358" s="231"/>
      <c r="L358" s="176"/>
      <c r="M358" s="176"/>
      <c r="N358" s="385">
        <f ca="1">IFERROR(__xludf.DUMMYFUNCTION("IMPORTRANGE(""https://docs.google.com/spreadsheets/d/1IYY_tgx_IHuhSq3AJ5eI5OnqOPBNLWSHKh2a30DoXe8/edit?usp=sharing"",""สงขลา!M253"")"),19420)</f>
        <v>19420</v>
      </c>
      <c r="O358" s="176"/>
      <c r="P358" s="176"/>
    </row>
    <row r="359" spans="1:16" ht="21.75" customHeight="1" x14ac:dyDescent="0.35">
      <c r="A359" s="183"/>
      <c r="B359" s="184"/>
      <c r="C359" s="163" t="s">
        <v>16</v>
      </c>
      <c r="D359" s="185" t="s">
        <v>44</v>
      </c>
      <c r="E359" s="186"/>
      <c r="F359" s="186"/>
      <c r="G359" s="187"/>
      <c r="H359" s="188"/>
      <c r="I359" s="168"/>
      <c r="J359" s="168"/>
      <c r="K359" s="169"/>
      <c r="L359" s="189"/>
      <c r="M359" s="189"/>
      <c r="N359" s="189"/>
      <c r="O359" s="189"/>
      <c r="P359" s="189"/>
    </row>
    <row r="360" spans="1:16" ht="21.75" customHeight="1" x14ac:dyDescent="0.35">
      <c r="A360" s="183"/>
      <c r="B360" s="184"/>
      <c r="C360" s="184"/>
      <c r="D360" s="190">
        <v>1</v>
      </c>
      <c r="E360" s="191" t="s">
        <v>45</v>
      </c>
      <c r="F360" s="192"/>
      <c r="G360" s="193"/>
      <c r="H360" s="194"/>
      <c r="I360" s="195"/>
      <c r="J360" s="205">
        <f ca="1">IFERROR(__xludf.DUMMYFUNCTION("IMPORTRANGE(""https://docs.google.com/spreadsheets/d/1IYY_tgx_IHuhSq3AJ5eI5OnqOPBNLWSHKh2a30DoXe8/edit?usp=sharing"",""สงขลา!J255"")"),0)</f>
        <v>0</v>
      </c>
      <c r="K360" s="169"/>
      <c r="L360" s="189"/>
      <c r="M360" s="189"/>
      <c r="N360" s="189"/>
      <c r="O360" s="189"/>
      <c r="P360" s="189"/>
    </row>
    <row r="361" spans="1:16" ht="21.75" customHeight="1" x14ac:dyDescent="0.35">
      <c r="A361" s="183"/>
      <c r="B361" s="184"/>
      <c r="C361" s="184"/>
      <c r="D361" s="197">
        <v>2</v>
      </c>
      <c r="E361" s="198" t="s">
        <v>46</v>
      </c>
      <c r="F361" s="199"/>
      <c r="G361" s="200"/>
      <c r="H361" s="194"/>
      <c r="I361" s="195"/>
      <c r="J361" s="196">
        <f ca="1">IFERROR(__xludf.DUMMYFUNCTION("IMPORTRANGE(""https://docs.google.com/spreadsheets/d/1IYY_tgx_IHuhSq3AJ5eI5OnqOPBNLWSHKh2a30DoXe8/edit?usp=sharing"",""สงขลา!J256"")"),1)</f>
        <v>1</v>
      </c>
      <c r="K361" s="169"/>
      <c r="L361" s="189" t="s">
        <v>40</v>
      </c>
      <c r="M361" s="189"/>
      <c r="N361" s="189" t="s">
        <v>40</v>
      </c>
      <c r="O361" s="189"/>
      <c r="P361" s="189"/>
    </row>
    <row r="362" spans="1:16" ht="21.75" customHeight="1" x14ac:dyDescent="0.35">
      <c r="A362" s="183"/>
      <c r="B362" s="184"/>
      <c r="C362" s="184"/>
      <c r="D362" s="201"/>
      <c r="E362" s="202" t="s">
        <v>47</v>
      </c>
      <c r="F362" s="203"/>
      <c r="G362" s="204"/>
      <c r="H362" s="194"/>
      <c r="I362" s="195"/>
      <c r="J362" s="196">
        <f ca="1">IFERROR(__xludf.DUMMYFUNCTION("IMPORTRANGE(""https://docs.google.com/spreadsheets/d/1IYY_tgx_IHuhSq3AJ5eI5OnqOPBNLWSHKh2a30DoXe8/edit?usp=sharing"",""สงขลา!J257"")"),1)</f>
        <v>1</v>
      </c>
      <c r="K362" s="169"/>
      <c r="L362" s="189"/>
      <c r="M362" s="189"/>
      <c r="N362" s="189"/>
      <c r="O362" s="189"/>
      <c r="P362" s="189"/>
    </row>
    <row r="363" spans="1:16" ht="21.75" customHeight="1" x14ac:dyDescent="0.35">
      <c r="A363" s="183"/>
      <c r="B363" s="184"/>
      <c r="C363" s="184"/>
      <c r="D363" s="201"/>
      <c r="E363" s="202" t="s">
        <v>48</v>
      </c>
      <c r="F363" s="203"/>
      <c r="G363" s="204"/>
      <c r="H363" s="194"/>
      <c r="I363" s="195"/>
      <c r="J363" s="205">
        <f ca="1">IFERROR(__xludf.DUMMYFUNCTION("IMPORTRANGE(""https://docs.google.com/spreadsheets/d/1IYY_tgx_IHuhSq3AJ5eI5OnqOPBNLWSHKh2a30DoXe8/edit?usp=sharing"",""สงขลา!J258"")"),1)</f>
        <v>1</v>
      </c>
      <c r="K363" s="169"/>
      <c r="L363" s="189"/>
      <c r="M363" s="189"/>
      <c r="N363" s="189"/>
      <c r="O363" s="189"/>
      <c r="P363" s="189"/>
    </row>
    <row r="364" spans="1:16" ht="21.75" hidden="1" customHeight="1" x14ac:dyDescent="0.35">
      <c r="A364" s="183"/>
      <c r="B364" s="184"/>
      <c r="C364" s="184"/>
      <c r="D364" s="201"/>
      <c r="E364" s="206"/>
      <c r="F364" s="202" t="s">
        <v>70</v>
      </c>
      <c r="G364" s="204"/>
      <c r="H364" s="188"/>
      <c r="I364" s="195"/>
      <c r="J364" s="195">
        <f ca="1">IFERROR(__xludf.DUMMYFUNCTION("IMPORTRANGE(""https://docs.google.com/spreadsheets/d/1IYY_tgx_IHuhSq3AJ5eI5OnqOPBNLWSHKh2a30DoXe8/edit?usp=sharing"",""สงขลา!J166"")"),0)</f>
        <v>0</v>
      </c>
      <c r="K364" s="169"/>
      <c r="L364" s="189"/>
      <c r="M364" s="189"/>
      <c r="N364" s="189"/>
      <c r="O364" s="189"/>
      <c r="P364" s="189"/>
    </row>
    <row r="365" spans="1:16" ht="21.75" hidden="1" customHeight="1" x14ac:dyDescent="0.35">
      <c r="A365" s="183"/>
      <c r="B365" s="184"/>
      <c r="C365" s="184"/>
      <c r="D365" s="201"/>
      <c r="E365" s="206"/>
      <c r="F365" s="203"/>
      <c r="G365" s="233" t="s">
        <v>135</v>
      </c>
      <c r="H365" s="188" t="s">
        <v>37</v>
      </c>
      <c r="I365" s="195">
        <f ca="1">IFERROR(__xludf.DUMMYFUNCTION("IMPORTRANGE(""https://docs.google.com/spreadsheets/d/1C3CXT74ZlgGe6_JY_1olB1XN4rF0dxEuIIF-xsYjHgg/edit?usp=sharing"",""งบกองทุน!f63"")"),0)</f>
        <v>0</v>
      </c>
      <c r="J365" s="195">
        <f ca="1">IFERROR(__xludf.DUMMYFUNCTION("IMPORTRANGE(""https://docs.google.com/spreadsheets/d/1IYY_tgx_IHuhSq3AJ5eI5OnqOPBNLWSHKh2a30DoXe8/edit?usp=sharing"",""สงขลา!J166"")"),0)</f>
        <v>0</v>
      </c>
      <c r="K365" s="169">
        <f ca="1">IF(I365&gt;0,J365*100/I365,0)</f>
        <v>0</v>
      </c>
      <c r="L365" s="189"/>
      <c r="M365" s="189"/>
      <c r="N365" s="189"/>
      <c r="O365" s="189"/>
      <c r="P365" s="189"/>
    </row>
    <row r="366" spans="1:16" ht="21.75" hidden="1" customHeight="1" x14ac:dyDescent="0.35">
      <c r="A366" s="183"/>
      <c r="B366" s="184"/>
      <c r="C366" s="184"/>
      <c r="D366" s="201"/>
      <c r="E366" s="206"/>
      <c r="F366" s="203"/>
      <c r="G366" s="204" t="s">
        <v>136</v>
      </c>
      <c r="H366" s="188"/>
      <c r="I366" s="168"/>
      <c r="J366" s="195">
        <f ca="1">IFERROR(__xludf.DUMMYFUNCTION("IMPORTRANGE(""https://docs.google.com/spreadsheets/d/1IYY_tgx_IHuhSq3AJ5eI5OnqOPBNLWSHKh2a30DoXe8/edit?usp=sharing"",""สงขลา!J166"")"),0)</f>
        <v>0</v>
      </c>
      <c r="K366" s="169"/>
      <c r="L366" s="189"/>
      <c r="M366" s="189"/>
      <c r="N366" s="189"/>
      <c r="O366" s="189"/>
      <c r="P366" s="189"/>
    </row>
    <row r="367" spans="1:16" ht="21.75" hidden="1" customHeight="1" x14ac:dyDescent="0.35">
      <c r="A367" s="183"/>
      <c r="B367" s="184"/>
      <c r="C367" s="184"/>
      <c r="D367" s="201"/>
      <c r="E367" s="206"/>
      <c r="F367" s="203"/>
      <c r="G367" s="233" t="s">
        <v>137</v>
      </c>
      <c r="H367" s="194" t="s">
        <v>122</v>
      </c>
      <c r="I367" s="195">
        <f ca="1">SUM(I369,I371)</f>
        <v>0</v>
      </c>
      <c r="J367" s="195">
        <f ca="1">IFERROR(__xludf.DUMMYFUNCTION("IMPORTRANGE(""https://docs.google.com/spreadsheets/d/1IYY_tgx_IHuhSq3AJ5eI5OnqOPBNLWSHKh2a30DoXe8/edit?usp=sharing"",""สงขลา!J166"")"),0)</f>
        <v>0</v>
      </c>
      <c r="K367" s="169">
        <f t="shared" ref="K367:K373" ca="1" si="106">IF(I367&gt;0,J367*100/I367,0)</f>
        <v>0</v>
      </c>
      <c r="L367" s="189"/>
      <c r="M367" s="189"/>
      <c r="N367" s="189"/>
      <c r="O367" s="189"/>
      <c r="P367" s="189"/>
    </row>
    <row r="368" spans="1:16" ht="21.75" customHeight="1" x14ac:dyDescent="0.35">
      <c r="A368" s="183"/>
      <c r="B368" s="184"/>
      <c r="C368" s="184"/>
      <c r="D368" s="201"/>
      <c r="E368" s="206"/>
      <c r="F368" s="386" t="s">
        <v>138</v>
      </c>
      <c r="G368" s="387"/>
      <c r="H368" s="194" t="s">
        <v>37</v>
      </c>
      <c r="I368" s="168">
        <f ca="1">IFERROR(__xludf.DUMMYFUNCTION("IMPORTRANGE(""https://docs.google.com/spreadsheets/d/1IYY_tgx_IHuhSq3AJ5eI5OnqOPBNLWSHKh2a30DoXe8/edit?usp=sharing"",""สงขลา!I263"")"),60)</f>
        <v>60</v>
      </c>
      <c r="J368" s="195">
        <f ca="1">IFERROR(__xludf.DUMMYFUNCTION("IMPORTRANGE(""https://docs.google.com/spreadsheets/d/1IYY_tgx_IHuhSq3AJ5eI5OnqOPBNLWSHKh2a30DoXe8/edit?usp=sharing"",""สงขลา!J263"")"),0)</f>
        <v>0</v>
      </c>
      <c r="K368" s="169">
        <f t="shared" ca="1" si="106"/>
        <v>0</v>
      </c>
      <c r="L368" s="189"/>
      <c r="M368" s="189"/>
      <c r="N368" s="189"/>
      <c r="O368" s="189"/>
      <c r="P368" s="189"/>
    </row>
    <row r="369" spans="1:16" ht="21.75" hidden="1" customHeight="1" x14ac:dyDescent="0.35">
      <c r="A369" s="183"/>
      <c r="B369" s="184"/>
      <c r="C369" s="184"/>
      <c r="D369" s="201"/>
      <c r="E369" s="206"/>
      <c r="F369" s="203"/>
      <c r="G369" s="387"/>
      <c r="H369" s="188" t="s">
        <v>122</v>
      </c>
      <c r="I369" s="168">
        <f ca="1">IFERROR(__xludf.DUMMYFUNCTION("IMPORTRANGE(""https://docs.google.com/spreadsheets/d/1IYY_tgx_IHuhSq3AJ5eI5OnqOPBNLWSHKh2a30DoXe8/edit?usp=sharing"",""สงขลา!I164"")"),0)</f>
        <v>0</v>
      </c>
      <c r="J369" s="211">
        <f ca="1">IFERROR(__xludf.DUMMYFUNCTION("IMPORTRANGE(""https://docs.google.com/spreadsheets/d/1IYY_tgx_IHuhSq3AJ5eI5OnqOPBNLWSHKh2a30DoXe8/edit?usp=sharing"",""สงขลา!J164"")"),0)</f>
        <v>0</v>
      </c>
      <c r="K369" s="169">
        <f t="shared" ca="1" si="106"/>
        <v>0</v>
      </c>
      <c r="L369" s="189"/>
      <c r="M369" s="189"/>
      <c r="N369" s="189"/>
      <c r="O369" s="189"/>
      <c r="P369" s="189"/>
    </row>
    <row r="370" spans="1:16" ht="21.75" customHeight="1" x14ac:dyDescent="0.35">
      <c r="A370" s="183"/>
      <c r="B370" s="184"/>
      <c r="C370" s="184"/>
      <c r="D370" s="201"/>
      <c r="E370" s="206"/>
      <c r="F370" s="203"/>
      <c r="G370" s="386" t="s">
        <v>139</v>
      </c>
      <c r="H370" s="188" t="s">
        <v>37</v>
      </c>
      <c r="I370" s="168">
        <f ca="1">IFERROR(__xludf.DUMMYFUNCTION("IMPORTRANGE(""https://docs.google.com/spreadsheets/d/1IYY_tgx_IHuhSq3AJ5eI5OnqOPBNLWSHKh2a30DoXe8/edit?usp=sharing"",""สงขลา!I265"")"),60)</f>
        <v>60</v>
      </c>
      <c r="J370" s="211">
        <f ca="1">IFERROR(__xludf.DUMMYFUNCTION("IMPORTRANGE(""https://docs.google.com/spreadsheets/d/1IYY_tgx_IHuhSq3AJ5eI5OnqOPBNLWSHKh2a30DoXe8/edit?usp=sharing"",""สงขลา!J265"")"),0)</f>
        <v>0</v>
      </c>
      <c r="K370" s="169">
        <f t="shared" ca="1" si="106"/>
        <v>0</v>
      </c>
      <c r="L370" s="189"/>
      <c r="M370" s="189"/>
      <c r="N370" s="189"/>
      <c r="O370" s="189"/>
      <c r="P370" s="189"/>
    </row>
    <row r="371" spans="1:16" ht="21.75" hidden="1" customHeight="1" x14ac:dyDescent="0.35">
      <c r="A371" s="183"/>
      <c r="B371" s="184"/>
      <c r="C371" s="184"/>
      <c r="D371" s="201"/>
      <c r="E371" s="206"/>
      <c r="F371" s="203"/>
      <c r="G371" s="387"/>
      <c r="H371" s="188" t="s">
        <v>122</v>
      </c>
      <c r="I371" s="168">
        <f ca="1">IFERROR(__xludf.DUMMYFUNCTION("IMPORTRANGE(""https://docs.google.com/spreadsheets/d/1IYY_tgx_IHuhSq3AJ5eI5OnqOPBNLWSHKh2a30DoXe8/edit?usp=sharing"",""สงขลา!I164"")"),0)</f>
        <v>0</v>
      </c>
      <c r="J371" s="196">
        <f ca="1">IFERROR(__xludf.DUMMYFUNCTION("IMPORTRANGE(""https://docs.google.com/spreadsheets/d/1IYY_tgx_IHuhSq3AJ5eI5OnqOPBNLWSHKh2a30DoXe8/edit?usp=sharing"",""สงขลา!J164"")"),0)</f>
        <v>0</v>
      </c>
      <c r="K371" s="169">
        <f t="shared" ca="1" si="106"/>
        <v>0</v>
      </c>
      <c r="L371" s="189"/>
      <c r="M371" s="189"/>
      <c r="N371" s="189"/>
      <c r="O371" s="189"/>
      <c r="P371" s="189"/>
    </row>
    <row r="372" spans="1:16" ht="21.75" customHeight="1" x14ac:dyDescent="0.35">
      <c r="A372" s="183"/>
      <c r="B372" s="184"/>
      <c r="C372" s="184"/>
      <c r="D372" s="201"/>
      <c r="E372" s="206"/>
      <c r="F372" s="203"/>
      <c r="G372" s="386" t="s">
        <v>140</v>
      </c>
      <c r="H372" s="188" t="s">
        <v>37</v>
      </c>
      <c r="I372" s="168">
        <f ca="1">IFERROR(__xludf.DUMMYFUNCTION("IMPORTRANGE(""https://docs.google.com/spreadsheets/d/1IYY_tgx_IHuhSq3AJ5eI5OnqOPBNLWSHKh2a30DoXe8/edit?usp=sharing"",""สงขลา!I267"")"),60)</f>
        <v>60</v>
      </c>
      <c r="J372" s="196">
        <f ca="1">IFERROR(__xludf.DUMMYFUNCTION("IMPORTRANGE(""https://docs.google.com/spreadsheets/d/1IYY_tgx_IHuhSq3AJ5eI5OnqOPBNLWSHKh2a30DoXe8/edit?usp=sharing"",""สงขลา!J267"")"),0)</f>
        <v>0</v>
      </c>
      <c r="K372" s="169">
        <f t="shared" ca="1" si="106"/>
        <v>0</v>
      </c>
      <c r="L372" s="189"/>
      <c r="M372" s="189"/>
      <c r="N372" s="189"/>
      <c r="O372" s="189"/>
      <c r="P372" s="189"/>
    </row>
    <row r="373" spans="1:16" ht="21.75" hidden="1" customHeight="1" x14ac:dyDescent="0.35">
      <c r="A373" s="183"/>
      <c r="B373" s="184"/>
      <c r="C373" s="184"/>
      <c r="D373" s="201"/>
      <c r="E373" s="206"/>
      <c r="F373" s="203"/>
      <c r="G373" s="233" t="s">
        <v>141</v>
      </c>
      <c r="H373" s="188" t="s">
        <v>37</v>
      </c>
      <c r="I373" s="195">
        <f ca="1">IFERROR(__xludf.DUMMYFUNCTION("IMPORTRANGE(""https://docs.google.com/spreadsheets/d/1IYY_tgx_IHuhSq3AJ5eI5OnqOPBNLWSHKh2a30DoXe8/edit?usp=sharing"",""สงขลา!I164"")"),0)</f>
        <v>0</v>
      </c>
      <c r="J373" s="211">
        <f ca="1">IFERROR(__xludf.DUMMYFUNCTION("IMPORTRANGE(""https://docs.google.com/spreadsheets/d/1IYY_tgx_IHuhSq3AJ5eI5OnqOPBNLWSHKh2a30DoXe8/edit?usp=sharing"",""สงขลา!J164"")"),0)</f>
        <v>0</v>
      </c>
      <c r="K373" s="169">
        <f t="shared" ca="1" si="106"/>
        <v>0</v>
      </c>
      <c r="L373" s="189"/>
      <c r="M373" s="189"/>
      <c r="N373" s="189"/>
      <c r="O373" s="189"/>
      <c r="P373" s="189"/>
    </row>
    <row r="374" spans="1:16" ht="21.75" hidden="1" customHeight="1" x14ac:dyDescent="0.35">
      <c r="A374" s="183"/>
      <c r="B374" s="184"/>
      <c r="C374" s="184"/>
      <c r="D374" s="201"/>
      <c r="E374" s="206"/>
      <c r="F374" s="203"/>
      <c r="G374" s="204" t="s">
        <v>142</v>
      </c>
      <c r="H374" s="188"/>
      <c r="I374" s="195">
        <f ca="1">IFERROR(__xludf.DUMMYFUNCTION("IMPORTRANGE(""https://docs.google.com/spreadsheets/d/1IYY_tgx_IHuhSq3AJ5eI5OnqOPBNLWSHKh2a30DoXe8/edit?usp=sharing"",""สงขลา!I164"")"),0)</f>
        <v>0</v>
      </c>
      <c r="J374" s="195">
        <f ca="1">IFERROR(__xludf.DUMMYFUNCTION("IMPORTRANGE(""https://docs.google.com/spreadsheets/d/1IYY_tgx_IHuhSq3AJ5eI5OnqOPBNLWSHKh2a30DoXe8/edit?usp=sharing"",""สงขลา!J164"")"),0)</f>
        <v>0</v>
      </c>
      <c r="K374" s="169"/>
      <c r="L374" s="189"/>
      <c r="M374" s="189"/>
      <c r="N374" s="189"/>
      <c r="O374" s="189"/>
      <c r="P374" s="189"/>
    </row>
    <row r="375" spans="1:16" ht="21.75" customHeight="1" x14ac:dyDescent="0.35">
      <c r="A375" s="183"/>
      <c r="B375" s="184"/>
      <c r="C375" s="184"/>
      <c r="D375" s="201"/>
      <c r="E375" s="203"/>
      <c r="F375" s="212" t="s">
        <v>53</v>
      </c>
      <c r="G375" s="204"/>
      <c r="H375" s="286" t="s">
        <v>122</v>
      </c>
      <c r="I375" s="195">
        <f ca="1">IFERROR(__xludf.DUMMYFUNCTION("IMPORTRANGE(""https://docs.google.com/spreadsheets/d/1IYY_tgx_IHuhSq3AJ5eI5OnqOPBNLWSHKh2a30DoXe8/edit?usp=sharing"",""สงขลา!I270"")"),230)</f>
        <v>230</v>
      </c>
      <c r="J375" s="195">
        <f ca="1">IFERROR(__xludf.DUMMYFUNCTION("IMPORTRANGE(""https://docs.google.com/spreadsheets/d/1IYY_tgx_IHuhSq3AJ5eI5OnqOPBNLWSHKh2a30DoXe8/edit?usp=sharing"",""สงขลา!J270"")"),0)</f>
        <v>0</v>
      </c>
      <c r="K375" s="169">
        <f t="shared" ref="K375:K377" ca="1" si="107">IF(I375&gt;0,J375*100/I375,0)</f>
        <v>0</v>
      </c>
      <c r="L375" s="189"/>
      <c r="M375" s="189"/>
      <c r="N375" s="189"/>
      <c r="O375" s="189"/>
      <c r="P375" s="189"/>
    </row>
    <row r="376" spans="1:16" ht="21.75" customHeight="1" x14ac:dyDescent="0.35">
      <c r="A376" s="183"/>
      <c r="B376" s="184"/>
      <c r="C376" s="184"/>
      <c r="D376" s="201"/>
      <c r="E376" s="203"/>
      <c r="F376" s="203"/>
      <c r="G376" s="287" t="s">
        <v>143</v>
      </c>
      <c r="H376" s="286" t="s">
        <v>122</v>
      </c>
      <c r="I376" s="195">
        <f ca="1">IFERROR(__xludf.DUMMYFUNCTION("IMPORTRANGE(""https://docs.google.com/spreadsheets/d/1IYY_tgx_IHuhSq3AJ5eI5OnqOPBNLWSHKh2a30DoXe8/edit?usp=sharing"",""สงขลา!I271"")"),80)</f>
        <v>80</v>
      </c>
      <c r="J376" s="196">
        <f ca="1">IFERROR(__xludf.DUMMYFUNCTION("IMPORTRANGE(""https://docs.google.com/spreadsheets/d/1IYY_tgx_IHuhSq3AJ5eI5OnqOPBNLWSHKh2a30DoXe8/edit?usp=sharing"",""สงขลา!J271"")"),0)</f>
        <v>0</v>
      </c>
      <c r="K376" s="169">
        <f t="shared" ca="1" si="107"/>
        <v>0</v>
      </c>
      <c r="L376" s="189"/>
      <c r="M376" s="189"/>
      <c r="N376" s="189"/>
      <c r="O376" s="189"/>
      <c r="P376" s="189"/>
    </row>
    <row r="377" spans="1:16" ht="21.75" customHeight="1" x14ac:dyDescent="0.35">
      <c r="A377" s="183"/>
      <c r="B377" s="184"/>
      <c r="C377" s="184"/>
      <c r="D377" s="201"/>
      <c r="E377" s="203"/>
      <c r="F377" s="203"/>
      <c r="G377" s="287" t="s">
        <v>144</v>
      </c>
      <c r="H377" s="286" t="s">
        <v>122</v>
      </c>
      <c r="I377" s="195">
        <f ca="1">IFERROR(__xludf.DUMMYFUNCTION("IMPORTRANGE(""https://docs.google.com/spreadsheets/d/1IYY_tgx_IHuhSq3AJ5eI5OnqOPBNLWSHKh2a30DoXe8/edit?usp=sharing"",""สงขลา!I272"")"),150)</f>
        <v>150</v>
      </c>
      <c r="J377" s="211">
        <f ca="1">IFERROR(__xludf.DUMMYFUNCTION("IMPORTRANGE(""https://docs.google.com/spreadsheets/d/1IYY_tgx_IHuhSq3AJ5eI5OnqOPBNLWSHKh2a30DoXe8/edit?usp=sharing"",""สงขลา!J272"")"),0)</f>
        <v>0</v>
      </c>
      <c r="K377" s="169">
        <f t="shared" ca="1" si="107"/>
        <v>0</v>
      </c>
      <c r="L377" s="189"/>
      <c r="M377" s="189"/>
      <c r="N377" s="189"/>
      <c r="O377" s="189"/>
      <c r="P377" s="189"/>
    </row>
    <row r="378" spans="1:16" ht="21.75" customHeight="1" x14ac:dyDescent="0.35">
      <c r="A378" s="183"/>
      <c r="B378" s="184"/>
      <c r="C378" s="184"/>
      <c r="D378" s="201"/>
      <c r="E378" s="202" t="s">
        <v>54</v>
      </c>
      <c r="F378" s="203"/>
      <c r="G378" s="204"/>
      <c r="H378" s="194"/>
      <c r="I378" s="195"/>
      <c r="J378" s="205">
        <f ca="1">IFERROR(__xludf.DUMMYFUNCTION("IMPORTRANGE(""https://docs.google.com/spreadsheets/d/1IYY_tgx_IHuhSq3AJ5eI5OnqOPBNLWSHKh2a30DoXe8/edit?usp=sharing"",""สงขลา!J273"")"),0)</f>
        <v>0</v>
      </c>
      <c r="K378" s="169"/>
      <c r="L378" s="189"/>
      <c r="M378" s="189"/>
      <c r="N378" s="189"/>
      <c r="O378" s="189"/>
      <c r="P378" s="189"/>
    </row>
    <row r="379" spans="1:16" ht="21.75" customHeight="1" x14ac:dyDescent="0.35">
      <c r="A379" s="183"/>
      <c r="B379" s="184"/>
      <c r="C379" s="184"/>
      <c r="D379" s="213">
        <v>3</v>
      </c>
      <c r="E379" s="214" t="s">
        <v>55</v>
      </c>
      <c r="F379" s="215"/>
      <c r="G379" s="216"/>
      <c r="H379" s="194"/>
      <c r="I379" s="195"/>
      <c r="J379" s="217">
        <f ca="1">IFERROR(__xludf.DUMMYFUNCTION("IMPORTRANGE(""https://docs.google.com/spreadsheets/d/1IYY_tgx_IHuhSq3AJ5eI5OnqOPBNLWSHKh2a30DoXe8/edit?usp=sharing"",""สงขลา!J274"")"),0)</f>
        <v>0</v>
      </c>
      <c r="K379" s="169"/>
      <c r="L379" s="189"/>
      <c r="M379" s="189"/>
      <c r="N379" s="189"/>
      <c r="O379" s="189"/>
      <c r="P379" s="189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IFERROR(__xludf.DUMMYFUNCTION("IMPORTRANGE(""https://docs.google.com/spreadsheets/d/1IYY_tgx_IHuhSq3AJ5eI5OnqOPBNLWSHKh2a30DoXe8/edit?usp=sharing"",""สงขลา!I275"")"),200)</f>
        <v>200</v>
      </c>
      <c r="J380" s="377">
        <f ca="1">IFERROR(__xludf.DUMMYFUNCTION("IMPORTRANGE(""https://docs.google.com/spreadsheets/d/1IYY_tgx_IHuhSq3AJ5eI5OnqOPBNLWSHKh2a30DoXe8/edit?usp=sharing"",""สงขลา!J275"")"),0)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IFERROR(__xludf.DUMMYFUNCTION("IMPORTRANGE(""https://docs.google.com/spreadsheets/d/1IYY_tgx_IHuhSq3AJ5eI5OnqOPBNLWSHKh2a30DoXe8/edit?usp=sharing"",""สงขลา!L275"")"),207560)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IFERROR(__xludf.DUMMYFUNCTION("IMPORTRANGE(""https://docs.google.com/spreadsheets/d/1IYY_tgx_IHuhSq3AJ5eI5OnqOPBNLWSHKh2a30DoXe8/edit?usp=sharing"",""สงขลา!M275"")"),68300)</f>
        <v>68300</v>
      </c>
      <c r="O380" s="379">
        <f ca="1">+IF(L380&gt;0,N380*100/L380,0)</f>
        <v>32.90614761996531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IFERROR(__xludf.DUMMYFUNCTION("IMPORTRANGE(""https://docs.google.com/spreadsheets/d/1IYY_tgx_IHuhSq3AJ5eI5OnqOPBNLWSHKh2a30DoXe8/edit?usp=sharing"",""สงขลา!I276"")"),20)</f>
        <v>20</v>
      </c>
      <c r="J381" s="377">
        <f ca="1">IFERROR(__xludf.DUMMYFUNCTION("IMPORTRANGE(""https://docs.google.com/spreadsheets/d/1IYY_tgx_IHuhSq3AJ5eI5OnqOPBNLWSHKh2a30DoXe8/edit?usp=sharing"",""สงขลา!J276"")"),20)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164" t="s">
        <v>38</v>
      </c>
      <c r="E382" s="165"/>
      <c r="F382" s="165"/>
      <c r="G382" s="166" t="s">
        <v>39</v>
      </c>
      <c r="H382" s="167" t="s">
        <v>12</v>
      </c>
      <c r="I382" s="168" t="s">
        <v>40</v>
      </c>
      <c r="J382" s="168"/>
      <c r="K382" s="169"/>
      <c r="L382" s="170">
        <f ca="1">IFERROR(__xludf.DUMMYFUNCTION("IMPORTRANGE(""https://docs.google.com/spreadsheets/d/1IYY_tgx_IHuhSq3AJ5eI5OnqOPBNLWSHKh2a30DoXe8/edit?usp=sharing"",""สงขลา!L277"")"),0)</f>
        <v>0</v>
      </c>
      <c r="M382" s="170"/>
      <c r="N382" s="170">
        <f ca="1">IFERROR(__xludf.DUMMYFUNCTION("IMPORTRANGE(""https://docs.google.com/spreadsheets/d/1IYY_tgx_IHuhSq3AJ5eI5OnqOPBNLWSHKh2a30DoXe8/edit?usp=sharing"",""สงขลา!M277"")"),0)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 x14ac:dyDescent="0.35">
      <c r="A383" s="162"/>
      <c r="B383" s="163"/>
      <c r="C383" s="163"/>
      <c r="D383" s="172"/>
      <c r="E383" s="165"/>
      <c r="F383" s="165" t="s">
        <v>40</v>
      </c>
      <c r="G383" s="166" t="s">
        <v>41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IFERROR(__xludf.DUMMYFUNCTION("IMPORTRANGE(""https://docs.google.com/spreadsheets/d/1IYY_tgx_IHuhSq3AJ5eI5OnqOPBNLWSHKh2a30DoXe8/edit?usp=sharing"",""สงขลา!L278"")"),207560)</f>
        <v>207560</v>
      </c>
      <c r="M383" s="171"/>
      <c r="N383" s="171">
        <f ca="1">IFERROR(__xludf.DUMMYFUNCTION("IMPORTRANGE(""https://docs.google.com/spreadsheets/d/1IYY_tgx_IHuhSq3AJ5eI5OnqOPBNLWSHKh2a30DoXe8/edit?usp=sharing"",""สงขลา!M278"")"),68300)</f>
        <v>68300</v>
      </c>
      <c r="O383" s="171">
        <f t="shared" ca="1" si="109"/>
        <v>32.90614761996531</v>
      </c>
      <c r="P383" s="171"/>
    </row>
    <row r="384" spans="1:16" ht="21.75" customHeight="1" x14ac:dyDescent="0.35">
      <c r="A384" s="162"/>
      <c r="B384" s="163"/>
      <c r="C384" s="163"/>
      <c r="D384" s="172"/>
      <c r="E384" s="165"/>
      <c r="F384" s="165"/>
      <c r="G384" s="380" t="s">
        <v>129</v>
      </c>
      <c r="H384" s="167" t="s">
        <v>12</v>
      </c>
      <c r="I384" s="168"/>
      <c r="J384" s="168"/>
      <c r="K384" s="169"/>
      <c r="L384" s="176">
        <f ca="1">IFERROR(__xludf.DUMMYFUNCTION("IMPORTRANGE(""https://docs.google.com/spreadsheets/d/1IYY_tgx_IHuhSq3AJ5eI5OnqOPBNLWSHKh2a30DoXe8/edit?usp=sharing"",""สงขลา!L279"")"),0)</f>
        <v>0</v>
      </c>
      <c r="M384" s="176"/>
      <c r="N384" s="176">
        <f ca="1">IFERROR(__xludf.DUMMYFUNCTION("IMPORTRANGE(""https://docs.google.com/spreadsheets/d/1IYY_tgx_IHuhSq3AJ5eI5OnqOPBNLWSHKh2a30DoXe8/edit?usp=sharing"",""สงขลา!M279"")"),0)</f>
        <v>0</v>
      </c>
      <c r="O384" s="176">
        <f t="shared" ca="1" si="109"/>
        <v>0</v>
      </c>
      <c r="P384" s="176"/>
    </row>
    <row r="385" spans="1:16" ht="21.75" customHeight="1" x14ac:dyDescent="0.35">
      <c r="A385" s="162"/>
      <c r="B385" s="163"/>
      <c r="C385" s="163"/>
      <c r="D385" s="172"/>
      <c r="E385" s="165"/>
      <c r="F385" s="165"/>
      <c r="G385" s="380" t="s">
        <v>130</v>
      </c>
      <c r="H385" s="167" t="s">
        <v>12</v>
      </c>
      <c r="I385" s="168"/>
      <c r="J385" s="168"/>
      <c r="K385" s="169"/>
      <c r="L385" s="176">
        <f ca="1">IFERROR(__xludf.DUMMYFUNCTION("IMPORTRANGE(""https://docs.google.com/spreadsheets/d/1IYY_tgx_IHuhSq3AJ5eI5OnqOPBNLWSHKh2a30DoXe8/edit?usp=sharing"",""สงขลา!L280"")"),207560)</f>
        <v>207560</v>
      </c>
      <c r="M385" s="176"/>
      <c r="N385" s="173">
        <f ca="1">IFERROR(__xludf.DUMMYFUNCTION("IMPORTRANGE(""https://docs.google.com/spreadsheets/d/1IYY_tgx_IHuhSq3AJ5eI5OnqOPBNLWSHKh2a30DoXe8/edit?usp=sharing"",""สงขลา!M280"")"),68300)</f>
        <v>68300</v>
      </c>
      <c r="O385" s="176">
        <f t="shared" ca="1" si="109"/>
        <v>32.90614761996531</v>
      </c>
      <c r="P385" s="176"/>
    </row>
    <row r="386" spans="1:16" ht="21.75" customHeight="1" x14ac:dyDescent="0.35">
      <c r="A386" s="381"/>
      <c r="B386" s="382"/>
      <c r="C386" s="163"/>
      <c r="D386" s="383"/>
      <c r="E386" s="165"/>
      <c r="F386" s="165"/>
      <c r="G386" s="384" t="s">
        <v>131</v>
      </c>
      <c r="H386" s="167" t="s">
        <v>12</v>
      </c>
      <c r="I386" s="195"/>
      <c r="J386" s="195"/>
      <c r="K386" s="231"/>
      <c r="L386" s="176"/>
      <c r="M386" s="176"/>
      <c r="N386" s="385">
        <f ca="1">IFERROR(__xludf.DUMMYFUNCTION("IMPORTRANGE(""https://docs.google.com/spreadsheets/d/1IYY_tgx_IHuhSq3AJ5eI5OnqOPBNLWSHKh2a30DoXe8/edit?usp=sharing"",""สงขลา!M281"")"),58800)</f>
        <v>58800</v>
      </c>
      <c r="O386" s="176"/>
      <c r="P386" s="176"/>
    </row>
    <row r="387" spans="1:16" ht="21.75" customHeight="1" x14ac:dyDescent="0.35">
      <c r="A387" s="381"/>
      <c r="B387" s="382"/>
      <c r="C387" s="163"/>
      <c r="D387" s="383"/>
      <c r="E387" s="165"/>
      <c r="F387" s="165"/>
      <c r="G387" s="384" t="s">
        <v>132</v>
      </c>
      <c r="H387" s="167" t="s">
        <v>12</v>
      </c>
      <c r="I387" s="195"/>
      <c r="J387" s="195"/>
      <c r="K387" s="231"/>
      <c r="L387" s="176"/>
      <c r="M387" s="176"/>
      <c r="N387" s="385">
        <f ca="1">IFERROR(__xludf.DUMMYFUNCTION("IMPORTRANGE(""https://docs.google.com/spreadsheets/d/1IYY_tgx_IHuhSq3AJ5eI5OnqOPBNLWSHKh2a30DoXe8/edit?usp=sharing"",""สงขลา!M282"")"),0)</f>
        <v>0</v>
      </c>
      <c r="O387" s="176"/>
      <c r="P387" s="176"/>
    </row>
    <row r="388" spans="1:16" ht="21.75" customHeight="1" x14ac:dyDescent="0.35">
      <c r="A388" s="381"/>
      <c r="B388" s="382"/>
      <c r="C388" s="163"/>
      <c r="D388" s="383"/>
      <c r="E388" s="165"/>
      <c r="F388" s="165"/>
      <c r="G388" s="384" t="s">
        <v>133</v>
      </c>
      <c r="H388" s="167" t="s">
        <v>12</v>
      </c>
      <c r="I388" s="195"/>
      <c r="J388" s="195"/>
      <c r="K388" s="231"/>
      <c r="L388" s="176"/>
      <c r="M388" s="176"/>
      <c r="N388" s="385">
        <f ca="1">IFERROR(__xludf.DUMMYFUNCTION("IMPORTRANGE(""https://docs.google.com/spreadsheets/d/1IYY_tgx_IHuhSq3AJ5eI5OnqOPBNLWSHKh2a30DoXe8/edit?usp=sharing"",""สงขลา!M283"")"),0)</f>
        <v>0</v>
      </c>
      <c r="O388" s="176"/>
      <c r="P388" s="176"/>
    </row>
    <row r="389" spans="1:16" ht="21.75" customHeight="1" x14ac:dyDescent="0.35">
      <c r="A389" s="381"/>
      <c r="B389" s="382"/>
      <c r="C389" s="163"/>
      <c r="D389" s="383"/>
      <c r="E389" s="165"/>
      <c r="F389" s="165"/>
      <c r="G389" s="384" t="s">
        <v>134</v>
      </c>
      <c r="H389" s="167" t="s">
        <v>12</v>
      </c>
      <c r="I389" s="195"/>
      <c r="J389" s="195"/>
      <c r="K389" s="231"/>
      <c r="L389" s="176"/>
      <c r="M389" s="176"/>
      <c r="N389" s="385">
        <f ca="1">IFERROR(__xludf.DUMMYFUNCTION("IMPORTRANGE(""https://docs.google.com/spreadsheets/d/1IYY_tgx_IHuhSq3AJ5eI5OnqOPBNLWSHKh2a30DoXe8/edit?usp=sharing"",""สงขลา!M284"")"),9500)</f>
        <v>9500</v>
      </c>
      <c r="O389" s="176"/>
      <c r="P389" s="176"/>
    </row>
    <row r="390" spans="1:16" ht="21.75" customHeight="1" x14ac:dyDescent="0.35">
      <c r="A390" s="183"/>
      <c r="B390" s="184"/>
      <c r="C390" s="163" t="s">
        <v>16</v>
      </c>
      <c r="D390" s="185" t="s">
        <v>44</v>
      </c>
      <c r="E390" s="186"/>
      <c r="F390" s="186"/>
      <c r="G390" s="187"/>
      <c r="H390" s="188"/>
      <c r="I390" s="168"/>
      <c r="J390" s="168"/>
      <c r="K390" s="169"/>
      <c r="L390" s="189"/>
      <c r="M390" s="189"/>
      <c r="N390" s="189"/>
      <c r="O390" s="189"/>
      <c r="P390" s="189"/>
    </row>
    <row r="391" spans="1:16" ht="21.75" customHeight="1" x14ac:dyDescent="0.35">
      <c r="A391" s="183"/>
      <c r="B391" s="184"/>
      <c r="C391" s="184"/>
      <c r="D391" s="190">
        <v>1</v>
      </c>
      <c r="E391" s="191" t="s">
        <v>45</v>
      </c>
      <c r="F391" s="192"/>
      <c r="G391" s="193"/>
      <c r="H391" s="194"/>
      <c r="I391" s="195"/>
      <c r="J391" s="205">
        <f ca="1">IFERROR(__xludf.DUMMYFUNCTION("IMPORTRANGE(""https://docs.google.com/spreadsheets/d/1IYY_tgx_IHuhSq3AJ5eI5OnqOPBNLWSHKh2a30DoXe8/edit?usp=sharing"",""สงขลา!J286"")"),0)</f>
        <v>0</v>
      </c>
      <c r="K391" s="169"/>
      <c r="L391" s="189"/>
      <c r="M391" s="189"/>
      <c r="N391" s="189"/>
      <c r="O391" s="189"/>
      <c r="P391" s="189"/>
    </row>
    <row r="392" spans="1:16" ht="21.75" customHeight="1" x14ac:dyDescent="0.35">
      <c r="A392" s="183"/>
      <c r="B392" s="184"/>
      <c r="C392" s="184"/>
      <c r="D392" s="197">
        <v>2</v>
      </c>
      <c r="E392" s="198" t="s">
        <v>46</v>
      </c>
      <c r="F392" s="199"/>
      <c r="G392" s="200"/>
      <c r="H392" s="194"/>
      <c r="I392" s="195"/>
      <c r="J392" s="196">
        <f ca="1">IFERROR(__xludf.DUMMYFUNCTION("IMPORTRANGE(""https://docs.google.com/spreadsheets/d/1IYY_tgx_IHuhSq3AJ5eI5OnqOPBNLWSHKh2a30DoXe8/edit?usp=sharing"",""สงขลา!J287"")"),1)</f>
        <v>1</v>
      </c>
      <c r="K392" s="169"/>
      <c r="L392" s="189" t="s">
        <v>40</v>
      </c>
      <c r="M392" s="189"/>
      <c r="N392" s="189" t="s">
        <v>40</v>
      </c>
      <c r="O392" s="189"/>
      <c r="P392" s="189"/>
    </row>
    <row r="393" spans="1:16" ht="21.75" customHeight="1" x14ac:dyDescent="0.35">
      <c r="A393" s="183"/>
      <c r="B393" s="184"/>
      <c r="C393" s="184"/>
      <c r="D393" s="201"/>
      <c r="E393" s="202" t="s">
        <v>47</v>
      </c>
      <c r="F393" s="203"/>
      <c r="G393" s="204"/>
      <c r="H393" s="194"/>
      <c r="I393" s="195"/>
      <c r="J393" s="196">
        <f ca="1">IFERROR(__xludf.DUMMYFUNCTION("IMPORTRANGE(""https://docs.google.com/spreadsheets/d/1IYY_tgx_IHuhSq3AJ5eI5OnqOPBNLWSHKh2a30DoXe8/edit?usp=sharing"",""สงขลา!J288"")"),1)</f>
        <v>1</v>
      </c>
      <c r="K393" s="169"/>
      <c r="L393" s="189"/>
      <c r="M393" s="189"/>
      <c r="N393" s="189"/>
      <c r="O393" s="189"/>
      <c r="P393" s="189"/>
    </row>
    <row r="394" spans="1:16" ht="21.75" customHeight="1" x14ac:dyDescent="0.35">
      <c r="A394" s="183"/>
      <c r="B394" s="184"/>
      <c r="C394" s="184"/>
      <c r="D394" s="201"/>
      <c r="E394" s="202" t="s">
        <v>48</v>
      </c>
      <c r="F394" s="203"/>
      <c r="G394" s="204"/>
      <c r="H394" s="194"/>
      <c r="I394" s="195"/>
      <c r="J394" s="205">
        <f ca="1">IFERROR(__xludf.DUMMYFUNCTION("IMPORTRANGE(""https://docs.google.com/spreadsheets/d/1IYY_tgx_IHuhSq3AJ5eI5OnqOPBNLWSHKh2a30DoXe8/edit?usp=sharing"",""สงขลา!J289"")"),1)</f>
        <v>1</v>
      </c>
      <c r="K394" s="169"/>
      <c r="L394" s="189"/>
      <c r="M394" s="189"/>
      <c r="N394" s="189"/>
      <c r="O394" s="189"/>
      <c r="P394" s="189"/>
    </row>
    <row r="395" spans="1:16" ht="21.75" customHeight="1" x14ac:dyDescent="0.35">
      <c r="A395" s="183"/>
      <c r="B395" s="184"/>
      <c r="C395" s="184"/>
      <c r="D395" s="201"/>
      <c r="E395" s="206"/>
      <c r="F395" s="202" t="s">
        <v>146</v>
      </c>
      <c r="G395" s="203"/>
      <c r="H395" s="194"/>
      <c r="I395" s="195"/>
      <c r="J395" s="195"/>
      <c r="K395" s="169"/>
      <c r="L395" s="189"/>
      <c r="M395" s="189"/>
      <c r="N395" s="189"/>
      <c r="O395" s="189"/>
      <c r="P395" s="189"/>
    </row>
    <row r="396" spans="1:16" ht="21.75" customHeight="1" x14ac:dyDescent="0.35">
      <c r="A396" s="183"/>
      <c r="B396" s="184"/>
      <c r="C396" s="184"/>
      <c r="D396" s="201"/>
      <c r="E396" s="206"/>
      <c r="F396" s="203"/>
      <c r="G396" s="299" t="s">
        <v>70</v>
      </c>
      <c r="H396" s="194" t="s">
        <v>37</v>
      </c>
      <c r="I396" s="195">
        <f ca="1">IFERROR(__xludf.DUMMYFUNCTION("IMPORTRANGE(""https://docs.google.com/spreadsheets/d/1IYY_tgx_IHuhSq3AJ5eI5OnqOPBNLWSHKh2a30DoXe8/edit?usp=sharing"",""สงขลา!I291"")"),20)</f>
        <v>20</v>
      </c>
      <c r="J396" s="205">
        <f ca="1">IFERROR(__xludf.DUMMYFUNCTION("IMPORTRANGE(""https://docs.google.com/spreadsheets/d/1IYY_tgx_IHuhSq3AJ5eI5OnqOPBNLWSHKh2a30DoXe8/edit?usp=sharing"",""สงขลา!J291"")"),20)</f>
        <v>20</v>
      </c>
      <c r="K396" s="169">
        <f t="shared" ref="K396:K398" ca="1" si="110">IF(I396&gt;0,J396*100/I396,0)</f>
        <v>100</v>
      </c>
      <c r="L396" s="189"/>
      <c r="M396" s="189"/>
      <c r="N396" s="189"/>
      <c r="O396" s="189"/>
      <c r="P396" s="189"/>
    </row>
    <row r="397" spans="1:16" ht="21.75" customHeight="1" x14ac:dyDescent="0.35">
      <c r="A397" s="183"/>
      <c r="B397" s="184"/>
      <c r="C397" s="184"/>
      <c r="D397" s="201"/>
      <c r="E397" s="206"/>
      <c r="F397" s="203"/>
      <c r="G397" s="204" t="s">
        <v>53</v>
      </c>
      <c r="H397" s="194" t="s">
        <v>122</v>
      </c>
      <c r="I397" s="195">
        <f ca="1">IFERROR(__xludf.DUMMYFUNCTION("IMPORTRANGE(""https://docs.google.com/spreadsheets/d/1IYY_tgx_IHuhSq3AJ5eI5OnqOPBNLWSHKh2a30DoXe8/edit?usp=sharing"",""สงขลา!I292"")"),200)</f>
        <v>200</v>
      </c>
      <c r="J397" s="205">
        <f ca="1">IFERROR(__xludf.DUMMYFUNCTION("IMPORTRANGE(""https://docs.google.com/spreadsheets/d/1IYY_tgx_IHuhSq3AJ5eI5OnqOPBNLWSHKh2a30DoXe8/edit?usp=sharing"",""สงขลา!J292"")"),0)</f>
        <v>0</v>
      </c>
      <c r="K397" s="169">
        <f t="shared" ca="1" si="110"/>
        <v>0</v>
      </c>
      <c r="L397" s="189"/>
      <c r="M397" s="189"/>
      <c r="N397" s="189"/>
      <c r="O397" s="189"/>
      <c r="P397" s="189"/>
    </row>
    <row r="398" spans="1:16" ht="21.75" customHeight="1" x14ac:dyDescent="0.35">
      <c r="A398" s="183"/>
      <c r="B398" s="184"/>
      <c r="C398" s="184"/>
      <c r="D398" s="201"/>
      <c r="E398" s="206"/>
      <c r="F398" s="203"/>
      <c r="G398" s="204"/>
      <c r="H398" s="194" t="s">
        <v>37</v>
      </c>
      <c r="I398" s="195">
        <f ca="1">IFERROR(__xludf.DUMMYFUNCTION("IMPORTRANGE(""https://docs.google.com/spreadsheets/d/1IYY_tgx_IHuhSq3AJ5eI5OnqOPBNLWSHKh2a30DoXe8/edit?usp=sharing"",""สงขลา!I293"")"),20)</f>
        <v>20</v>
      </c>
      <c r="J398" s="205">
        <f ca="1">IFERROR(__xludf.DUMMYFUNCTION("IMPORTRANGE(""https://docs.google.com/spreadsheets/d/1IYY_tgx_IHuhSq3AJ5eI5OnqOPBNLWSHKh2a30DoXe8/edit?usp=sharing"",""สงขลา!J293"")"),0)</f>
        <v>0</v>
      </c>
      <c r="K398" s="169">
        <f t="shared" ca="1" si="110"/>
        <v>0</v>
      </c>
      <c r="L398" s="189"/>
      <c r="M398" s="189"/>
      <c r="N398" s="189"/>
      <c r="O398" s="189"/>
      <c r="P398" s="189"/>
    </row>
    <row r="399" spans="1:16" ht="21.75" customHeight="1" x14ac:dyDescent="0.35">
      <c r="A399" s="183"/>
      <c r="B399" s="184"/>
      <c r="C399" s="184"/>
      <c r="D399" s="201"/>
      <c r="E399" s="202" t="s">
        <v>54</v>
      </c>
      <c r="F399" s="203"/>
      <c r="G399" s="204"/>
      <c r="H399" s="194"/>
      <c r="I399" s="195"/>
      <c r="J399" s="205">
        <f ca="1">IFERROR(__xludf.DUMMYFUNCTION("IMPORTRANGE(""https://docs.google.com/spreadsheets/d/1IYY_tgx_IHuhSq3AJ5eI5OnqOPBNLWSHKh2a30DoXe8/edit?usp=sharing"",""สงขลา!J294"")"),0)</f>
        <v>0</v>
      </c>
      <c r="K399" s="169"/>
      <c r="L399" s="189"/>
      <c r="M399" s="189"/>
      <c r="N399" s="189"/>
      <c r="O399" s="189"/>
      <c r="P399" s="189"/>
    </row>
    <row r="400" spans="1:16" ht="21.75" customHeight="1" x14ac:dyDescent="0.35">
      <c r="A400" s="183"/>
      <c r="B400" s="184"/>
      <c r="C400" s="184"/>
      <c r="D400" s="213">
        <v>3</v>
      </c>
      <c r="E400" s="214" t="s">
        <v>55</v>
      </c>
      <c r="F400" s="215"/>
      <c r="G400" s="216"/>
      <c r="H400" s="194"/>
      <c r="I400" s="195"/>
      <c r="J400" s="217">
        <f ca="1">IFERROR(__xludf.DUMMYFUNCTION("IMPORTRANGE(""https://docs.google.com/spreadsheets/d/1IYY_tgx_IHuhSq3AJ5eI5OnqOPBNLWSHKh2a30DoXe8/edit?usp=sharing"",""สงขลา!J295"")"),0)</f>
        <v>0</v>
      </c>
      <c r="K400" s="169"/>
      <c r="L400" s="189"/>
      <c r="M400" s="189"/>
      <c r="N400" s="189"/>
      <c r="O400" s="189"/>
      <c r="P400" s="189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IFERROR(__xludf.DUMMYFUNCTION("IMPORTRANGE(""https://docs.google.com/spreadsheets/d/1IYY_tgx_IHuhSq3AJ5eI5OnqOPBNLWSHKh2a30DoXe8/edit?usp=sharing"",""สงขลา!I296"")"),150)</f>
        <v>150</v>
      </c>
      <c r="J401" s="377">
        <f ca="1">IFERROR(__xludf.DUMMYFUNCTION("IMPORTRANGE(""https://docs.google.com/spreadsheets/d/1IYY_tgx_IHuhSq3AJ5eI5OnqOPBNLWSHKh2a30DoXe8/edit?usp=sharing"",""สงขลา!J296"")"),0)</f>
        <v>0</v>
      </c>
      <c r="K401" s="378">
        <f t="shared" ref="K401:K402" ca="1" si="111">IF(I401&gt;0,J401*100/I401,0)</f>
        <v>0</v>
      </c>
      <c r="L401" s="379">
        <f ca="1">IFERROR(__xludf.DUMMYFUNCTION("IMPORTRANGE(""https://docs.google.com/spreadsheets/d/1IYY_tgx_IHuhSq3AJ5eI5OnqOPBNLWSHKh2a30DoXe8/edit?usp=sharing"",""สงขลา!L296"")"),158400)</f>
        <v>158400</v>
      </c>
      <c r="M401" s="379"/>
      <c r="N401" s="379">
        <f ca="1">IFERROR(__xludf.DUMMYFUNCTION("IMPORTRANGE(""https://docs.google.com/spreadsheets/d/1IYY_tgx_IHuhSq3AJ5eI5OnqOPBNLWSHKh2a30DoXe8/edit?usp=sharing"",""สงขลา!M296"")"),100955)</f>
        <v>100955</v>
      </c>
      <c r="O401" s="379">
        <f ca="1">+IF(L401&gt;0,N401*100/L401,0)</f>
        <v>63.734217171717169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IFERROR(__xludf.DUMMYFUNCTION("IMPORTRANGE(""https://docs.google.com/spreadsheets/d/1IYY_tgx_IHuhSq3AJ5eI5OnqOPBNLWSHKh2a30DoXe8/edit?usp=sharing"",""สงขลา!I297"")"),50)</f>
        <v>50</v>
      </c>
      <c r="J402" s="377">
        <f ca="1">IFERROR(__xludf.DUMMYFUNCTION("IMPORTRANGE(""https://docs.google.com/spreadsheets/d/1IYY_tgx_IHuhSq3AJ5eI5OnqOPBNLWSHKh2a30DoXe8/edit?usp=sharing"",""สงขลา!J297"")"),0)</f>
        <v>0</v>
      </c>
      <c r="K402" s="378">
        <f t="shared" ca="1" si="111"/>
        <v>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164" t="s">
        <v>38</v>
      </c>
      <c r="E403" s="165"/>
      <c r="F403" s="165"/>
      <c r="G403" s="166" t="s">
        <v>39</v>
      </c>
      <c r="H403" s="167" t="s">
        <v>12</v>
      </c>
      <c r="I403" s="168" t="s">
        <v>40</v>
      </c>
      <c r="J403" s="168"/>
      <c r="K403" s="169"/>
      <c r="L403" s="170">
        <f ca="1">IFERROR(__xludf.DUMMYFUNCTION("IMPORTRANGE(""https://docs.google.com/spreadsheets/d/1IYY_tgx_IHuhSq3AJ5eI5OnqOPBNLWSHKh2a30DoXe8/edit?usp=sharing"",""สงขลา!L298"")"),0)</f>
        <v>0</v>
      </c>
      <c r="M403" s="170"/>
      <c r="N403" s="176">
        <f ca="1">IFERROR(__xludf.DUMMYFUNCTION("IMPORTRANGE(""https://docs.google.com/spreadsheets/d/1IYY_tgx_IHuhSq3AJ5eI5OnqOPBNLWSHKh2a30DoXe8/edit?usp=sharing"",""สงขลา!M298"")"),0)</f>
        <v>0</v>
      </c>
      <c r="O403" s="176">
        <f t="shared" ref="O403:O406" ca="1" si="112">+IF(L403&gt;0,N403*100/L403,0)</f>
        <v>0</v>
      </c>
      <c r="P403" s="176"/>
    </row>
    <row r="404" spans="1:16" ht="21.75" customHeight="1" x14ac:dyDescent="0.35">
      <c r="A404" s="162"/>
      <c r="B404" s="163"/>
      <c r="C404" s="163"/>
      <c r="D404" s="172"/>
      <c r="E404" s="165"/>
      <c r="F404" s="165" t="s">
        <v>40</v>
      </c>
      <c r="G404" s="166" t="s">
        <v>41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IFERROR(__xludf.DUMMYFUNCTION("IMPORTRANGE(""https://docs.google.com/spreadsheets/d/1IYY_tgx_IHuhSq3AJ5eI5OnqOPBNLWSHKh2a30DoXe8/edit?usp=sharing"",""สงขลา!L299"")"),158400)</f>
        <v>158400</v>
      </c>
      <c r="M404" s="171"/>
      <c r="N404" s="176">
        <f ca="1">IFERROR(__xludf.DUMMYFUNCTION("IMPORTRANGE(""https://docs.google.com/spreadsheets/d/1IYY_tgx_IHuhSq3AJ5eI5OnqOPBNLWSHKh2a30DoXe8/edit?usp=sharing"",""สงขลา!M299"")"),100955)</f>
        <v>100955</v>
      </c>
      <c r="O404" s="176">
        <f t="shared" ca="1" si="112"/>
        <v>63.734217171717169</v>
      </c>
      <c r="P404" s="176"/>
    </row>
    <row r="405" spans="1:16" ht="21.75" customHeight="1" x14ac:dyDescent="0.35">
      <c r="A405" s="162"/>
      <c r="B405" s="163"/>
      <c r="C405" s="163"/>
      <c r="D405" s="172"/>
      <c r="E405" s="165"/>
      <c r="F405" s="165"/>
      <c r="G405" s="380" t="s">
        <v>129</v>
      </c>
      <c r="H405" s="167" t="s">
        <v>12</v>
      </c>
      <c r="I405" s="168"/>
      <c r="J405" s="168"/>
      <c r="K405" s="169"/>
      <c r="L405" s="176">
        <f ca="1">IFERROR(__xludf.DUMMYFUNCTION("IMPORTRANGE(""https://docs.google.com/spreadsheets/d/1IYY_tgx_IHuhSq3AJ5eI5OnqOPBNLWSHKh2a30DoXe8/edit?usp=sharing"",""สงขลา!L300"")"),0)</f>
        <v>0</v>
      </c>
      <c r="M405" s="176"/>
      <c r="N405" s="176">
        <f ca="1">IFERROR(__xludf.DUMMYFUNCTION("IMPORTRANGE(""https://docs.google.com/spreadsheets/d/1IYY_tgx_IHuhSq3AJ5eI5OnqOPBNLWSHKh2a30DoXe8/edit?usp=sharing"",""สงขลา!M300"")"),0)</f>
        <v>0</v>
      </c>
      <c r="O405" s="176">
        <f t="shared" ca="1" si="112"/>
        <v>0</v>
      </c>
      <c r="P405" s="176"/>
    </row>
    <row r="406" spans="1:16" ht="21.75" customHeight="1" x14ac:dyDescent="0.35">
      <c r="A406" s="162"/>
      <c r="B406" s="163"/>
      <c r="C406" s="163"/>
      <c r="D406" s="172"/>
      <c r="E406" s="165"/>
      <c r="F406" s="165"/>
      <c r="G406" s="380" t="s">
        <v>130</v>
      </c>
      <c r="H406" s="167" t="s">
        <v>12</v>
      </c>
      <c r="I406" s="168"/>
      <c r="J406" s="168"/>
      <c r="K406" s="169"/>
      <c r="L406" s="176">
        <f ca="1">IFERROR(__xludf.DUMMYFUNCTION("IMPORTRANGE(""https://docs.google.com/spreadsheets/d/1IYY_tgx_IHuhSq3AJ5eI5OnqOPBNLWSHKh2a30DoXe8/edit?usp=sharing"",""สงขลา!L301"")"),158400)</f>
        <v>158400</v>
      </c>
      <c r="M406" s="176"/>
      <c r="N406" s="176">
        <f ca="1">IFERROR(__xludf.DUMMYFUNCTION("IMPORTRANGE(""https://docs.google.com/spreadsheets/d/1IYY_tgx_IHuhSq3AJ5eI5OnqOPBNLWSHKh2a30DoXe8/edit?usp=sharing"",""สงขลา!M301"")"),100955)</f>
        <v>100955</v>
      </c>
      <c r="O406" s="176">
        <f t="shared" ca="1" si="112"/>
        <v>63.734217171717169</v>
      </c>
      <c r="P406" s="176"/>
    </row>
    <row r="407" spans="1:16" ht="21.75" customHeight="1" x14ac:dyDescent="0.35">
      <c r="A407" s="381"/>
      <c r="B407" s="382"/>
      <c r="C407" s="163"/>
      <c r="D407" s="383"/>
      <c r="E407" s="165"/>
      <c r="F407" s="165"/>
      <c r="G407" s="384" t="s">
        <v>131</v>
      </c>
      <c r="H407" s="167" t="s">
        <v>12</v>
      </c>
      <c r="I407" s="195"/>
      <c r="J407" s="195"/>
      <c r="K407" s="231"/>
      <c r="L407" s="176"/>
      <c r="M407" s="176"/>
      <c r="N407" s="385">
        <f ca="1">IFERROR(__xludf.DUMMYFUNCTION("IMPORTRANGE(""https://docs.google.com/spreadsheets/d/1IYY_tgx_IHuhSq3AJ5eI5OnqOPBNLWSHKh2a30DoXe8/edit?usp=sharing"",""สงขลา!M302"")"),93500)</f>
        <v>93500</v>
      </c>
      <c r="O407" s="176"/>
      <c r="P407" s="176"/>
    </row>
    <row r="408" spans="1:16" ht="21.75" customHeight="1" x14ac:dyDescent="0.35">
      <c r="A408" s="381"/>
      <c r="B408" s="382"/>
      <c r="C408" s="163"/>
      <c r="D408" s="383"/>
      <c r="E408" s="165"/>
      <c r="F408" s="165"/>
      <c r="G408" s="384" t="s">
        <v>132</v>
      </c>
      <c r="H408" s="167" t="s">
        <v>12</v>
      </c>
      <c r="I408" s="195"/>
      <c r="J408" s="195"/>
      <c r="K408" s="231"/>
      <c r="L408" s="176"/>
      <c r="M408" s="176"/>
      <c r="N408" s="385">
        <f ca="1">IFERROR(__xludf.DUMMYFUNCTION("IMPORTRANGE(""https://docs.google.com/spreadsheets/d/1IYY_tgx_IHuhSq3AJ5eI5OnqOPBNLWSHKh2a30DoXe8/edit?usp=sharing"",""สงขลา!M303"")"),0)</f>
        <v>0</v>
      </c>
      <c r="O408" s="176"/>
      <c r="P408" s="176"/>
    </row>
    <row r="409" spans="1:16" ht="21.75" customHeight="1" x14ac:dyDescent="0.35">
      <c r="A409" s="381"/>
      <c r="B409" s="382"/>
      <c r="C409" s="163"/>
      <c r="D409" s="383"/>
      <c r="E409" s="165"/>
      <c r="F409" s="165"/>
      <c r="G409" s="384" t="s">
        <v>133</v>
      </c>
      <c r="H409" s="167" t="s">
        <v>12</v>
      </c>
      <c r="I409" s="195"/>
      <c r="J409" s="195"/>
      <c r="K409" s="231"/>
      <c r="L409" s="176"/>
      <c r="M409" s="176"/>
      <c r="N409" s="385">
        <f ca="1">IFERROR(__xludf.DUMMYFUNCTION("IMPORTRANGE(""https://docs.google.com/spreadsheets/d/1IYY_tgx_IHuhSq3AJ5eI5OnqOPBNLWSHKh2a30DoXe8/edit?usp=sharing"",""สงขลา!M304"")"),0)</f>
        <v>0</v>
      </c>
      <c r="O409" s="176"/>
      <c r="P409" s="176"/>
    </row>
    <row r="410" spans="1:16" ht="21.75" customHeight="1" x14ac:dyDescent="0.35">
      <c r="A410" s="381"/>
      <c r="B410" s="382"/>
      <c r="C410" s="163"/>
      <c r="D410" s="383"/>
      <c r="E410" s="165"/>
      <c r="F410" s="165"/>
      <c r="G410" s="384" t="s">
        <v>134</v>
      </c>
      <c r="H410" s="167" t="s">
        <v>12</v>
      </c>
      <c r="I410" s="195"/>
      <c r="J410" s="195"/>
      <c r="K410" s="231"/>
      <c r="L410" s="176"/>
      <c r="M410" s="176"/>
      <c r="N410" s="385">
        <f ca="1">IFERROR(__xludf.DUMMYFUNCTION("IMPORTRANGE(""https://docs.google.com/spreadsheets/d/1IYY_tgx_IHuhSq3AJ5eI5OnqOPBNLWSHKh2a30DoXe8/edit?usp=sharing"",""สงขลา!M305"")"),7455)</f>
        <v>7455</v>
      </c>
      <c r="O410" s="176"/>
      <c r="P410" s="176"/>
    </row>
    <row r="411" spans="1:16" ht="21.75" customHeight="1" x14ac:dyDescent="0.35">
      <c r="A411" s="183"/>
      <c r="B411" s="184"/>
      <c r="C411" s="163" t="s">
        <v>16</v>
      </c>
      <c r="D411" s="185" t="s">
        <v>44</v>
      </c>
      <c r="E411" s="186"/>
      <c r="F411" s="186"/>
      <c r="G411" s="187"/>
      <c r="H411" s="188"/>
      <c r="I411" s="168"/>
      <c r="J411" s="168"/>
      <c r="K411" s="169"/>
      <c r="L411" s="189"/>
      <c r="M411" s="189"/>
      <c r="N411" s="189"/>
      <c r="O411" s="189"/>
      <c r="P411" s="189"/>
    </row>
    <row r="412" spans="1:16" ht="21.75" customHeight="1" x14ac:dyDescent="0.35">
      <c r="A412" s="183"/>
      <c r="B412" s="184"/>
      <c r="C412" s="184"/>
      <c r="D412" s="190">
        <v>1</v>
      </c>
      <c r="E412" s="191" t="s">
        <v>45</v>
      </c>
      <c r="F412" s="192"/>
      <c r="G412" s="193"/>
      <c r="H412" s="194"/>
      <c r="I412" s="195"/>
      <c r="J412" s="205">
        <f ca="1">IFERROR(__xludf.DUMMYFUNCTION("IMPORTRANGE(""https://docs.google.com/spreadsheets/d/1IYY_tgx_IHuhSq3AJ5eI5OnqOPBNLWSHKh2a30DoXe8/edit?usp=sharing"",""สงขลา!J307"")"),0)</f>
        <v>0</v>
      </c>
      <c r="K412" s="169"/>
      <c r="L412" s="189"/>
      <c r="M412" s="189"/>
      <c r="N412" s="189"/>
      <c r="O412" s="189"/>
      <c r="P412" s="189"/>
    </row>
    <row r="413" spans="1:16" ht="21.75" customHeight="1" x14ac:dyDescent="0.35">
      <c r="A413" s="183"/>
      <c r="B413" s="184"/>
      <c r="C413" s="184"/>
      <c r="D413" s="197">
        <v>2</v>
      </c>
      <c r="E413" s="198" t="s">
        <v>46</v>
      </c>
      <c r="F413" s="199"/>
      <c r="G413" s="200"/>
      <c r="H413" s="194"/>
      <c r="I413" s="195"/>
      <c r="J413" s="196">
        <f ca="1">IFERROR(__xludf.DUMMYFUNCTION("IMPORTRANGE(""https://docs.google.com/spreadsheets/d/1IYY_tgx_IHuhSq3AJ5eI5OnqOPBNLWSHKh2a30DoXe8/edit?usp=sharing"",""สงขลา!J308"")"),1)</f>
        <v>1</v>
      </c>
      <c r="K413" s="169"/>
      <c r="L413" s="189" t="s">
        <v>40</v>
      </c>
      <c r="M413" s="189"/>
      <c r="N413" s="189" t="s">
        <v>40</v>
      </c>
      <c r="O413" s="189"/>
      <c r="P413" s="189"/>
    </row>
    <row r="414" spans="1:16" ht="21.75" customHeight="1" x14ac:dyDescent="0.35">
      <c r="A414" s="183"/>
      <c r="B414" s="184"/>
      <c r="C414" s="184"/>
      <c r="D414" s="201"/>
      <c r="E414" s="202" t="s">
        <v>47</v>
      </c>
      <c r="F414" s="203"/>
      <c r="G414" s="204"/>
      <c r="H414" s="194"/>
      <c r="I414" s="195"/>
      <c r="J414" s="196">
        <f ca="1">IFERROR(__xludf.DUMMYFUNCTION("IMPORTRANGE(""https://docs.google.com/spreadsheets/d/1IYY_tgx_IHuhSq3AJ5eI5OnqOPBNLWSHKh2a30DoXe8/edit?usp=sharing"",""สงขลา!J309"")"),1)</f>
        <v>1</v>
      </c>
      <c r="K414" s="169"/>
      <c r="L414" s="189"/>
      <c r="M414" s="189"/>
      <c r="N414" s="189"/>
      <c r="O414" s="189"/>
      <c r="P414" s="189"/>
    </row>
    <row r="415" spans="1:16" ht="21.75" customHeight="1" x14ac:dyDescent="0.35">
      <c r="A415" s="183"/>
      <c r="B415" s="184"/>
      <c r="C415" s="184"/>
      <c r="D415" s="201"/>
      <c r="E415" s="202" t="s">
        <v>48</v>
      </c>
      <c r="F415" s="203"/>
      <c r="G415" s="204"/>
      <c r="H415" s="194"/>
      <c r="I415" s="195"/>
      <c r="J415" s="205">
        <f ca="1">IFERROR(__xludf.DUMMYFUNCTION("IMPORTRANGE(""https://docs.google.com/spreadsheets/d/1IYY_tgx_IHuhSq3AJ5eI5OnqOPBNLWSHKh2a30DoXe8/edit?usp=sharing"",""สงขลา!J310"")"),1)</f>
        <v>1</v>
      </c>
      <c r="K415" s="169"/>
      <c r="L415" s="189"/>
      <c r="M415" s="189"/>
      <c r="N415" s="189"/>
      <c r="O415" s="189"/>
      <c r="P415" s="189"/>
    </row>
    <row r="416" spans="1:16" ht="21.75" customHeight="1" x14ac:dyDescent="0.35">
      <c r="A416" s="183"/>
      <c r="B416" s="184"/>
      <c r="C416" s="184"/>
      <c r="D416" s="201"/>
      <c r="E416" s="206"/>
      <c r="F416" s="202" t="s">
        <v>70</v>
      </c>
      <c r="G416" s="394"/>
      <c r="H416" s="395" t="s">
        <v>37</v>
      </c>
      <c r="I416" s="208">
        <f ca="1">IFERROR(__xludf.DUMMYFUNCTION("IMPORTRANGE(""https://docs.google.com/spreadsheets/d/1IYY_tgx_IHuhSq3AJ5eI5OnqOPBNLWSHKh2a30DoXe8/edit?usp=sharing"",""สงขลา!I311"")"),50)</f>
        <v>50</v>
      </c>
      <c r="J416" s="208">
        <f ca="1">IFERROR(__xludf.DUMMYFUNCTION("IMPORTRANGE(""https://docs.google.com/spreadsheets/d/1IYY_tgx_IHuhSq3AJ5eI5OnqOPBNLWSHKh2a30DoXe8/edit?usp=sharing"",""สงขลา!J311"")"),0)</f>
        <v>0</v>
      </c>
      <c r="K416" s="209">
        <f t="shared" ref="K416:K432" ca="1" si="113">IF(I416&gt;0,J416*100/I416,0)</f>
        <v>0</v>
      </c>
      <c r="L416" s="189"/>
      <c r="M416" s="189"/>
      <c r="N416" s="189"/>
      <c r="O416" s="189"/>
      <c r="P416" s="189"/>
    </row>
    <row r="417" spans="1:16" ht="21.75" customHeight="1" x14ac:dyDescent="0.45">
      <c r="A417" s="183"/>
      <c r="B417" s="184"/>
      <c r="C417" s="184"/>
      <c r="D417" s="201"/>
      <c r="E417" s="206"/>
      <c r="F417" s="396" t="s">
        <v>148</v>
      </c>
      <c r="G417" s="204"/>
      <c r="H417" s="207" t="s">
        <v>37</v>
      </c>
      <c r="I417" s="397">
        <f ca="1">IFERROR(__xludf.DUMMYFUNCTION("IMPORTRANGE(""https://docs.google.com/spreadsheets/d/1IYY_tgx_IHuhSq3AJ5eI5OnqOPBNLWSHKh2a30DoXe8/edit?usp=sharing"",""สงขลา!I312"")"),0)</f>
        <v>0</v>
      </c>
      <c r="J417" s="398">
        <f ca="1">IFERROR(__xludf.DUMMYFUNCTION("IMPORTRANGE(""https://docs.google.com/spreadsheets/d/1IYY_tgx_IHuhSq3AJ5eI5OnqOPBNLWSHKh2a30DoXe8/edit?usp=sharing"",""สงขลา!J312"")"),0)</f>
        <v>0</v>
      </c>
      <c r="K417" s="209">
        <f t="shared" ca="1" si="113"/>
        <v>0</v>
      </c>
      <c r="L417" s="189"/>
      <c r="M417" s="189"/>
      <c r="N417" s="189"/>
      <c r="O417" s="189"/>
      <c r="P417" s="189"/>
    </row>
    <row r="418" spans="1:16" ht="21.75" customHeight="1" x14ac:dyDescent="0.45">
      <c r="A418" s="183"/>
      <c r="B418" s="184"/>
      <c r="C418" s="184"/>
      <c r="D418" s="201"/>
      <c r="E418" s="206"/>
      <c r="F418" s="203"/>
      <c r="G418" s="204"/>
      <c r="H418" s="207" t="s">
        <v>122</v>
      </c>
      <c r="I418" s="397">
        <f ca="1">IFERROR(__xludf.DUMMYFUNCTION("IMPORTRANGE(""https://docs.google.com/spreadsheets/d/1IYY_tgx_IHuhSq3AJ5eI5OnqOPBNLWSHKh2a30DoXe8/edit?usp=sharing"",""สงขลา!I313"")"),0)</f>
        <v>0</v>
      </c>
      <c r="J418" s="399">
        <f ca="1">IFERROR(__xludf.DUMMYFUNCTION("IMPORTRANGE(""https://docs.google.com/spreadsheets/d/1IYY_tgx_IHuhSq3AJ5eI5OnqOPBNLWSHKh2a30DoXe8/edit?usp=sharing"",""สงขลา!J313"")"),0)</f>
        <v>0</v>
      </c>
      <c r="K418" s="209">
        <f t="shared" ca="1" si="113"/>
        <v>0</v>
      </c>
      <c r="L418" s="189"/>
      <c r="M418" s="189"/>
      <c r="N418" s="189"/>
      <c r="O418" s="189"/>
      <c r="P418" s="189"/>
    </row>
    <row r="419" spans="1:16" ht="21.75" customHeight="1" x14ac:dyDescent="0.45">
      <c r="A419" s="183"/>
      <c r="B419" s="184"/>
      <c r="C419" s="184"/>
      <c r="D419" s="201"/>
      <c r="E419" s="206"/>
      <c r="F419" s="203"/>
      <c r="G419" s="233" t="s">
        <v>149</v>
      </c>
      <c r="H419" s="188" t="s">
        <v>37</v>
      </c>
      <c r="I419" s="347">
        <f ca="1">IFERROR(__xludf.DUMMYFUNCTION("IMPORTRANGE(""https://docs.google.com/spreadsheets/d/1IYY_tgx_IHuhSq3AJ5eI5OnqOPBNLWSHKh2a30DoXe8/edit?usp=sharing"",""สงขลา!I314"")"),0)</f>
        <v>0</v>
      </c>
      <c r="J419" s="400">
        <f ca="1">IFERROR(__xludf.DUMMYFUNCTION("IMPORTRANGE(""https://docs.google.com/spreadsheets/d/1IYY_tgx_IHuhSq3AJ5eI5OnqOPBNLWSHKh2a30DoXe8/edit?usp=sharing"",""สงขลา!J314"")"),0)</f>
        <v>0</v>
      </c>
      <c r="K419" s="169">
        <f t="shared" ca="1" si="113"/>
        <v>0</v>
      </c>
      <c r="L419" s="189"/>
      <c r="M419" s="189"/>
      <c r="N419" s="189"/>
      <c r="O419" s="189"/>
      <c r="P419" s="189"/>
    </row>
    <row r="420" spans="1:16" ht="21.75" customHeight="1" x14ac:dyDescent="0.45">
      <c r="A420" s="241"/>
      <c r="B420" s="242"/>
      <c r="C420" s="242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IFERROR(__xludf.DUMMYFUNCTION("IMPORTRANGE(""https://docs.google.com/spreadsheets/d/1IYY_tgx_IHuhSq3AJ5eI5OnqOPBNLWSHKh2a30DoXe8/edit?usp=sharing"",""สงขลา!I315"")"),0)</f>
        <v>0</v>
      </c>
      <c r="J420" s="400">
        <f ca="1">IFERROR(__xludf.DUMMYFUNCTION("IMPORTRANGE(""https://docs.google.com/spreadsheets/d/1IYY_tgx_IHuhSq3AJ5eI5OnqOPBNLWSHKh2a30DoXe8/edit?usp=sharing"",""สงขลา!J315"")"),0)</f>
        <v>0</v>
      </c>
      <c r="K420" s="294">
        <f t="shared" ca="1" si="113"/>
        <v>0</v>
      </c>
      <c r="L420" s="252"/>
      <c r="M420" s="252"/>
      <c r="N420" s="252"/>
      <c r="O420" s="252"/>
      <c r="P420" s="252"/>
    </row>
    <row r="421" spans="1:16" ht="21.75" customHeight="1" x14ac:dyDescent="0.45">
      <c r="A421" s="183"/>
      <c r="B421" s="184"/>
      <c r="C421" s="184"/>
      <c r="D421" s="201"/>
      <c r="E421" s="206"/>
      <c r="F421" s="396" t="s">
        <v>151</v>
      </c>
      <c r="G421" s="204"/>
      <c r="H421" s="207" t="s">
        <v>37</v>
      </c>
      <c r="I421" s="397">
        <f ca="1">IFERROR(__xludf.DUMMYFUNCTION("IMPORTRANGE(""https://docs.google.com/spreadsheets/d/1IYY_tgx_IHuhSq3AJ5eI5OnqOPBNLWSHKh2a30DoXe8/edit?usp=sharing"",""สงขลา!I316"")"),40)</f>
        <v>40</v>
      </c>
      <c r="J421" s="398">
        <f ca="1">IFERROR(__xludf.DUMMYFUNCTION("IMPORTRANGE(""https://docs.google.com/spreadsheets/d/1IYY_tgx_IHuhSq3AJ5eI5OnqOPBNLWSHKh2a30DoXe8/edit?usp=sharing"",""สงขลา!J316"")"),0)</f>
        <v>0</v>
      </c>
      <c r="K421" s="209">
        <f t="shared" ca="1" si="113"/>
        <v>0</v>
      </c>
      <c r="L421" s="189"/>
      <c r="M421" s="189"/>
      <c r="N421" s="189"/>
      <c r="O421" s="189"/>
      <c r="P421" s="189"/>
    </row>
    <row r="422" spans="1:16" ht="21.75" customHeight="1" x14ac:dyDescent="0.45">
      <c r="A422" s="183"/>
      <c r="B422" s="184"/>
      <c r="C422" s="184"/>
      <c r="D422" s="201"/>
      <c r="E422" s="206"/>
      <c r="F422" s="203"/>
      <c r="G422" s="204"/>
      <c r="H422" s="207" t="s">
        <v>122</v>
      </c>
      <c r="I422" s="397">
        <f ca="1">IFERROR(__xludf.DUMMYFUNCTION("IMPORTRANGE(""https://docs.google.com/spreadsheets/d/1IYY_tgx_IHuhSq3AJ5eI5OnqOPBNLWSHKh2a30DoXe8/edit?usp=sharing"",""สงขลา!I317"")"),120)</f>
        <v>120</v>
      </c>
      <c r="J422" s="399">
        <f ca="1">IFERROR(__xludf.DUMMYFUNCTION("IMPORTRANGE(""https://docs.google.com/spreadsheets/d/1IYY_tgx_IHuhSq3AJ5eI5OnqOPBNLWSHKh2a30DoXe8/edit?usp=sharing"",""สงขลา!J317"")"),0)</f>
        <v>0</v>
      </c>
      <c r="K422" s="209">
        <f t="shared" ca="1" si="113"/>
        <v>0</v>
      </c>
      <c r="L422" s="189"/>
      <c r="M422" s="189"/>
      <c r="N422" s="189"/>
      <c r="O422" s="189"/>
      <c r="P422" s="189"/>
    </row>
    <row r="423" spans="1:16" ht="21.75" customHeight="1" x14ac:dyDescent="0.45">
      <c r="A423" s="183"/>
      <c r="B423" s="184"/>
      <c r="C423" s="184"/>
      <c r="D423" s="201"/>
      <c r="E423" s="206"/>
      <c r="F423" s="203"/>
      <c r="G423" s="233" t="s">
        <v>152</v>
      </c>
      <c r="H423" s="188" t="s">
        <v>37</v>
      </c>
      <c r="I423" s="347">
        <f ca="1">IFERROR(__xludf.DUMMYFUNCTION("IMPORTRANGE(""https://docs.google.com/spreadsheets/d/1IYY_tgx_IHuhSq3AJ5eI5OnqOPBNLWSHKh2a30DoXe8/edit?usp=sharing"",""สงขลา!I318"")"),40)</f>
        <v>40</v>
      </c>
      <c r="J423" s="400">
        <f ca="1">IFERROR(__xludf.DUMMYFUNCTION("IMPORTRANGE(""https://docs.google.com/spreadsheets/d/1IYY_tgx_IHuhSq3AJ5eI5OnqOPBNLWSHKh2a30DoXe8/edit?usp=sharing"",""สงขลา!J318"")"),40)</f>
        <v>40</v>
      </c>
      <c r="K423" s="169">
        <f t="shared" ca="1" si="113"/>
        <v>100</v>
      </c>
      <c r="L423" s="189"/>
      <c r="M423" s="189"/>
      <c r="N423" s="189"/>
      <c r="O423" s="189"/>
      <c r="P423" s="189"/>
    </row>
    <row r="424" spans="1:16" ht="21.75" customHeight="1" x14ac:dyDescent="0.45">
      <c r="A424" s="183"/>
      <c r="B424" s="184"/>
      <c r="C424" s="184"/>
      <c r="D424" s="201"/>
      <c r="E424" s="206"/>
      <c r="F424" s="203"/>
      <c r="G424" s="233" t="s">
        <v>153</v>
      </c>
      <c r="H424" s="188" t="s">
        <v>37</v>
      </c>
      <c r="I424" s="347">
        <f ca="1">IFERROR(__xludf.DUMMYFUNCTION("IMPORTRANGE(""https://docs.google.com/spreadsheets/d/1IYY_tgx_IHuhSq3AJ5eI5OnqOPBNLWSHKh2a30DoXe8/edit?usp=sharing"",""สงขลา!I319"")"),40)</f>
        <v>40</v>
      </c>
      <c r="J424" s="400">
        <f ca="1">IFERROR(__xludf.DUMMYFUNCTION("IMPORTRANGE(""https://docs.google.com/spreadsheets/d/1IYY_tgx_IHuhSq3AJ5eI5OnqOPBNLWSHKh2a30DoXe8/edit?usp=sharing"",""สงขลา!J319"")"),0)</f>
        <v>0</v>
      </c>
      <c r="K424" s="169">
        <f t="shared" ca="1" si="113"/>
        <v>0</v>
      </c>
      <c r="L424" s="189"/>
      <c r="M424" s="189"/>
      <c r="N424" s="189"/>
      <c r="O424" s="189"/>
      <c r="P424" s="189"/>
    </row>
    <row r="425" spans="1:16" ht="21.75" customHeight="1" x14ac:dyDescent="0.45">
      <c r="A425" s="183"/>
      <c r="B425" s="184"/>
      <c r="C425" s="184"/>
      <c r="D425" s="201"/>
      <c r="E425" s="206"/>
      <c r="F425" s="203"/>
      <c r="G425" s="233" t="s">
        <v>154</v>
      </c>
      <c r="H425" s="188" t="s">
        <v>37</v>
      </c>
      <c r="I425" s="347">
        <f ca="1">IFERROR(__xludf.DUMMYFUNCTION("IMPORTRANGE(""https://docs.google.com/spreadsheets/d/1IYY_tgx_IHuhSq3AJ5eI5OnqOPBNLWSHKh2a30DoXe8/edit?usp=sharing"",""สงขลา!I320"")"),40)</f>
        <v>40</v>
      </c>
      <c r="J425" s="400">
        <f ca="1">IFERROR(__xludf.DUMMYFUNCTION("IMPORTRANGE(""https://docs.google.com/spreadsheets/d/1IYY_tgx_IHuhSq3AJ5eI5OnqOPBNLWSHKh2a30DoXe8/edit?usp=sharing"",""สงขลา!J320"")"),40)</f>
        <v>40</v>
      </c>
      <c r="K425" s="169">
        <f t="shared" ca="1" si="113"/>
        <v>100</v>
      </c>
      <c r="L425" s="189"/>
      <c r="M425" s="189"/>
      <c r="N425" s="189"/>
      <c r="O425" s="189"/>
      <c r="P425" s="189"/>
    </row>
    <row r="426" spans="1:16" ht="21.75" customHeight="1" x14ac:dyDescent="0.45">
      <c r="A426" s="183"/>
      <c r="B426" s="184"/>
      <c r="C426" s="184"/>
      <c r="D426" s="201"/>
      <c r="E426" s="206"/>
      <c r="F426" s="405" t="s">
        <v>155</v>
      </c>
      <c r="G426" s="204"/>
      <c r="H426" s="207" t="s">
        <v>37</v>
      </c>
      <c r="I426" s="397">
        <f ca="1">IFERROR(__xludf.DUMMYFUNCTION("IMPORTRANGE(""https://docs.google.com/spreadsheets/d/1IYY_tgx_IHuhSq3AJ5eI5OnqOPBNLWSHKh2a30DoXe8/edit?usp=sharing"",""สงขลา!I321"")"),10)</f>
        <v>10</v>
      </c>
      <c r="J426" s="398">
        <f ca="1">IFERROR(__xludf.DUMMYFUNCTION("IMPORTRANGE(""https://docs.google.com/spreadsheets/d/1IYY_tgx_IHuhSq3AJ5eI5OnqOPBNLWSHKh2a30DoXe8/edit?usp=sharing"",""สงขลา!J321"")"),0)</f>
        <v>0</v>
      </c>
      <c r="K426" s="209">
        <f t="shared" ca="1" si="113"/>
        <v>0</v>
      </c>
      <c r="L426" s="189"/>
      <c r="M426" s="189"/>
      <c r="N426" s="189"/>
      <c r="O426" s="189"/>
      <c r="P426" s="189"/>
    </row>
    <row r="427" spans="1:16" ht="21.75" customHeight="1" x14ac:dyDescent="0.45">
      <c r="A427" s="183"/>
      <c r="B427" s="184"/>
      <c r="C427" s="184"/>
      <c r="D427" s="201"/>
      <c r="E427" s="206"/>
      <c r="F427" s="203"/>
      <c r="G427" s="204"/>
      <c r="H427" s="207" t="s">
        <v>122</v>
      </c>
      <c r="I427" s="397">
        <f ca="1">IFERROR(__xludf.DUMMYFUNCTION("IMPORTRANGE(""https://docs.google.com/spreadsheets/d/1IYY_tgx_IHuhSq3AJ5eI5OnqOPBNLWSHKh2a30DoXe8/edit?usp=sharing"",""สงขลา!I322"")"),30)</f>
        <v>30</v>
      </c>
      <c r="J427" s="399">
        <f ca="1">IFERROR(__xludf.DUMMYFUNCTION("IMPORTRANGE(""https://docs.google.com/spreadsheets/d/1IYY_tgx_IHuhSq3AJ5eI5OnqOPBNLWSHKh2a30DoXe8/edit?usp=sharing"",""สงขลา!J322"")"),0)</f>
        <v>0</v>
      </c>
      <c r="K427" s="209">
        <f t="shared" ca="1" si="113"/>
        <v>0</v>
      </c>
      <c r="L427" s="189"/>
      <c r="M427" s="189"/>
      <c r="N427" s="189"/>
      <c r="O427" s="189"/>
      <c r="P427" s="189"/>
    </row>
    <row r="428" spans="1:16" ht="21.75" customHeight="1" x14ac:dyDescent="0.45">
      <c r="A428" s="183"/>
      <c r="B428" s="184"/>
      <c r="C428" s="184"/>
      <c r="D428" s="201"/>
      <c r="E428" s="206"/>
      <c r="F428" s="203"/>
      <c r="G428" s="233" t="s">
        <v>156</v>
      </c>
      <c r="H428" s="188" t="s">
        <v>37</v>
      </c>
      <c r="I428" s="406">
        <f ca="1">IFERROR(__xludf.DUMMYFUNCTION("IMPORTRANGE(""https://docs.google.com/spreadsheets/d/1IYY_tgx_IHuhSq3AJ5eI5OnqOPBNLWSHKh2a30DoXe8/edit?usp=sharing"",""สงขลา!I323"")"),10)</f>
        <v>10</v>
      </c>
      <c r="J428" s="400">
        <f ca="1">IFERROR(__xludf.DUMMYFUNCTION("IMPORTRANGE(""https://docs.google.com/spreadsheets/d/1IYY_tgx_IHuhSq3AJ5eI5OnqOPBNLWSHKh2a30DoXe8/edit?usp=sharing"",""สงขลา!J323"")"),0)</f>
        <v>0</v>
      </c>
      <c r="K428" s="169">
        <f t="shared" ca="1" si="113"/>
        <v>0</v>
      </c>
      <c r="L428" s="189"/>
      <c r="M428" s="189"/>
      <c r="N428" s="189"/>
      <c r="O428" s="189"/>
      <c r="P428" s="189"/>
    </row>
    <row r="429" spans="1:16" ht="21.75" customHeight="1" x14ac:dyDescent="0.45">
      <c r="A429" s="183"/>
      <c r="B429" s="184"/>
      <c r="C429" s="184"/>
      <c r="D429" s="201"/>
      <c r="E429" s="206"/>
      <c r="F429" s="203"/>
      <c r="G429" s="233" t="s">
        <v>157</v>
      </c>
      <c r="H429" s="188" t="s">
        <v>37</v>
      </c>
      <c r="I429" s="406">
        <f ca="1">IFERROR(__xludf.DUMMYFUNCTION("IMPORTRANGE(""https://docs.google.com/spreadsheets/d/1IYY_tgx_IHuhSq3AJ5eI5OnqOPBNLWSHKh2a30DoXe8/edit?usp=sharing"",""สงขลา!I324"")"),10)</f>
        <v>10</v>
      </c>
      <c r="J429" s="400">
        <f ca="1">IFERROR(__xludf.DUMMYFUNCTION("IMPORTRANGE(""https://docs.google.com/spreadsheets/d/1IYY_tgx_IHuhSq3AJ5eI5OnqOPBNLWSHKh2a30DoXe8/edit?usp=sharing"",""สงขลา!J324"")"),0)</f>
        <v>0</v>
      </c>
      <c r="K429" s="169">
        <f t="shared" ca="1" si="113"/>
        <v>0</v>
      </c>
      <c r="L429" s="189"/>
      <c r="M429" s="189"/>
      <c r="N429" s="189"/>
      <c r="O429" s="189"/>
      <c r="P429" s="189"/>
    </row>
    <row r="430" spans="1:16" ht="21.75" customHeight="1" x14ac:dyDescent="0.45">
      <c r="A430" s="183"/>
      <c r="B430" s="184"/>
      <c r="C430" s="184"/>
      <c r="D430" s="201"/>
      <c r="E430" s="206"/>
      <c r="F430" s="202" t="s">
        <v>53</v>
      </c>
      <c r="G430" s="394"/>
      <c r="H430" s="407" t="s">
        <v>37</v>
      </c>
      <c r="I430" s="208">
        <f ca="1">IFERROR(__xludf.DUMMYFUNCTION("IMPORTRANGE(""https://docs.google.com/spreadsheets/d/1IYY_tgx_IHuhSq3AJ5eI5OnqOPBNLWSHKh2a30DoXe8/edit?usp=sharing"",""สงขลา!I325"")"),40)</f>
        <v>40</v>
      </c>
      <c r="J430" s="398">
        <f ca="1">IFERROR(__xludf.DUMMYFUNCTION("IMPORTRANGE(""https://docs.google.com/spreadsheets/d/1IYY_tgx_IHuhSq3AJ5eI5OnqOPBNLWSHKh2a30DoXe8/edit?usp=sharing"",""สงขลา!J325"")"),0)</f>
        <v>0</v>
      </c>
      <c r="K430" s="209">
        <f t="shared" ca="1" si="113"/>
        <v>0</v>
      </c>
      <c r="L430" s="189"/>
      <c r="M430" s="189"/>
      <c r="N430" s="189"/>
      <c r="O430" s="189"/>
      <c r="P430" s="189"/>
    </row>
    <row r="431" spans="1:16" ht="21.75" customHeight="1" x14ac:dyDescent="0.45">
      <c r="A431" s="408"/>
      <c r="B431" s="409"/>
      <c r="C431" s="409"/>
      <c r="D431" s="410"/>
      <c r="E431" s="206"/>
      <c r="F431" s="203"/>
      <c r="G431" s="233" t="s">
        <v>158</v>
      </c>
      <c r="H431" s="188" t="s">
        <v>37</v>
      </c>
      <c r="I431" s="406">
        <f ca="1">IFERROR(__xludf.DUMMYFUNCTION("IMPORTRANGE(""https://docs.google.com/spreadsheets/d/1IYY_tgx_IHuhSq3AJ5eI5OnqOPBNLWSHKh2a30DoXe8/edit?usp=sharing"",""สงขลา!I326"")"),0)</f>
        <v>0</v>
      </c>
      <c r="J431" s="400">
        <f ca="1">IFERROR(__xludf.DUMMYFUNCTION("IMPORTRANGE(""https://docs.google.com/spreadsheets/d/1IYY_tgx_IHuhSq3AJ5eI5OnqOPBNLWSHKh2a30DoXe8/edit?usp=sharing"",""สงขลา!J326"")"),0)</f>
        <v>0</v>
      </c>
      <c r="K431" s="169">
        <f t="shared" ca="1" si="113"/>
        <v>0</v>
      </c>
      <c r="L431" s="189"/>
      <c r="M431" s="189"/>
      <c r="N431" s="189"/>
      <c r="O431" s="189"/>
      <c r="P431" s="189"/>
    </row>
    <row r="432" spans="1:16" ht="21.75" customHeight="1" x14ac:dyDescent="0.45">
      <c r="A432" s="408"/>
      <c r="B432" s="409"/>
      <c r="C432" s="409"/>
      <c r="D432" s="410"/>
      <c r="E432" s="206"/>
      <c r="F432" s="203"/>
      <c r="G432" s="233" t="s">
        <v>159</v>
      </c>
      <c r="H432" s="188" t="s">
        <v>37</v>
      </c>
      <c r="I432" s="406">
        <f ca="1">IFERROR(__xludf.DUMMYFUNCTION("IMPORTRANGE(""https://docs.google.com/spreadsheets/d/1IYY_tgx_IHuhSq3AJ5eI5OnqOPBNLWSHKh2a30DoXe8/edit?usp=sharing"",""สงขลา!I327"")"),40)</f>
        <v>40</v>
      </c>
      <c r="J432" s="400">
        <f ca="1">IFERROR(__xludf.DUMMYFUNCTION("IMPORTRANGE(""https://docs.google.com/spreadsheets/d/1IYY_tgx_IHuhSq3AJ5eI5OnqOPBNLWSHKh2a30DoXe8/edit?usp=sharing"",""สงขลา!J327"")"),0)</f>
        <v>0</v>
      </c>
      <c r="K432" s="169">
        <f t="shared" ca="1" si="113"/>
        <v>0</v>
      </c>
      <c r="L432" s="189"/>
      <c r="M432" s="189"/>
      <c r="N432" s="189"/>
      <c r="O432" s="189"/>
      <c r="P432" s="189"/>
    </row>
    <row r="433" spans="1:16" ht="21.75" customHeight="1" x14ac:dyDescent="0.35">
      <c r="A433" s="183"/>
      <c r="B433" s="184"/>
      <c r="C433" s="184"/>
      <c r="D433" s="201"/>
      <c r="E433" s="202" t="s">
        <v>54</v>
      </c>
      <c r="F433" s="203"/>
      <c r="G433" s="204"/>
      <c r="H433" s="194"/>
      <c r="I433" s="195"/>
      <c r="J433" s="205">
        <f ca="1">IFERROR(__xludf.DUMMYFUNCTION("IMPORTRANGE(""https://docs.google.com/spreadsheets/d/1IYY_tgx_IHuhSq3AJ5eI5OnqOPBNLWSHKh2a30DoXe8/edit?usp=sharing"",""สงขลา!J328"")"),0)</f>
        <v>0</v>
      </c>
      <c r="K433" s="169"/>
      <c r="L433" s="189"/>
      <c r="M433" s="189"/>
      <c r="N433" s="189"/>
      <c r="O433" s="189"/>
      <c r="P433" s="189"/>
    </row>
    <row r="434" spans="1:16" ht="21.75" customHeight="1" x14ac:dyDescent="0.35">
      <c r="A434" s="183"/>
      <c r="B434" s="184"/>
      <c r="C434" s="184"/>
      <c r="D434" s="213">
        <v>3</v>
      </c>
      <c r="E434" s="214" t="s">
        <v>55</v>
      </c>
      <c r="F434" s="215"/>
      <c r="G434" s="216"/>
      <c r="H434" s="194"/>
      <c r="I434" s="195"/>
      <c r="J434" s="217">
        <f ca="1">IFERROR(__xludf.DUMMYFUNCTION("IMPORTRANGE(""https://docs.google.com/spreadsheets/d/1IYY_tgx_IHuhSq3AJ5eI5OnqOPBNLWSHKh2a30DoXe8/edit?usp=sharing"",""สงขลา!J329"")"),0)</f>
        <v>0</v>
      </c>
      <c r="K434" s="169"/>
      <c r="L434" s="189"/>
      <c r="M434" s="189"/>
      <c r="N434" s="189"/>
      <c r="O434" s="189"/>
      <c r="P434" s="189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IFERROR(__xludf.DUMMYFUNCTION("IMPORTRANGE(""https://docs.google.com/spreadsheets/d/1IYY_tgx_IHuhSq3AJ5eI5OnqOPBNLWSHKh2a30DoXe8/edit?usp=sharing"",""สงขลา!I330"")"),15)</f>
        <v>15</v>
      </c>
      <c r="J435" s="416">
        <f ca="1">IFERROR(__xludf.DUMMYFUNCTION("IMPORTRANGE(""https://docs.google.com/spreadsheets/d/1IYY_tgx_IHuhSq3AJ5eI5OnqOPBNLWSHKh2a30DoXe8/edit?usp=sharing"",""สงขลา!J330"")"),15)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IFERROR(__xludf.DUMMYFUNCTION("IMPORTRANGE(""https://docs.google.com/spreadsheets/d/1IYY_tgx_IHuhSq3AJ5eI5OnqOPBNLWSHKh2a30DoXe8/edit?usp=sharing"",""สงขลา!L330"")"),88000)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IFERROR(__xludf.DUMMYFUNCTION("IMPORTRANGE(""https://docs.google.com/spreadsheets/d/1IYY_tgx_IHuhSq3AJ5eI5OnqOPBNLWSHKh2a30DoXe8/edit?usp=sharing"",""สงขลา!M330"")"),42860)</f>
        <v>42860</v>
      </c>
      <c r="O435" s="418">
        <f t="shared" ref="O435:O439" ca="1" si="114">+IF(L435&gt;0,N435*100/L435,0)</f>
        <v>48.704545454545453</v>
      </c>
      <c r="P435" s="418"/>
    </row>
    <row r="436" spans="1:16" ht="21.75" customHeight="1" x14ac:dyDescent="0.35">
      <c r="A436" s="162"/>
      <c r="B436" s="163"/>
      <c r="C436" s="163" t="s">
        <v>16</v>
      </c>
      <c r="D436" s="164" t="s">
        <v>38</v>
      </c>
      <c r="E436" s="165"/>
      <c r="F436" s="165"/>
      <c r="G436" s="166" t="s">
        <v>39</v>
      </c>
      <c r="H436" s="167" t="s">
        <v>12</v>
      </c>
      <c r="I436" s="168" t="s">
        <v>40</v>
      </c>
      <c r="J436" s="168"/>
      <c r="K436" s="169"/>
      <c r="L436" s="170">
        <f ca="1">IFERROR(__xludf.DUMMYFUNCTION("IMPORTRANGE(""https://docs.google.com/spreadsheets/d/1IYY_tgx_IHuhSq3AJ5eI5OnqOPBNLWSHKh2a30DoXe8/edit?usp=sharing"",""สงขลา!L331"")"),0)</f>
        <v>0</v>
      </c>
      <c r="M436" s="170"/>
      <c r="N436" s="176">
        <f ca="1">IFERROR(__xludf.DUMMYFUNCTION("IMPORTRANGE(""https://docs.google.com/spreadsheets/d/1IYY_tgx_IHuhSq3AJ5eI5OnqOPBNLWSHKh2a30DoXe8/edit?usp=sharing"",""สงขลา!M331"")"),0)</f>
        <v>0</v>
      </c>
      <c r="O436" s="176">
        <f t="shared" ca="1" si="114"/>
        <v>0</v>
      </c>
      <c r="P436" s="176"/>
    </row>
    <row r="437" spans="1:16" ht="21.75" customHeight="1" x14ac:dyDescent="0.35">
      <c r="A437" s="162"/>
      <c r="B437" s="163"/>
      <c r="C437" s="163"/>
      <c r="D437" s="172"/>
      <c r="E437" s="165"/>
      <c r="F437" s="165" t="s">
        <v>40</v>
      </c>
      <c r="G437" s="166" t="s">
        <v>41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IFERROR(__xludf.DUMMYFUNCTION("IMPORTRANGE(""https://docs.google.com/spreadsheets/d/1IYY_tgx_IHuhSq3AJ5eI5OnqOPBNLWSHKh2a30DoXe8/edit?usp=sharing"",""สงขลา!L332"")"),88000)</f>
        <v>88000</v>
      </c>
      <c r="M437" s="171"/>
      <c r="N437" s="176">
        <f ca="1">IFERROR(__xludf.DUMMYFUNCTION("IMPORTRANGE(""https://docs.google.com/spreadsheets/d/1IYY_tgx_IHuhSq3AJ5eI5OnqOPBNLWSHKh2a30DoXe8/edit?usp=sharing"",""สงขลา!M332"")"),42860)</f>
        <v>42860</v>
      </c>
      <c r="O437" s="176">
        <f t="shared" ca="1" si="114"/>
        <v>48.704545454545453</v>
      </c>
      <c r="P437" s="176"/>
    </row>
    <row r="438" spans="1:16" ht="21.75" customHeight="1" x14ac:dyDescent="0.35">
      <c r="A438" s="162"/>
      <c r="B438" s="163"/>
      <c r="C438" s="163"/>
      <c r="D438" s="172"/>
      <c r="E438" s="165"/>
      <c r="F438" s="165"/>
      <c r="G438" s="380" t="s">
        <v>129</v>
      </c>
      <c r="H438" s="167" t="s">
        <v>12</v>
      </c>
      <c r="I438" s="168"/>
      <c r="J438" s="168"/>
      <c r="K438" s="169"/>
      <c r="L438" s="176">
        <f ca="1">IFERROR(__xludf.DUMMYFUNCTION("IMPORTRANGE(""https://docs.google.com/spreadsheets/d/1IYY_tgx_IHuhSq3AJ5eI5OnqOPBNLWSHKh2a30DoXe8/edit?usp=sharing"",""สงขลา!L333"")"),0)</f>
        <v>0</v>
      </c>
      <c r="M438" s="176"/>
      <c r="N438" s="176">
        <f ca="1">IFERROR(__xludf.DUMMYFUNCTION("IMPORTRANGE(""https://docs.google.com/spreadsheets/d/1IYY_tgx_IHuhSq3AJ5eI5OnqOPBNLWSHKh2a30DoXe8/edit?usp=sharing"",""สงขลา!M333"")"),0)</f>
        <v>0</v>
      </c>
      <c r="O438" s="176">
        <f t="shared" ca="1" si="114"/>
        <v>0</v>
      </c>
      <c r="P438" s="176"/>
    </row>
    <row r="439" spans="1:16" ht="21.75" customHeight="1" x14ac:dyDescent="0.35">
      <c r="A439" s="162"/>
      <c r="B439" s="163"/>
      <c r="C439" s="163"/>
      <c r="D439" s="172"/>
      <c r="E439" s="165"/>
      <c r="F439" s="165"/>
      <c r="G439" s="380" t="s">
        <v>130</v>
      </c>
      <c r="H439" s="167" t="s">
        <v>12</v>
      </c>
      <c r="I439" s="168"/>
      <c r="J439" s="168"/>
      <c r="K439" s="169"/>
      <c r="L439" s="176">
        <f ca="1">IFERROR(__xludf.DUMMYFUNCTION("IMPORTRANGE(""https://docs.google.com/spreadsheets/d/1IYY_tgx_IHuhSq3AJ5eI5OnqOPBNLWSHKh2a30DoXe8/edit?usp=sharing"",""สงขลา!L334"")"),88000)</f>
        <v>88000</v>
      </c>
      <c r="M439" s="176"/>
      <c r="N439" s="176">
        <f ca="1">IFERROR(__xludf.DUMMYFUNCTION("IMPORTRANGE(""https://docs.google.com/spreadsheets/d/1IYY_tgx_IHuhSq3AJ5eI5OnqOPBNLWSHKh2a30DoXe8/edit?usp=sharing"",""สงขลา!M334"")"),42860)</f>
        <v>42860</v>
      </c>
      <c r="O439" s="176">
        <f t="shared" ca="1" si="114"/>
        <v>48.704545454545453</v>
      </c>
      <c r="P439" s="176"/>
    </row>
    <row r="440" spans="1:16" ht="21.75" customHeight="1" x14ac:dyDescent="0.35">
      <c r="A440" s="381"/>
      <c r="B440" s="382"/>
      <c r="C440" s="163"/>
      <c r="D440" s="383"/>
      <c r="E440" s="165"/>
      <c r="F440" s="165"/>
      <c r="G440" s="384" t="s">
        <v>131</v>
      </c>
      <c r="H440" s="167" t="s">
        <v>12</v>
      </c>
      <c r="I440" s="195"/>
      <c r="J440" s="195"/>
      <c r="K440" s="231"/>
      <c r="L440" s="176"/>
      <c r="M440" s="176"/>
      <c r="N440" s="385">
        <f ca="1">IFERROR(__xludf.DUMMYFUNCTION("IMPORTRANGE(""https://docs.google.com/spreadsheets/d/1IYY_tgx_IHuhSq3AJ5eI5OnqOPBNLWSHKh2a30DoXe8/edit?usp=sharing"",""สงขลา!M335"")"),33360)</f>
        <v>33360</v>
      </c>
      <c r="O440" s="176"/>
      <c r="P440" s="176"/>
    </row>
    <row r="441" spans="1:16" ht="21.75" customHeight="1" x14ac:dyDescent="0.35">
      <c r="A441" s="381"/>
      <c r="B441" s="382"/>
      <c r="C441" s="163"/>
      <c r="D441" s="383"/>
      <c r="E441" s="165"/>
      <c r="F441" s="165"/>
      <c r="G441" s="384" t="s">
        <v>132</v>
      </c>
      <c r="H441" s="167" t="s">
        <v>12</v>
      </c>
      <c r="I441" s="195"/>
      <c r="J441" s="195"/>
      <c r="K441" s="231"/>
      <c r="L441" s="176"/>
      <c r="M441" s="176"/>
      <c r="N441" s="385">
        <f ca="1">IFERROR(__xludf.DUMMYFUNCTION("IMPORTRANGE(""https://docs.google.com/spreadsheets/d/1IYY_tgx_IHuhSq3AJ5eI5OnqOPBNLWSHKh2a30DoXe8/edit?usp=sharing"",""สงขลา!M336"")"),0)</f>
        <v>0</v>
      </c>
      <c r="O441" s="176"/>
      <c r="P441" s="176"/>
    </row>
    <row r="442" spans="1:16" ht="21.75" customHeight="1" x14ac:dyDescent="0.35">
      <c r="A442" s="381"/>
      <c r="B442" s="382"/>
      <c r="C442" s="163"/>
      <c r="D442" s="383"/>
      <c r="E442" s="165"/>
      <c r="F442" s="165"/>
      <c r="G442" s="384" t="s">
        <v>133</v>
      </c>
      <c r="H442" s="167" t="s">
        <v>12</v>
      </c>
      <c r="I442" s="195"/>
      <c r="J442" s="195"/>
      <c r="K442" s="231"/>
      <c r="L442" s="176"/>
      <c r="M442" s="176"/>
      <c r="N442" s="385">
        <f ca="1">IFERROR(__xludf.DUMMYFUNCTION("IMPORTRANGE(""https://docs.google.com/spreadsheets/d/1IYY_tgx_IHuhSq3AJ5eI5OnqOPBNLWSHKh2a30DoXe8/edit?usp=sharing"",""สงขลา!M337"")"),0)</f>
        <v>0</v>
      </c>
      <c r="O442" s="176"/>
      <c r="P442" s="176"/>
    </row>
    <row r="443" spans="1:16" ht="21.75" customHeight="1" x14ac:dyDescent="0.35">
      <c r="A443" s="381"/>
      <c r="B443" s="382"/>
      <c r="C443" s="163"/>
      <c r="D443" s="383"/>
      <c r="E443" s="165"/>
      <c r="F443" s="165"/>
      <c r="G443" s="384" t="s">
        <v>134</v>
      </c>
      <c r="H443" s="167" t="s">
        <v>12</v>
      </c>
      <c r="I443" s="195"/>
      <c r="J443" s="195"/>
      <c r="K443" s="231"/>
      <c r="L443" s="176"/>
      <c r="M443" s="176"/>
      <c r="N443" s="385">
        <f ca="1">IFERROR(__xludf.DUMMYFUNCTION("IMPORTRANGE(""https://docs.google.com/spreadsheets/d/1IYY_tgx_IHuhSq3AJ5eI5OnqOPBNLWSHKh2a30DoXe8/edit?usp=sharing"",""สงขลา!M338"")"),9500)</f>
        <v>9500</v>
      </c>
      <c r="O443" s="176"/>
      <c r="P443" s="176"/>
    </row>
    <row r="444" spans="1:16" ht="21.75" customHeight="1" x14ac:dyDescent="0.35">
      <c r="A444" s="183"/>
      <c r="B444" s="184"/>
      <c r="C444" s="163" t="s">
        <v>16</v>
      </c>
      <c r="D444" s="185" t="s">
        <v>44</v>
      </c>
      <c r="E444" s="186"/>
      <c r="F444" s="186"/>
      <c r="G444" s="187"/>
      <c r="H444" s="188"/>
      <c r="I444" s="168"/>
      <c r="J444" s="168"/>
      <c r="K444" s="169"/>
      <c r="L444" s="189"/>
      <c r="M444" s="189"/>
      <c r="N444" s="189"/>
      <c r="O444" s="189"/>
      <c r="P444" s="189"/>
    </row>
    <row r="445" spans="1:16" ht="21.75" customHeight="1" x14ac:dyDescent="0.35">
      <c r="A445" s="183"/>
      <c r="B445" s="184"/>
      <c r="C445" s="184"/>
      <c r="D445" s="190">
        <v>1</v>
      </c>
      <c r="E445" s="191" t="s">
        <v>45</v>
      </c>
      <c r="F445" s="192"/>
      <c r="G445" s="193"/>
      <c r="H445" s="194"/>
      <c r="I445" s="195"/>
      <c r="J445" s="217">
        <f ca="1">IFERROR(__xludf.DUMMYFUNCTION("IMPORTRANGE(""https://docs.google.com/spreadsheets/d/1IYY_tgx_IHuhSq3AJ5eI5OnqOPBNLWSHKh2a30DoXe8/edit?usp=sharing"",""สงขลา!J340"")"),0)</f>
        <v>0</v>
      </c>
      <c r="K445" s="169"/>
      <c r="L445" s="189"/>
      <c r="M445" s="189"/>
      <c r="N445" s="189"/>
      <c r="O445" s="189"/>
      <c r="P445" s="189"/>
    </row>
    <row r="446" spans="1:16" ht="21.75" customHeight="1" x14ac:dyDescent="0.35">
      <c r="A446" s="183"/>
      <c r="B446" s="184"/>
      <c r="C446" s="184"/>
      <c r="D446" s="197">
        <v>2</v>
      </c>
      <c r="E446" s="198" t="s">
        <v>46</v>
      </c>
      <c r="F446" s="199"/>
      <c r="G446" s="200"/>
      <c r="H446" s="194"/>
      <c r="I446" s="195"/>
      <c r="J446" s="419">
        <f ca="1">IFERROR(__xludf.DUMMYFUNCTION("IMPORTRANGE(""https://docs.google.com/spreadsheets/d/1IYY_tgx_IHuhSq3AJ5eI5OnqOPBNLWSHKh2a30DoXe8/edit?usp=sharing"",""สงขลา!J341"")"),1)</f>
        <v>1</v>
      </c>
      <c r="K446" s="169"/>
      <c r="L446" s="189" t="s">
        <v>40</v>
      </c>
      <c r="M446" s="189"/>
      <c r="N446" s="189" t="s">
        <v>40</v>
      </c>
      <c r="O446" s="189"/>
      <c r="P446" s="189"/>
    </row>
    <row r="447" spans="1:16" ht="21.75" customHeight="1" x14ac:dyDescent="0.35">
      <c r="A447" s="183"/>
      <c r="B447" s="184"/>
      <c r="C447" s="184"/>
      <c r="D447" s="201"/>
      <c r="E447" s="202" t="s">
        <v>161</v>
      </c>
      <c r="F447" s="203"/>
      <c r="G447" s="204"/>
      <c r="H447" s="194"/>
      <c r="I447" s="195"/>
      <c r="J447" s="196">
        <f ca="1">IFERROR(__xludf.DUMMYFUNCTION("IMPORTRANGE(""https://docs.google.com/spreadsheets/d/1IYY_tgx_IHuhSq3AJ5eI5OnqOPBNLWSHKh2a30DoXe8/edit?usp=sharing"",""สงขลา!J342"")"),1)</f>
        <v>1</v>
      </c>
      <c r="K447" s="169"/>
      <c r="L447" s="189"/>
      <c r="M447" s="189"/>
      <c r="N447" s="189"/>
      <c r="O447" s="189"/>
      <c r="P447" s="189"/>
    </row>
    <row r="448" spans="1:16" ht="21.75" customHeight="1" x14ac:dyDescent="0.35">
      <c r="A448" s="183"/>
      <c r="B448" s="184"/>
      <c r="C448" s="184"/>
      <c r="D448" s="201"/>
      <c r="E448" s="202" t="s">
        <v>48</v>
      </c>
      <c r="F448" s="203"/>
      <c r="G448" s="204"/>
      <c r="H448" s="194"/>
      <c r="I448" s="195"/>
      <c r="J448" s="196">
        <f ca="1">IFERROR(__xludf.DUMMYFUNCTION("IMPORTRANGE(""https://docs.google.com/spreadsheets/d/1IYY_tgx_IHuhSq3AJ5eI5OnqOPBNLWSHKh2a30DoXe8/edit?usp=sharing"",""สงขลา!J343"")"),1)</f>
        <v>1</v>
      </c>
      <c r="K448" s="169"/>
      <c r="L448" s="189"/>
      <c r="M448" s="189"/>
      <c r="N448" s="189"/>
      <c r="O448" s="189"/>
      <c r="P448" s="189"/>
    </row>
    <row r="449" spans="1:16" ht="21.75" customHeight="1" x14ac:dyDescent="0.35">
      <c r="A449" s="183"/>
      <c r="B449" s="184"/>
      <c r="C449" s="184"/>
      <c r="D449" s="201"/>
      <c r="E449" s="206"/>
      <c r="F449" s="420" t="s">
        <v>101</v>
      </c>
      <c r="G449" s="204"/>
      <c r="H449" s="194" t="s">
        <v>37</v>
      </c>
      <c r="I449" s="397">
        <f ca="1">IFERROR(__xludf.DUMMYFUNCTION("IMPORTRANGE(""https://docs.google.com/spreadsheets/d/1IYY_tgx_IHuhSq3AJ5eI5OnqOPBNLWSHKh2a30DoXe8/edit?usp=sharing"",""สงขลา!I344"")"),15)</f>
        <v>15</v>
      </c>
      <c r="J449" s="208">
        <f ca="1">IFERROR(__xludf.DUMMYFUNCTION("IMPORTRANGE(""https://docs.google.com/spreadsheets/d/1IYY_tgx_IHuhSq3AJ5eI5OnqOPBNLWSHKh2a30DoXe8/edit?usp=sharing"",""สงขลา!J344"")"),15)</f>
        <v>15</v>
      </c>
      <c r="K449" s="169">
        <f t="shared" ref="K449:K452" ca="1" si="115">IF(I449&gt;0,J449*100/I449,0)</f>
        <v>100</v>
      </c>
      <c r="L449" s="189"/>
      <c r="M449" s="189"/>
      <c r="N449" s="189"/>
      <c r="O449" s="189"/>
      <c r="P449" s="189"/>
    </row>
    <row r="450" spans="1:16" ht="21.75" customHeight="1" x14ac:dyDescent="0.35">
      <c r="A450" s="183"/>
      <c r="B450" s="184"/>
      <c r="C450" s="184"/>
      <c r="D450" s="201"/>
      <c r="E450" s="206"/>
      <c r="F450" s="203"/>
      <c r="G450" s="233" t="s">
        <v>162</v>
      </c>
      <c r="H450" s="194" t="s">
        <v>37</v>
      </c>
      <c r="I450" s="347">
        <f ca="1">IFERROR(__xludf.DUMMYFUNCTION("IMPORTRANGE(""https://docs.google.com/spreadsheets/d/1IYY_tgx_IHuhSq3AJ5eI5OnqOPBNLWSHKh2a30DoXe8/edit?usp=sharing"",""สงขลา!I345"")"),15)</f>
        <v>15</v>
      </c>
      <c r="J450" s="196">
        <f ca="1">IFERROR(__xludf.DUMMYFUNCTION("IMPORTRANGE(""https://docs.google.com/spreadsheets/d/1IYY_tgx_IHuhSq3AJ5eI5OnqOPBNLWSHKh2a30DoXe8/edit?usp=sharing"",""สงขลา!J345"")"),15)</f>
        <v>15</v>
      </c>
      <c r="K450" s="169">
        <f t="shared" ca="1" si="115"/>
        <v>100</v>
      </c>
      <c r="L450" s="189"/>
      <c r="M450" s="189"/>
      <c r="N450" s="189"/>
      <c r="O450" s="189"/>
      <c r="P450" s="189"/>
    </row>
    <row r="451" spans="1:16" ht="21.75" customHeight="1" x14ac:dyDescent="0.35">
      <c r="A451" s="183"/>
      <c r="B451" s="184"/>
      <c r="C451" s="184"/>
      <c r="D451" s="201"/>
      <c r="E451" s="206"/>
      <c r="F451" s="203"/>
      <c r="G451" s="287" t="s">
        <v>163</v>
      </c>
      <c r="H451" s="194" t="s">
        <v>37</v>
      </c>
      <c r="I451" s="347">
        <f ca="1">IFERROR(__xludf.DUMMYFUNCTION("IMPORTRANGE(""https://docs.google.com/spreadsheets/d/1IYY_tgx_IHuhSq3AJ5eI5OnqOPBNLWSHKh2a30DoXe8/edit?usp=sharing"",""สงขลา!I346"")"),0)</f>
        <v>0</v>
      </c>
      <c r="J451" s="195">
        <f ca="1">IFERROR(__xludf.DUMMYFUNCTION("IMPORTRANGE(""https://docs.google.com/spreadsheets/d/1IYY_tgx_IHuhSq3AJ5eI5OnqOPBNLWSHKh2a30DoXe8/edit?usp=sharing"",""สงขลา!J346"")"),0)</f>
        <v>0</v>
      </c>
      <c r="K451" s="169">
        <f t="shared" ca="1" si="115"/>
        <v>0</v>
      </c>
      <c r="L451" s="189"/>
      <c r="M451" s="189"/>
      <c r="N451" s="189"/>
      <c r="O451" s="189"/>
      <c r="P451" s="189"/>
    </row>
    <row r="452" spans="1:16" ht="21.75" customHeight="1" x14ac:dyDescent="0.35">
      <c r="A452" s="183"/>
      <c r="B452" s="184"/>
      <c r="C452" s="184"/>
      <c r="D452" s="201"/>
      <c r="E452" s="206"/>
      <c r="F452" s="203"/>
      <c r="G452" s="204" t="s">
        <v>164</v>
      </c>
      <c r="H452" s="194" t="s">
        <v>37</v>
      </c>
      <c r="I452" s="195">
        <f ca="1">IFERROR(__xludf.DUMMYFUNCTION("IMPORTRANGE(""https://docs.google.com/spreadsheets/d/1IYY_tgx_IHuhSq3AJ5eI5OnqOPBNLWSHKh2a30DoXe8/edit?usp=sharing"",""สงขลา!I347"")"),0)</f>
        <v>0</v>
      </c>
      <c r="J452" s="195">
        <f ca="1">IFERROR(__xludf.DUMMYFUNCTION("IMPORTRANGE(""https://docs.google.com/spreadsheets/d/1IYY_tgx_IHuhSq3AJ5eI5OnqOPBNLWSHKh2a30DoXe8/edit?usp=sharing"",""สงขลา!J347"")"),0)</f>
        <v>0</v>
      </c>
      <c r="K452" s="169">
        <f t="shared" ca="1" si="115"/>
        <v>0</v>
      </c>
      <c r="L452" s="189"/>
      <c r="M452" s="189"/>
      <c r="N452" s="189"/>
      <c r="O452" s="189"/>
      <c r="P452" s="189"/>
    </row>
    <row r="453" spans="1:16" ht="21.75" customHeight="1" x14ac:dyDescent="0.35">
      <c r="A453" s="183"/>
      <c r="B453" s="184"/>
      <c r="C453" s="184"/>
      <c r="D453" s="201"/>
      <c r="E453" s="202" t="s">
        <v>54</v>
      </c>
      <c r="F453" s="203"/>
      <c r="G453" s="204"/>
      <c r="H453" s="194"/>
      <c r="I453" s="195"/>
      <c r="J453" s="205">
        <f ca="1">IFERROR(__xludf.DUMMYFUNCTION("IMPORTRANGE(""https://docs.google.com/spreadsheets/d/1IYY_tgx_IHuhSq3AJ5eI5OnqOPBNLWSHKh2a30DoXe8/edit?usp=sharing"",""สงขลา!J348"")"),0)</f>
        <v>0</v>
      </c>
      <c r="K453" s="169"/>
      <c r="L453" s="189"/>
      <c r="M453" s="189"/>
      <c r="N453" s="189"/>
      <c r="O453" s="189"/>
      <c r="P453" s="189"/>
    </row>
    <row r="454" spans="1:16" ht="21.75" customHeight="1" x14ac:dyDescent="0.35">
      <c r="A454" s="183"/>
      <c r="B454" s="184"/>
      <c r="C454" s="184"/>
      <c r="D454" s="213">
        <v>3</v>
      </c>
      <c r="E454" s="214" t="s">
        <v>55</v>
      </c>
      <c r="F454" s="215"/>
      <c r="G454" s="216"/>
      <c r="H454" s="194"/>
      <c r="I454" s="195"/>
      <c r="J454" s="217">
        <f ca="1">IFERROR(__xludf.DUMMYFUNCTION("IMPORTRANGE(""https://docs.google.com/spreadsheets/d/1IYY_tgx_IHuhSq3AJ5eI5OnqOPBNLWSHKh2a30DoXe8/edit?usp=sharing"",""สงขลา!J349"")"),0)</f>
        <v>0</v>
      </c>
      <c r="K454" s="169"/>
      <c r="L454" s="189"/>
      <c r="M454" s="189"/>
      <c r="N454" s="189"/>
      <c r="O454" s="189"/>
      <c r="P454" s="189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IFERROR(__xludf.DUMMYFUNCTION("IMPORTRANGE(""https://docs.google.com/spreadsheets/d/1IYY_tgx_IHuhSq3AJ5eI5OnqOPBNLWSHKh2a30DoXe8/edit?usp=sharing"",""สงขลา!I350"")"),27425)</f>
        <v>27425</v>
      </c>
      <c r="J455" s="377">
        <f ca="1">IFERROR(__xludf.DUMMYFUNCTION("IMPORTRANGE(""https://docs.google.com/spreadsheets/d/1IYY_tgx_IHuhSq3AJ5eI5OnqOPBNLWSHKh2a30DoXe8/edit?usp=sharing"",""สงขลา!J350"")"),0)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IFERROR(__xludf.DUMMYFUNCTION("IMPORTRANGE(""https://docs.google.com/spreadsheets/d/1IYY_tgx_IHuhSq3AJ5eI5OnqOPBNLWSHKh2a30DoXe8/edit?usp=sharing"",""สงขลา!L350"")"),189614)</f>
        <v>189614</v>
      </c>
      <c r="M455" s="379"/>
      <c r="N455" s="379">
        <f ca="1">IFERROR(__xludf.DUMMYFUNCTION("IMPORTRANGE(""https://docs.google.com/spreadsheets/d/1IYY_tgx_IHuhSq3AJ5eI5OnqOPBNLWSHKh2a30DoXe8/edit?usp=sharing"",""สงขลา!M350"")"),25364)</f>
        <v>25364</v>
      </c>
      <c r="O455" s="379">
        <f t="shared" ref="O455:O459" ca="1" si="116">+IF(L455&gt;0,N455*100/L455,0)</f>
        <v>13.376649403525056</v>
      </c>
      <c r="P455" s="379"/>
    </row>
    <row r="456" spans="1:16" ht="21.75" customHeight="1" x14ac:dyDescent="0.35">
      <c r="A456" s="162"/>
      <c r="B456" s="163"/>
      <c r="C456" s="163" t="s">
        <v>16</v>
      </c>
      <c r="D456" s="164" t="s">
        <v>38</v>
      </c>
      <c r="E456" s="165"/>
      <c r="F456" s="165"/>
      <c r="G456" s="166" t="s">
        <v>39</v>
      </c>
      <c r="H456" s="167" t="s">
        <v>12</v>
      </c>
      <c r="I456" s="168" t="s">
        <v>40</v>
      </c>
      <c r="J456" s="168"/>
      <c r="K456" s="169"/>
      <c r="L456" s="170">
        <f ca="1">IFERROR(__xludf.DUMMYFUNCTION("IMPORTRANGE(""https://docs.google.com/spreadsheets/d/1IYY_tgx_IHuhSq3AJ5eI5OnqOPBNLWSHKh2a30DoXe8/edit?usp=sharing"",""สงขลา!L351"")"),0)</f>
        <v>0</v>
      </c>
      <c r="M456" s="170"/>
      <c r="N456" s="176">
        <f ca="1">IFERROR(__xludf.DUMMYFUNCTION("IMPORTRANGE(""https://docs.google.com/spreadsheets/d/1IYY_tgx_IHuhSq3AJ5eI5OnqOPBNLWSHKh2a30DoXe8/edit?usp=sharing"",""สงขลา!M351"")"),0)</f>
        <v>0</v>
      </c>
      <c r="O456" s="176">
        <f t="shared" ca="1" si="116"/>
        <v>0</v>
      </c>
      <c r="P456" s="176"/>
    </row>
    <row r="457" spans="1:16" ht="21.75" customHeight="1" x14ac:dyDescent="0.35">
      <c r="A457" s="162"/>
      <c r="B457" s="163"/>
      <c r="C457" s="163"/>
      <c r="D457" s="172"/>
      <c r="E457" s="165"/>
      <c r="F457" s="165" t="s">
        <v>40</v>
      </c>
      <c r="G457" s="166" t="s">
        <v>41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IFERROR(__xludf.DUMMYFUNCTION("IMPORTRANGE(""https://docs.google.com/spreadsheets/d/1IYY_tgx_IHuhSq3AJ5eI5OnqOPBNLWSHKh2a30DoXe8/edit?usp=sharing"",""สงขลา!L352"")"),189614)</f>
        <v>189614</v>
      </c>
      <c r="M457" s="171"/>
      <c r="N457" s="176">
        <f ca="1">IFERROR(__xludf.DUMMYFUNCTION("IMPORTRANGE(""https://docs.google.com/spreadsheets/d/1IYY_tgx_IHuhSq3AJ5eI5OnqOPBNLWSHKh2a30DoXe8/edit?usp=sharing"",""สงขลา!M352"")"),25364)</f>
        <v>25364</v>
      </c>
      <c r="O457" s="176">
        <f t="shared" ca="1" si="116"/>
        <v>13.376649403525056</v>
      </c>
      <c r="P457" s="176"/>
    </row>
    <row r="458" spans="1:16" ht="21.75" customHeight="1" x14ac:dyDescent="0.35">
      <c r="A458" s="162"/>
      <c r="B458" s="163"/>
      <c r="C458" s="163"/>
      <c r="D458" s="172"/>
      <c r="E458" s="165"/>
      <c r="F458" s="165"/>
      <c r="G458" s="380" t="s">
        <v>129</v>
      </c>
      <c r="H458" s="167" t="s">
        <v>12</v>
      </c>
      <c r="I458" s="168"/>
      <c r="J458" s="168"/>
      <c r="K458" s="169"/>
      <c r="L458" s="176">
        <f ca="1">IFERROR(__xludf.DUMMYFUNCTION("IMPORTRANGE(""https://docs.google.com/spreadsheets/d/1IYY_tgx_IHuhSq3AJ5eI5OnqOPBNLWSHKh2a30DoXe8/edit?usp=sharing"",""สงขลา!L353"")"),0)</f>
        <v>0</v>
      </c>
      <c r="M458" s="176"/>
      <c r="N458" s="176">
        <f ca="1">IFERROR(__xludf.DUMMYFUNCTION("IMPORTRANGE(""https://docs.google.com/spreadsheets/d/1IYY_tgx_IHuhSq3AJ5eI5OnqOPBNLWSHKh2a30DoXe8/edit?usp=sharing"",""สงขลา!M353"")"),0)</f>
        <v>0</v>
      </c>
      <c r="O458" s="176">
        <f t="shared" ca="1" si="116"/>
        <v>0</v>
      </c>
      <c r="P458" s="176"/>
    </row>
    <row r="459" spans="1:16" ht="21.75" customHeight="1" x14ac:dyDescent="0.35">
      <c r="A459" s="162"/>
      <c r="B459" s="163"/>
      <c r="C459" s="163"/>
      <c r="D459" s="172"/>
      <c r="E459" s="165"/>
      <c r="F459" s="165"/>
      <c r="G459" s="380" t="s">
        <v>130</v>
      </c>
      <c r="H459" s="167" t="s">
        <v>12</v>
      </c>
      <c r="I459" s="168"/>
      <c r="J459" s="168"/>
      <c r="K459" s="169"/>
      <c r="L459" s="176">
        <f ca="1">IFERROR(__xludf.DUMMYFUNCTION("IMPORTRANGE(""https://docs.google.com/spreadsheets/d/1IYY_tgx_IHuhSq3AJ5eI5OnqOPBNLWSHKh2a30DoXe8/edit?usp=sharing"",""สงขลา!L354"")"),189614)</f>
        <v>189614</v>
      </c>
      <c r="M459" s="176"/>
      <c r="N459" s="176">
        <f ca="1">IFERROR(__xludf.DUMMYFUNCTION("IMPORTRANGE(""https://docs.google.com/spreadsheets/d/1IYY_tgx_IHuhSq3AJ5eI5OnqOPBNLWSHKh2a30DoXe8/edit?usp=sharing"",""สงขลา!M354"")"),25364)</f>
        <v>25364</v>
      </c>
      <c r="O459" s="176">
        <f t="shared" ca="1" si="116"/>
        <v>13.376649403525056</v>
      </c>
      <c r="P459" s="176"/>
    </row>
    <row r="460" spans="1:16" ht="21.75" customHeight="1" x14ac:dyDescent="0.35">
      <c r="A460" s="381"/>
      <c r="B460" s="382"/>
      <c r="C460" s="163"/>
      <c r="D460" s="383"/>
      <c r="E460" s="165"/>
      <c r="F460" s="165"/>
      <c r="G460" s="384" t="s">
        <v>131</v>
      </c>
      <c r="H460" s="167" t="s">
        <v>12</v>
      </c>
      <c r="I460" s="195"/>
      <c r="J460" s="195"/>
      <c r="K460" s="231"/>
      <c r="L460" s="176"/>
      <c r="M460" s="176"/>
      <c r="N460" s="173">
        <f ca="1">IFERROR(__xludf.DUMMYFUNCTION("IMPORTRANGE(""https://docs.google.com/spreadsheets/d/1IYY_tgx_IHuhSq3AJ5eI5OnqOPBNLWSHKh2a30DoXe8/edit?usp=sharing"",""สงขลา!M355"")"),0)</f>
        <v>0</v>
      </c>
      <c r="O460" s="176"/>
      <c r="P460" s="176"/>
    </row>
    <row r="461" spans="1:16" ht="21.75" customHeight="1" x14ac:dyDescent="0.35">
      <c r="A461" s="381"/>
      <c r="B461" s="382"/>
      <c r="C461" s="163"/>
      <c r="D461" s="383"/>
      <c r="E461" s="165"/>
      <c r="F461" s="165"/>
      <c r="G461" s="384" t="s">
        <v>132</v>
      </c>
      <c r="H461" s="167" t="s">
        <v>12</v>
      </c>
      <c r="I461" s="195"/>
      <c r="J461" s="195"/>
      <c r="K461" s="231"/>
      <c r="L461" s="176"/>
      <c r="M461" s="176"/>
      <c r="N461" s="173">
        <f ca="1">IFERROR(__xludf.DUMMYFUNCTION("IMPORTRANGE(""https://docs.google.com/spreadsheets/d/1IYY_tgx_IHuhSq3AJ5eI5OnqOPBNLWSHKh2a30DoXe8/edit?usp=sharing"",""สงขลา!M356"")"),0)</f>
        <v>0</v>
      </c>
      <c r="O461" s="176"/>
      <c r="P461" s="176"/>
    </row>
    <row r="462" spans="1:16" ht="21.75" customHeight="1" x14ac:dyDescent="0.35">
      <c r="A462" s="381"/>
      <c r="B462" s="382"/>
      <c r="C462" s="163"/>
      <c r="D462" s="383"/>
      <c r="E462" s="165"/>
      <c r="F462" s="165"/>
      <c r="G462" s="384" t="s">
        <v>133</v>
      </c>
      <c r="H462" s="167" t="s">
        <v>12</v>
      </c>
      <c r="I462" s="195"/>
      <c r="J462" s="195"/>
      <c r="K462" s="231"/>
      <c r="L462" s="176"/>
      <c r="M462" s="176"/>
      <c r="N462" s="385">
        <f ca="1">IFERROR(__xludf.DUMMYFUNCTION("IMPORTRANGE(""https://docs.google.com/spreadsheets/d/1IYY_tgx_IHuhSq3AJ5eI5OnqOPBNLWSHKh2a30DoXe8/edit?usp=sharing"",""สงขลา!M357"")"),0)</f>
        <v>0</v>
      </c>
      <c r="O462" s="176"/>
      <c r="P462" s="176"/>
    </row>
    <row r="463" spans="1:16" ht="21.75" customHeight="1" x14ac:dyDescent="0.35">
      <c r="A463" s="381"/>
      <c r="B463" s="382"/>
      <c r="C463" s="163"/>
      <c r="D463" s="383"/>
      <c r="E463" s="165"/>
      <c r="F463" s="165"/>
      <c r="G463" s="384" t="s">
        <v>134</v>
      </c>
      <c r="H463" s="167" t="s">
        <v>12</v>
      </c>
      <c r="I463" s="195"/>
      <c r="J463" s="195"/>
      <c r="K463" s="231"/>
      <c r="L463" s="176"/>
      <c r="M463" s="176"/>
      <c r="N463" s="385">
        <f ca="1">IFERROR(__xludf.DUMMYFUNCTION("IMPORTRANGE(""https://docs.google.com/spreadsheets/d/1IYY_tgx_IHuhSq3AJ5eI5OnqOPBNLWSHKh2a30DoXe8/edit?usp=sharing"",""สงขลา!M358"")"),25364)</f>
        <v>25364</v>
      </c>
      <c r="O463" s="176"/>
      <c r="P463" s="176"/>
    </row>
    <row r="464" spans="1:16" ht="21.75" customHeight="1" x14ac:dyDescent="0.35">
      <c r="A464" s="183"/>
      <c r="B464" s="184"/>
      <c r="C464" s="421" t="s">
        <v>166</v>
      </c>
      <c r="D464" s="421"/>
      <c r="E464" s="422"/>
      <c r="F464" s="422"/>
      <c r="G464" s="423"/>
      <c r="H464" s="273" t="s">
        <v>122</v>
      </c>
      <c r="I464" s="274">
        <f ca="1">IFERROR(__xludf.DUMMYFUNCTION("IMPORTRANGE(""https://docs.google.com/spreadsheets/d/1IYY_tgx_IHuhSq3AJ5eI5OnqOPBNLWSHKh2a30DoXe8/edit?usp=sharing"",""สงขลา!I359"")"),27425)</f>
        <v>27425</v>
      </c>
      <c r="J464" s="274">
        <f ca="1">IFERROR(__xludf.DUMMYFUNCTION("IMPORTRANGE(""https://docs.google.com/spreadsheets/d/1IYY_tgx_IHuhSq3AJ5eI5OnqOPBNLWSHKh2a30DoXe8/edit?usp=sharing"",""สงขลา!J359"")"),0)</f>
        <v>0</v>
      </c>
      <c r="K464" s="275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1" t="s">
        <v>167</v>
      </c>
      <c r="F465" s="203"/>
      <c r="G465" s="204"/>
      <c r="H465" s="424" t="s">
        <v>122</v>
      </c>
      <c r="I465" s="425">
        <f ca="1">IFERROR(__xludf.DUMMYFUNCTION("IMPORTRANGE(""https://docs.google.com/spreadsheets/d/1IYY_tgx_IHuhSq3AJ5eI5OnqOPBNLWSHKh2a30DoXe8/edit?usp=sharing"",""สงขลา!I360"")"),27425)</f>
        <v>27425</v>
      </c>
      <c r="J465" s="426">
        <f ca="1">IFERROR(__xludf.DUMMYFUNCTION("IMPORTRANGE(""https://docs.google.com/spreadsheets/d/1IYY_tgx_IHuhSq3AJ5eI5OnqOPBNLWSHKh2a30DoXe8/edit?usp=sharing"",""สงขลา!J360"")"),27426)</f>
        <v>27426</v>
      </c>
      <c r="K465" s="209">
        <f t="shared" ca="1" si="117"/>
        <v>100.00364630811303</v>
      </c>
      <c r="L465" s="189"/>
      <c r="M465" s="189"/>
      <c r="N465" s="189"/>
      <c r="O465" s="189"/>
      <c r="P465" s="189"/>
    </row>
    <row r="466" spans="1:16" ht="21.75" customHeight="1" x14ac:dyDescent="0.35">
      <c r="A466" s="408"/>
      <c r="B466" s="409"/>
      <c r="C466" s="409"/>
      <c r="D466" s="410"/>
      <c r="E466" s="203"/>
      <c r="F466" s="203"/>
      <c r="G466" s="204"/>
      <c r="H466" s="424" t="s">
        <v>36</v>
      </c>
      <c r="I466" s="425">
        <f ca="1">IFERROR(__xludf.DUMMYFUNCTION("IMPORTRANGE(""https://docs.google.com/spreadsheets/d/1IYY_tgx_IHuhSq3AJ5eI5OnqOPBNLWSHKh2a30DoXe8/edit?usp=sharing"",""สงขลา!I361"")"),3251)</f>
        <v>3251</v>
      </c>
      <c r="J466" s="426">
        <f ca="1">IFERROR(__xludf.DUMMYFUNCTION("IMPORTRANGE(""https://docs.google.com/spreadsheets/d/1IYY_tgx_IHuhSq3AJ5eI5OnqOPBNLWSHKh2a30DoXe8/edit?usp=sharing"",""สงขลา!J361"")"),3251)</f>
        <v>3251</v>
      </c>
      <c r="K466" s="209">
        <f t="shared" ca="1" si="117"/>
        <v>100</v>
      </c>
      <c r="L466" s="189"/>
      <c r="M466" s="189"/>
      <c r="N466" s="189"/>
      <c r="O466" s="189"/>
      <c r="P466" s="189"/>
    </row>
    <row r="467" spans="1:16" ht="21.75" customHeight="1" x14ac:dyDescent="0.35">
      <c r="A467" s="408"/>
      <c r="B467" s="409"/>
      <c r="C467" s="409"/>
      <c r="D467" s="410"/>
      <c r="E467" s="203"/>
      <c r="F467" s="396" t="s">
        <v>168</v>
      </c>
      <c r="G467" s="427"/>
      <c r="H467" s="428" t="s">
        <v>122</v>
      </c>
      <c r="I467" s="210">
        <f ca="1">IFERROR(__xludf.DUMMYFUNCTION("IMPORTRANGE(""https://docs.google.com/spreadsheets/d/1IYY_tgx_IHuhSq3AJ5eI5OnqOPBNLWSHKh2a30DoXe8/edit?usp=sharing"",""สงขลา!I362"")"),0)</f>
        <v>0</v>
      </c>
      <c r="J467" s="196">
        <f ca="1">IFERROR(__xludf.DUMMYFUNCTION("IMPORTRANGE(""https://docs.google.com/spreadsheets/d/1IYY_tgx_IHuhSq3AJ5eI5OnqOPBNLWSHKh2a30DoXe8/edit?usp=sharing"",""สงขลา!J362"")"),25528)</f>
        <v>25528</v>
      </c>
      <c r="K467" s="169">
        <f t="shared" ca="1" si="117"/>
        <v>0</v>
      </c>
      <c r="L467" s="189"/>
      <c r="M467" s="189"/>
      <c r="N467" s="189"/>
      <c r="O467" s="189"/>
      <c r="P467" s="189"/>
    </row>
    <row r="468" spans="1:16" ht="21.75" customHeight="1" x14ac:dyDescent="0.35">
      <c r="A468" s="408"/>
      <c r="B468" s="409"/>
      <c r="C468" s="409"/>
      <c r="D468" s="410"/>
      <c r="E468" s="203"/>
      <c r="F468" s="203"/>
      <c r="G468" s="427"/>
      <c r="H468" s="428" t="s">
        <v>36</v>
      </c>
      <c r="I468" s="210">
        <f ca="1">IFERROR(__xludf.DUMMYFUNCTION("IMPORTRANGE(""https://docs.google.com/spreadsheets/d/1IYY_tgx_IHuhSq3AJ5eI5OnqOPBNLWSHKh2a30DoXe8/edit?usp=sharing"",""สงขลา!I363"")"),0)</f>
        <v>0</v>
      </c>
      <c r="J468" s="196">
        <f ca="1">IFERROR(__xludf.DUMMYFUNCTION("IMPORTRANGE(""https://docs.google.com/spreadsheets/d/1IYY_tgx_IHuhSq3AJ5eI5OnqOPBNLWSHKh2a30DoXe8/edit?usp=sharing"",""สงขลา!J363"")"),3049)</f>
        <v>3049</v>
      </c>
      <c r="K468" s="169">
        <f t="shared" ca="1" si="117"/>
        <v>0</v>
      </c>
      <c r="L468" s="189"/>
      <c r="M468" s="189"/>
      <c r="N468" s="189"/>
      <c r="O468" s="189"/>
      <c r="P468" s="189"/>
    </row>
    <row r="469" spans="1:16" ht="21.75" customHeight="1" x14ac:dyDescent="0.35">
      <c r="A469" s="408"/>
      <c r="B469" s="409"/>
      <c r="C469" s="409"/>
      <c r="D469" s="410"/>
      <c r="E469" s="203"/>
      <c r="F469" s="396" t="s">
        <v>169</v>
      </c>
      <c r="G469" s="427"/>
      <c r="H469" s="428" t="s">
        <v>122</v>
      </c>
      <c r="I469" s="210">
        <f ca="1">IFERROR(__xludf.DUMMYFUNCTION("IMPORTRANGE(""https://docs.google.com/spreadsheets/d/1IYY_tgx_IHuhSq3AJ5eI5OnqOPBNLWSHKh2a30DoXe8/edit?usp=sharing"",""สงขลา!I364"")"),0)</f>
        <v>0</v>
      </c>
      <c r="J469" s="196">
        <f ca="1">IFERROR(__xludf.DUMMYFUNCTION("IMPORTRANGE(""https://docs.google.com/spreadsheets/d/1IYY_tgx_IHuhSq3AJ5eI5OnqOPBNLWSHKh2a30DoXe8/edit?usp=sharing"",""สงขลา!J364"")"),1181)</f>
        <v>1181</v>
      </c>
      <c r="K469" s="169">
        <f t="shared" ca="1" si="117"/>
        <v>0</v>
      </c>
      <c r="L469" s="189"/>
      <c r="M469" s="189"/>
      <c r="N469" s="189"/>
      <c r="O469" s="189"/>
      <c r="P469" s="189"/>
    </row>
    <row r="470" spans="1:16" ht="21.75" customHeight="1" x14ac:dyDescent="0.35">
      <c r="A470" s="408"/>
      <c r="B470" s="409"/>
      <c r="C470" s="409"/>
      <c r="D470" s="410"/>
      <c r="E470" s="203"/>
      <c r="F470" s="203"/>
      <c r="G470" s="427"/>
      <c r="H470" s="428" t="s">
        <v>36</v>
      </c>
      <c r="I470" s="210">
        <f ca="1">IFERROR(__xludf.DUMMYFUNCTION("IMPORTRANGE(""https://docs.google.com/spreadsheets/d/1IYY_tgx_IHuhSq3AJ5eI5OnqOPBNLWSHKh2a30DoXe8/edit?usp=sharing"",""สงขลา!I365"")"),0)</f>
        <v>0</v>
      </c>
      <c r="J470" s="196">
        <f ca="1">IFERROR(__xludf.DUMMYFUNCTION("IMPORTRANGE(""https://docs.google.com/spreadsheets/d/1IYY_tgx_IHuhSq3AJ5eI5OnqOPBNLWSHKh2a30DoXe8/edit?usp=sharing"",""สงขลา!J365"")"),132)</f>
        <v>132</v>
      </c>
      <c r="K470" s="169">
        <f t="shared" ca="1" si="117"/>
        <v>0</v>
      </c>
      <c r="L470" s="189"/>
      <c r="M470" s="189"/>
      <c r="N470" s="189"/>
      <c r="O470" s="189"/>
      <c r="P470" s="189"/>
    </row>
    <row r="471" spans="1:16" ht="21.75" customHeight="1" x14ac:dyDescent="0.35">
      <c r="A471" s="408"/>
      <c r="B471" s="409"/>
      <c r="C471" s="409"/>
      <c r="D471" s="410"/>
      <c r="E471" s="203"/>
      <c r="F471" s="396" t="s">
        <v>170</v>
      </c>
      <c r="G471" s="427"/>
      <c r="H471" s="428" t="s">
        <v>122</v>
      </c>
      <c r="I471" s="210">
        <f ca="1">IFERROR(__xludf.DUMMYFUNCTION("IMPORTRANGE(""https://docs.google.com/spreadsheets/d/1IYY_tgx_IHuhSq3AJ5eI5OnqOPBNLWSHKh2a30DoXe8/edit?usp=sharing"",""สงขลา!I366"")"),0)</f>
        <v>0</v>
      </c>
      <c r="J471" s="196">
        <f ca="1">IFERROR(__xludf.DUMMYFUNCTION("IMPORTRANGE(""https://docs.google.com/spreadsheets/d/1IYY_tgx_IHuhSq3AJ5eI5OnqOPBNLWSHKh2a30DoXe8/edit?usp=sharing"",""สงขลา!J366"")"),717)</f>
        <v>717</v>
      </c>
      <c r="K471" s="169">
        <f t="shared" ca="1" si="117"/>
        <v>0</v>
      </c>
      <c r="L471" s="189"/>
      <c r="M471" s="189"/>
      <c r="N471" s="189"/>
      <c r="O471" s="189"/>
      <c r="P471" s="189"/>
    </row>
    <row r="472" spans="1:16" ht="21.75" customHeight="1" x14ac:dyDescent="0.35">
      <c r="A472" s="408"/>
      <c r="B472" s="409"/>
      <c r="C472" s="409"/>
      <c r="D472" s="410"/>
      <c r="E472" s="203"/>
      <c r="F472" s="203"/>
      <c r="G472" s="203"/>
      <c r="H472" s="428" t="s">
        <v>36</v>
      </c>
      <c r="I472" s="210">
        <f ca="1">IFERROR(__xludf.DUMMYFUNCTION("IMPORTRANGE(""https://docs.google.com/spreadsheets/d/1IYY_tgx_IHuhSq3AJ5eI5OnqOPBNLWSHKh2a30DoXe8/edit?usp=sharing"",""สงขลา!I367"")"),0)</f>
        <v>0</v>
      </c>
      <c r="J472" s="196">
        <f ca="1">IFERROR(__xludf.DUMMYFUNCTION("IMPORTRANGE(""https://docs.google.com/spreadsheets/d/1IYY_tgx_IHuhSq3AJ5eI5OnqOPBNLWSHKh2a30DoXe8/edit?usp=sharing"",""สงขลา!J367"")"),70)</f>
        <v>70</v>
      </c>
      <c r="K472" s="169">
        <f t="shared" ca="1" si="117"/>
        <v>0</v>
      </c>
      <c r="L472" s="189"/>
      <c r="M472" s="189"/>
      <c r="N472" s="189"/>
      <c r="O472" s="189"/>
      <c r="P472" s="189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3"/>
      <c r="G473" s="204"/>
      <c r="H473" s="424" t="s">
        <v>122</v>
      </c>
      <c r="I473" s="426">
        <f ca="1">IFERROR(__xludf.DUMMYFUNCTION("IMPORTRANGE(""https://docs.google.com/spreadsheets/d/1IYY_tgx_IHuhSq3AJ5eI5OnqOPBNLWSHKh2a30DoXe8/edit?usp=sharing"",""สงขลา!I368"")"),27425)</f>
        <v>27425</v>
      </c>
      <c r="J473" s="426">
        <f ca="1">IFERROR(__xludf.DUMMYFUNCTION("IMPORTRANGE(""https://docs.google.com/spreadsheets/d/1IYY_tgx_IHuhSq3AJ5eI5OnqOPBNLWSHKh2a30DoXe8/edit?usp=sharing"",""สงขลา!J368"")"),0)</f>
        <v>0</v>
      </c>
      <c r="K473" s="209">
        <f t="shared" ca="1" si="117"/>
        <v>0</v>
      </c>
      <c r="L473" s="189"/>
      <c r="M473" s="189"/>
      <c r="N473" s="189"/>
      <c r="O473" s="189"/>
      <c r="P473" s="189"/>
    </row>
    <row r="474" spans="1:16" ht="21.75" customHeight="1" x14ac:dyDescent="0.35">
      <c r="A474" s="408"/>
      <c r="B474" s="409"/>
      <c r="C474" s="409"/>
      <c r="D474" s="410"/>
      <c r="E474" s="203"/>
      <c r="F474" s="203"/>
      <c r="G474" s="204"/>
      <c r="H474" s="424" t="s">
        <v>36</v>
      </c>
      <c r="I474" s="425">
        <f ca="1">IFERROR(__xludf.DUMMYFUNCTION("IMPORTRANGE(""https://docs.google.com/spreadsheets/d/1IYY_tgx_IHuhSq3AJ5eI5OnqOPBNLWSHKh2a30DoXe8/edit?usp=sharing"",""สงขลา!I369"")"),3251)</f>
        <v>3251</v>
      </c>
      <c r="J474" s="426">
        <f ca="1">IFERROR(__xludf.DUMMYFUNCTION("IMPORTRANGE(""https://docs.google.com/spreadsheets/d/1IYY_tgx_IHuhSq3AJ5eI5OnqOPBNLWSHKh2a30DoXe8/edit?usp=sharing"",""สงขลา!J369"")"),0)</f>
        <v>0</v>
      </c>
      <c r="K474" s="169">
        <f t="shared" ca="1" si="117"/>
        <v>0</v>
      </c>
      <c r="L474" s="189"/>
      <c r="M474" s="189"/>
      <c r="N474" s="189"/>
      <c r="O474" s="189"/>
      <c r="P474" s="189"/>
    </row>
    <row r="475" spans="1:16" ht="21.75" customHeight="1" x14ac:dyDescent="0.35">
      <c r="A475" s="408"/>
      <c r="B475" s="409"/>
      <c r="C475" s="409"/>
      <c r="D475" s="410"/>
      <c r="E475" s="203"/>
      <c r="F475" s="202" t="s">
        <v>172</v>
      </c>
      <c r="G475" s="427"/>
      <c r="H475" s="428" t="s">
        <v>122</v>
      </c>
      <c r="I475" s="210">
        <f ca="1">IFERROR(__xludf.DUMMYFUNCTION("IMPORTRANGE(""https://docs.google.com/spreadsheets/d/1IYY_tgx_IHuhSq3AJ5eI5OnqOPBNLWSHKh2a30DoXe8/edit?usp=sharing"",""สงขลา!I370"")"),0)</f>
        <v>0</v>
      </c>
      <c r="J475" s="196">
        <f ca="1">IFERROR(__xludf.DUMMYFUNCTION("IMPORTRANGE(""https://docs.google.com/spreadsheets/d/1IYY_tgx_IHuhSq3AJ5eI5OnqOPBNLWSHKh2a30DoXe8/edit?usp=sharing"",""สงขลา!J370"")"),0)</f>
        <v>0</v>
      </c>
      <c r="K475" s="169">
        <f t="shared" ca="1" si="117"/>
        <v>0</v>
      </c>
      <c r="L475" s="189"/>
      <c r="M475" s="189"/>
      <c r="N475" s="189"/>
      <c r="O475" s="189"/>
      <c r="P475" s="189"/>
    </row>
    <row r="476" spans="1:16" ht="21.75" customHeight="1" x14ac:dyDescent="0.35">
      <c r="A476" s="408"/>
      <c r="B476" s="409"/>
      <c r="C476" s="409"/>
      <c r="D476" s="410"/>
      <c r="E476" s="203"/>
      <c r="F476" s="203"/>
      <c r="G476" s="427"/>
      <c r="H476" s="428" t="s">
        <v>36</v>
      </c>
      <c r="I476" s="210">
        <f ca="1">IFERROR(__xludf.DUMMYFUNCTION("IMPORTRANGE(""https://docs.google.com/spreadsheets/d/1IYY_tgx_IHuhSq3AJ5eI5OnqOPBNLWSHKh2a30DoXe8/edit?usp=sharing"",""สงขลา!I371"")"),0)</f>
        <v>0</v>
      </c>
      <c r="J476" s="196">
        <f ca="1">IFERROR(__xludf.DUMMYFUNCTION("IMPORTRANGE(""https://docs.google.com/spreadsheets/d/1IYY_tgx_IHuhSq3AJ5eI5OnqOPBNLWSHKh2a30DoXe8/edit?usp=sharing"",""สงขลา!J371"")"),0)</f>
        <v>0</v>
      </c>
      <c r="K476" s="169">
        <f t="shared" ca="1" si="117"/>
        <v>0</v>
      </c>
      <c r="L476" s="189"/>
      <c r="M476" s="189"/>
      <c r="N476" s="189"/>
      <c r="O476" s="189"/>
      <c r="P476" s="189"/>
    </row>
    <row r="477" spans="1:16" ht="21.75" customHeight="1" x14ac:dyDescent="0.35">
      <c r="A477" s="408"/>
      <c r="B477" s="409"/>
      <c r="C477" s="409"/>
      <c r="D477" s="410"/>
      <c r="E477" s="203"/>
      <c r="F477" s="202" t="s">
        <v>173</v>
      </c>
      <c r="G477" s="427"/>
      <c r="H477" s="428" t="s">
        <v>122</v>
      </c>
      <c r="I477" s="210">
        <f ca="1">IFERROR(__xludf.DUMMYFUNCTION("IMPORTRANGE(""https://docs.google.com/spreadsheets/d/1IYY_tgx_IHuhSq3AJ5eI5OnqOPBNLWSHKh2a30DoXe8/edit?usp=sharing"",""สงขลา!I372"")"),0)</f>
        <v>0</v>
      </c>
      <c r="J477" s="196">
        <f ca="1">IFERROR(__xludf.DUMMYFUNCTION("IMPORTRANGE(""https://docs.google.com/spreadsheets/d/1IYY_tgx_IHuhSq3AJ5eI5OnqOPBNLWSHKh2a30DoXe8/edit?usp=sharing"",""สงขลา!J372"")"),0)</f>
        <v>0</v>
      </c>
      <c r="K477" s="169">
        <f t="shared" ca="1" si="117"/>
        <v>0</v>
      </c>
      <c r="L477" s="189"/>
      <c r="M477" s="189"/>
      <c r="N477" s="189"/>
      <c r="O477" s="189"/>
      <c r="P477" s="189"/>
    </row>
    <row r="478" spans="1:16" ht="21.75" customHeight="1" x14ac:dyDescent="0.35">
      <c r="A478" s="408"/>
      <c r="B478" s="409"/>
      <c r="C478" s="409"/>
      <c r="D478" s="410"/>
      <c r="E478" s="203"/>
      <c r="F478" s="203"/>
      <c r="G478" s="427"/>
      <c r="H478" s="428" t="s">
        <v>36</v>
      </c>
      <c r="I478" s="210">
        <f ca="1">IFERROR(__xludf.DUMMYFUNCTION("IMPORTRANGE(""https://docs.google.com/spreadsheets/d/1IYY_tgx_IHuhSq3AJ5eI5OnqOPBNLWSHKh2a30DoXe8/edit?usp=sharing"",""สงขลา!I373"")"),0)</f>
        <v>0</v>
      </c>
      <c r="J478" s="196">
        <f ca="1">IFERROR(__xludf.DUMMYFUNCTION("IMPORTRANGE(""https://docs.google.com/spreadsheets/d/1IYY_tgx_IHuhSq3AJ5eI5OnqOPBNLWSHKh2a30DoXe8/edit?usp=sharing"",""สงขลา!J373"")"),0)</f>
        <v>0</v>
      </c>
      <c r="K478" s="169">
        <f t="shared" ca="1" si="117"/>
        <v>0</v>
      </c>
      <c r="L478" s="189"/>
      <c r="M478" s="189"/>
      <c r="N478" s="189"/>
      <c r="O478" s="189"/>
      <c r="P478" s="189"/>
    </row>
    <row r="479" spans="1:16" ht="21.75" customHeight="1" x14ac:dyDescent="0.35">
      <c r="A479" s="408"/>
      <c r="B479" s="409"/>
      <c r="C479" s="409"/>
      <c r="D479" s="410"/>
      <c r="E479" s="203"/>
      <c r="F479" s="202" t="s">
        <v>174</v>
      </c>
      <c r="G479" s="427"/>
      <c r="H479" s="428" t="s">
        <v>122</v>
      </c>
      <c r="I479" s="210">
        <f ca="1">IFERROR(__xludf.DUMMYFUNCTION("IMPORTRANGE(""https://docs.google.com/spreadsheets/d/1IYY_tgx_IHuhSq3AJ5eI5OnqOPBNLWSHKh2a30DoXe8/edit?usp=sharing"",""สงขลา!I374"")"),0)</f>
        <v>0</v>
      </c>
      <c r="J479" s="196">
        <f ca="1">IFERROR(__xludf.DUMMYFUNCTION("IMPORTRANGE(""https://docs.google.com/spreadsheets/d/1IYY_tgx_IHuhSq3AJ5eI5OnqOPBNLWSHKh2a30DoXe8/edit?usp=sharing"",""สงขลา!J374"")"),0)</f>
        <v>0</v>
      </c>
      <c r="K479" s="169">
        <f t="shared" ca="1" si="117"/>
        <v>0</v>
      </c>
      <c r="L479" s="189"/>
      <c r="M479" s="189"/>
      <c r="N479" s="189"/>
      <c r="O479" s="189"/>
      <c r="P479" s="189"/>
    </row>
    <row r="480" spans="1:16" ht="21.75" customHeight="1" x14ac:dyDescent="0.35">
      <c r="A480" s="408"/>
      <c r="B480" s="409"/>
      <c r="C480" s="409"/>
      <c r="D480" s="410"/>
      <c r="E480" s="203"/>
      <c r="F480" s="203"/>
      <c r="G480" s="204"/>
      <c r="H480" s="428" t="s">
        <v>36</v>
      </c>
      <c r="I480" s="210">
        <f ca="1">IFERROR(__xludf.DUMMYFUNCTION("IMPORTRANGE(""https://docs.google.com/spreadsheets/d/1IYY_tgx_IHuhSq3AJ5eI5OnqOPBNLWSHKh2a30DoXe8/edit?usp=sharing"",""สงขลา!I375"")"),0)</f>
        <v>0</v>
      </c>
      <c r="J480" s="196">
        <f ca="1">IFERROR(__xludf.DUMMYFUNCTION("IMPORTRANGE(""https://docs.google.com/spreadsheets/d/1IYY_tgx_IHuhSq3AJ5eI5OnqOPBNLWSHKh2a30DoXe8/edit?usp=sharing"",""สงขลา!J375"")"),0)</f>
        <v>0</v>
      </c>
      <c r="K480" s="169">
        <f t="shared" ca="1" si="117"/>
        <v>0</v>
      </c>
      <c r="L480" s="189"/>
      <c r="M480" s="189"/>
      <c r="N480" s="189"/>
      <c r="O480" s="189"/>
      <c r="P480" s="189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IFERROR(__xludf.DUMMYFUNCTION("IMPORTRANGE(""https://docs.google.com/spreadsheets/d/1IYY_tgx_IHuhSq3AJ5eI5OnqOPBNLWSHKh2a30DoXe8/edit?usp=sharing"",""สงขลา!I376"")"),27425)</f>
        <v>27425</v>
      </c>
      <c r="J481" s="426">
        <f ca="1">IFERROR(__xludf.DUMMYFUNCTION("IMPORTRANGE(""https://docs.google.com/spreadsheets/d/1IYY_tgx_IHuhSq3AJ5eI5OnqOPBNLWSHKh2a30DoXe8/edit?usp=sharing"",""สงขลา!J376"")"),0)</f>
        <v>0</v>
      </c>
      <c r="K481" s="209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3"/>
      <c r="F482" s="203"/>
      <c r="G482" s="204"/>
      <c r="H482" s="424" t="s">
        <v>36</v>
      </c>
      <c r="I482" s="425">
        <f ca="1">IFERROR(__xludf.DUMMYFUNCTION("IMPORTRANGE(""https://docs.google.com/spreadsheets/d/1IYY_tgx_IHuhSq3AJ5eI5OnqOPBNLWSHKh2a30DoXe8/edit?usp=sharing"",""สงขลา!I377"")"),3251)</f>
        <v>3251</v>
      </c>
      <c r="J482" s="426">
        <f ca="1">IFERROR(__xludf.DUMMYFUNCTION("IMPORTRANGE(""https://docs.google.com/spreadsheets/d/1IYY_tgx_IHuhSq3AJ5eI5OnqOPBNLWSHKh2a30DoXe8/edit?usp=sharing"",""สงขลา!J377"")"),0)</f>
        <v>0</v>
      </c>
      <c r="K482" s="169">
        <f t="shared" ca="1" si="117"/>
        <v>0</v>
      </c>
      <c r="L482" s="189"/>
      <c r="M482" s="189"/>
      <c r="N482" s="189"/>
      <c r="O482" s="189"/>
      <c r="P482" s="189"/>
    </row>
    <row r="483" spans="1:16" ht="21.75" customHeight="1" x14ac:dyDescent="0.35">
      <c r="A483" s="408"/>
      <c r="B483" s="409"/>
      <c r="C483" s="409"/>
      <c r="D483" s="410"/>
      <c r="E483" s="203"/>
      <c r="F483" s="202" t="s">
        <v>176</v>
      </c>
      <c r="G483" s="427"/>
      <c r="H483" s="428" t="s">
        <v>122</v>
      </c>
      <c r="I483" s="210">
        <f ca="1">IFERROR(__xludf.DUMMYFUNCTION("IMPORTRANGE(""https://docs.google.com/spreadsheets/d/1IYY_tgx_IHuhSq3AJ5eI5OnqOPBNLWSHKh2a30DoXe8/edit?usp=sharing"",""สงขลา!I378"")"),0)</f>
        <v>0</v>
      </c>
      <c r="J483" s="196">
        <f ca="1">IFERROR(__xludf.DUMMYFUNCTION("IMPORTRANGE(""https://docs.google.com/spreadsheets/d/1IYY_tgx_IHuhSq3AJ5eI5OnqOPBNLWSHKh2a30DoXe8/edit?usp=sharing"",""สงขลา!J378"")"),0)</f>
        <v>0</v>
      </c>
      <c r="K483" s="169">
        <f t="shared" ca="1" si="117"/>
        <v>0</v>
      </c>
      <c r="L483" s="189"/>
      <c r="M483" s="189"/>
      <c r="N483" s="189"/>
      <c r="O483" s="189"/>
      <c r="P483" s="189"/>
    </row>
    <row r="484" spans="1:16" ht="21.75" customHeight="1" x14ac:dyDescent="0.35">
      <c r="A484" s="408"/>
      <c r="B484" s="409"/>
      <c r="C484" s="409"/>
      <c r="D484" s="410"/>
      <c r="E484" s="203"/>
      <c r="F484" s="203"/>
      <c r="G484" s="427"/>
      <c r="H484" s="428" t="s">
        <v>36</v>
      </c>
      <c r="I484" s="210">
        <f ca="1">IFERROR(__xludf.DUMMYFUNCTION("IMPORTRANGE(""https://docs.google.com/spreadsheets/d/1IYY_tgx_IHuhSq3AJ5eI5OnqOPBNLWSHKh2a30DoXe8/edit?usp=sharing"",""สงขลา!I379"")"),0)</f>
        <v>0</v>
      </c>
      <c r="J484" s="196">
        <f ca="1">IFERROR(__xludf.DUMMYFUNCTION("IMPORTRANGE(""https://docs.google.com/spreadsheets/d/1IYY_tgx_IHuhSq3AJ5eI5OnqOPBNLWSHKh2a30DoXe8/edit?usp=sharing"",""สงขลา!J379"")"),0)</f>
        <v>0</v>
      </c>
      <c r="K484" s="169">
        <f t="shared" ca="1" si="117"/>
        <v>0</v>
      </c>
      <c r="L484" s="189"/>
      <c r="M484" s="189"/>
      <c r="N484" s="189"/>
      <c r="O484" s="189"/>
      <c r="P484" s="189"/>
    </row>
    <row r="485" spans="1:16" ht="21.75" customHeight="1" x14ac:dyDescent="0.35">
      <c r="A485" s="408"/>
      <c r="B485" s="409"/>
      <c r="C485" s="409"/>
      <c r="D485" s="410"/>
      <c r="E485" s="203"/>
      <c r="F485" s="202" t="s">
        <v>177</v>
      </c>
      <c r="G485" s="427"/>
      <c r="H485" s="428" t="s">
        <v>122</v>
      </c>
      <c r="I485" s="210">
        <f ca="1">IFERROR(__xludf.DUMMYFUNCTION("IMPORTRANGE(""https://docs.google.com/spreadsheets/d/1IYY_tgx_IHuhSq3AJ5eI5OnqOPBNLWSHKh2a30DoXe8/edit?usp=sharing"",""สงขลา!I380"")"),0)</f>
        <v>0</v>
      </c>
      <c r="J485" s="196">
        <f ca="1">IFERROR(__xludf.DUMMYFUNCTION("IMPORTRANGE(""https://docs.google.com/spreadsheets/d/1IYY_tgx_IHuhSq3AJ5eI5OnqOPBNLWSHKh2a30DoXe8/edit?usp=sharing"",""สงขลา!J380"")"),0)</f>
        <v>0</v>
      </c>
      <c r="K485" s="169">
        <f t="shared" ca="1" si="117"/>
        <v>0</v>
      </c>
      <c r="L485" s="189"/>
      <c r="M485" s="189"/>
      <c r="N485" s="189"/>
      <c r="O485" s="189"/>
      <c r="P485" s="189"/>
    </row>
    <row r="486" spans="1:16" ht="21.75" customHeight="1" x14ac:dyDescent="0.35">
      <c r="A486" s="408"/>
      <c r="B486" s="409"/>
      <c r="C486" s="409"/>
      <c r="D486" s="410"/>
      <c r="E486" s="203"/>
      <c r="F486" s="203"/>
      <c r="G486" s="427"/>
      <c r="H486" s="428" t="s">
        <v>36</v>
      </c>
      <c r="I486" s="210">
        <f ca="1">IFERROR(__xludf.DUMMYFUNCTION("IMPORTRANGE(""https://docs.google.com/spreadsheets/d/1IYY_tgx_IHuhSq3AJ5eI5OnqOPBNLWSHKh2a30DoXe8/edit?usp=sharing"",""สงขลา!I381"")"),0)</f>
        <v>0</v>
      </c>
      <c r="J486" s="196">
        <f ca="1">IFERROR(__xludf.DUMMYFUNCTION("IMPORTRANGE(""https://docs.google.com/spreadsheets/d/1IYY_tgx_IHuhSq3AJ5eI5OnqOPBNLWSHKh2a30DoXe8/edit?usp=sharing"",""สงขลา!J381"")"),0)</f>
        <v>0</v>
      </c>
      <c r="K486" s="169">
        <f t="shared" ca="1" si="117"/>
        <v>0</v>
      </c>
      <c r="L486" s="189"/>
      <c r="M486" s="189"/>
      <c r="N486" s="189"/>
      <c r="O486" s="189"/>
      <c r="P486" s="189"/>
    </row>
    <row r="487" spans="1:16" ht="21.75" customHeight="1" x14ac:dyDescent="0.35">
      <c r="A487" s="408"/>
      <c r="B487" s="409"/>
      <c r="C487" s="409"/>
      <c r="D487" s="410"/>
      <c r="E487" s="203"/>
      <c r="F487" s="202" t="s">
        <v>178</v>
      </c>
      <c r="G487" s="427"/>
      <c r="H487" s="428" t="s">
        <v>122</v>
      </c>
      <c r="I487" s="210">
        <f ca="1">IFERROR(__xludf.DUMMYFUNCTION("IMPORTRANGE(""https://docs.google.com/spreadsheets/d/1IYY_tgx_IHuhSq3AJ5eI5OnqOPBNLWSHKh2a30DoXe8/edit?usp=sharing"",""สงขลา!I382"")"),0)</f>
        <v>0</v>
      </c>
      <c r="J487" s="426">
        <f ca="1">IFERROR(__xludf.DUMMYFUNCTION("IMPORTRANGE(""https://docs.google.com/spreadsheets/d/1IYY_tgx_IHuhSq3AJ5eI5OnqOPBNLWSHKh2a30DoXe8/edit?usp=sharing"",""สงขลา!J382"")"),0)</f>
        <v>0</v>
      </c>
      <c r="K487" s="169">
        <f t="shared" ca="1" si="117"/>
        <v>0</v>
      </c>
      <c r="L487" s="189"/>
      <c r="M487" s="189"/>
      <c r="N487" s="189"/>
      <c r="O487" s="189"/>
      <c r="P487" s="189"/>
    </row>
    <row r="488" spans="1:16" ht="21.75" customHeight="1" x14ac:dyDescent="0.35">
      <c r="A488" s="408"/>
      <c r="B488" s="409"/>
      <c r="C488" s="409"/>
      <c r="D488" s="410"/>
      <c r="E488" s="203"/>
      <c r="F488" s="203"/>
      <c r="G488" s="203"/>
      <c r="H488" s="428" t="s">
        <v>36</v>
      </c>
      <c r="I488" s="210">
        <f ca="1">IFERROR(__xludf.DUMMYFUNCTION("IMPORTRANGE(""https://docs.google.com/spreadsheets/d/1IYY_tgx_IHuhSq3AJ5eI5OnqOPBNLWSHKh2a30DoXe8/edit?usp=sharing"",""สงขลา!I383"")"),0)</f>
        <v>0</v>
      </c>
      <c r="J488" s="426">
        <f ca="1">IFERROR(__xludf.DUMMYFUNCTION("IMPORTRANGE(""https://docs.google.com/spreadsheets/d/1IYY_tgx_IHuhSq3AJ5eI5OnqOPBNLWSHKh2a30DoXe8/edit?usp=sharing"",""สงขลา!J383"")"),0)</f>
        <v>0</v>
      </c>
      <c r="K488" s="169">
        <f t="shared" ca="1" si="117"/>
        <v>0</v>
      </c>
      <c r="L488" s="189"/>
      <c r="M488" s="189"/>
      <c r="N488" s="189"/>
      <c r="O488" s="189"/>
      <c r="P488" s="189"/>
    </row>
    <row r="489" spans="1:16" ht="21.75" customHeight="1" x14ac:dyDescent="0.35">
      <c r="A489" s="408"/>
      <c r="B489" s="409"/>
      <c r="C489" s="409"/>
      <c r="D489" s="410"/>
      <c r="E489" s="203"/>
      <c r="F489" s="203"/>
      <c r="G489" s="202" t="s">
        <v>179</v>
      </c>
      <c r="H489" s="428" t="s">
        <v>122</v>
      </c>
      <c r="I489" s="210">
        <f ca="1">IFERROR(__xludf.DUMMYFUNCTION("IMPORTRANGE(""https://docs.google.com/spreadsheets/d/1IYY_tgx_IHuhSq3AJ5eI5OnqOPBNLWSHKh2a30DoXe8/edit?usp=sharing"",""สงขลา!I384"")"),0)</f>
        <v>0</v>
      </c>
      <c r="J489" s="196">
        <f ca="1">IFERROR(__xludf.DUMMYFUNCTION("IMPORTRANGE(""https://docs.google.com/spreadsheets/d/1IYY_tgx_IHuhSq3AJ5eI5OnqOPBNLWSHKh2a30DoXe8/edit?usp=sharing"",""สงขลา!J384"")"),0)</f>
        <v>0</v>
      </c>
      <c r="K489" s="169">
        <f t="shared" ca="1" si="117"/>
        <v>0</v>
      </c>
      <c r="L489" s="189"/>
      <c r="M489" s="189"/>
      <c r="N489" s="189"/>
      <c r="O489" s="189"/>
      <c r="P489" s="189"/>
    </row>
    <row r="490" spans="1:16" ht="21.75" customHeight="1" x14ac:dyDescent="0.35">
      <c r="A490" s="408"/>
      <c r="B490" s="409"/>
      <c r="C490" s="409"/>
      <c r="D490" s="410"/>
      <c r="E490" s="203"/>
      <c r="F490" s="203"/>
      <c r="G490" s="203"/>
      <c r="H490" s="428" t="s">
        <v>36</v>
      </c>
      <c r="I490" s="210">
        <f ca="1">IFERROR(__xludf.DUMMYFUNCTION("IMPORTRANGE(""https://docs.google.com/spreadsheets/d/1IYY_tgx_IHuhSq3AJ5eI5OnqOPBNLWSHKh2a30DoXe8/edit?usp=sharing"",""สงขลา!I385"")"),0)</f>
        <v>0</v>
      </c>
      <c r="J490" s="196">
        <f ca="1">IFERROR(__xludf.DUMMYFUNCTION("IMPORTRANGE(""https://docs.google.com/spreadsheets/d/1IYY_tgx_IHuhSq3AJ5eI5OnqOPBNLWSHKh2a30DoXe8/edit?usp=sharing"",""สงขลา!J385"")"),0)</f>
        <v>0</v>
      </c>
      <c r="K490" s="169">
        <f t="shared" ca="1" si="117"/>
        <v>0</v>
      </c>
      <c r="L490" s="189"/>
      <c r="M490" s="189"/>
      <c r="N490" s="189"/>
      <c r="O490" s="189"/>
      <c r="P490" s="189"/>
    </row>
    <row r="491" spans="1:16" ht="21.75" customHeight="1" x14ac:dyDescent="0.35">
      <c r="A491" s="408"/>
      <c r="B491" s="409"/>
      <c r="C491" s="409"/>
      <c r="D491" s="410"/>
      <c r="E491" s="203"/>
      <c r="F491" s="203"/>
      <c r="G491" s="202" t="s">
        <v>180</v>
      </c>
      <c r="H491" s="428" t="s">
        <v>122</v>
      </c>
      <c r="I491" s="210">
        <f ca="1">IFERROR(__xludf.DUMMYFUNCTION("IMPORTRANGE(""https://docs.google.com/spreadsheets/d/1IYY_tgx_IHuhSq3AJ5eI5OnqOPBNLWSHKh2a30DoXe8/edit?usp=sharing"",""สงขลา!I386"")"),0)</f>
        <v>0</v>
      </c>
      <c r="J491" s="196">
        <f ca="1">IFERROR(__xludf.DUMMYFUNCTION("IMPORTRANGE(""https://docs.google.com/spreadsheets/d/1IYY_tgx_IHuhSq3AJ5eI5OnqOPBNLWSHKh2a30DoXe8/edit?usp=sharing"",""สงขลา!J386"")"),0)</f>
        <v>0</v>
      </c>
      <c r="K491" s="169">
        <f t="shared" ca="1" si="117"/>
        <v>0</v>
      </c>
      <c r="L491" s="189"/>
      <c r="M491" s="189"/>
      <c r="N491" s="189"/>
      <c r="O491" s="189"/>
      <c r="P491" s="189"/>
    </row>
    <row r="492" spans="1:16" ht="21.75" customHeight="1" x14ac:dyDescent="0.35">
      <c r="A492" s="408"/>
      <c r="B492" s="409"/>
      <c r="C492" s="409"/>
      <c r="D492" s="410"/>
      <c r="E492" s="203"/>
      <c r="F492" s="203"/>
      <c r="G492" s="204"/>
      <c r="H492" s="428" t="s">
        <v>36</v>
      </c>
      <c r="I492" s="210">
        <f ca="1">IFERROR(__xludf.DUMMYFUNCTION("IMPORTRANGE(""https://docs.google.com/spreadsheets/d/1IYY_tgx_IHuhSq3AJ5eI5OnqOPBNLWSHKh2a30DoXe8/edit?usp=sharing"",""สงขลา!I387"")"),0)</f>
        <v>0</v>
      </c>
      <c r="J492" s="196">
        <f ca="1">IFERROR(__xludf.DUMMYFUNCTION("IMPORTRANGE(""https://docs.google.com/spreadsheets/d/1IYY_tgx_IHuhSq3AJ5eI5OnqOPBNLWSHKh2a30DoXe8/edit?usp=sharing"",""สงขลา!J387"")"),0)</f>
        <v>0</v>
      </c>
      <c r="K492" s="169">
        <f t="shared" ca="1" si="117"/>
        <v>0</v>
      </c>
      <c r="L492" s="189"/>
      <c r="M492" s="189"/>
      <c r="N492" s="189"/>
      <c r="O492" s="189"/>
      <c r="P492" s="189"/>
    </row>
    <row r="493" spans="1:16" ht="21.75" customHeight="1" x14ac:dyDescent="0.35">
      <c r="A493" s="408"/>
      <c r="B493" s="409"/>
      <c r="C493" s="409"/>
      <c r="D493" s="410"/>
      <c r="E493" s="203"/>
      <c r="F493" s="202" t="s">
        <v>181</v>
      </c>
      <c r="G493" s="427"/>
      <c r="H493" s="428" t="s">
        <v>122</v>
      </c>
      <c r="I493" s="210">
        <f ca="1">IFERROR(__xludf.DUMMYFUNCTION("IMPORTRANGE(""https://docs.google.com/spreadsheets/d/1IYY_tgx_IHuhSq3AJ5eI5OnqOPBNLWSHKh2a30DoXe8/edit?usp=sharing"",""สงขลา!I388"")"),0)</f>
        <v>0</v>
      </c>
      <c r="J493" s="196">
        <f ca="1">IFERROR(__xludf.DUMMYFUNCTION("IMPORTRANGE(""https://docs.google.com/spreadsheets/d/1IYY_tgx_IHuhSq3AJ5eI5OnqOPBNLWSHKh2a30DoXe8/edit?usp=sharing"",""สงขลา!J388"")"),0)</f>
        <v>0</v>
      </c>
      <c r="K493" s="169">
        <f t="shared" ca="1" si="117"/>
        <v>0</v>
      </c>
      <c r="L493" s="189"/>
      <c r="M493" s="189"/>
      <c r="N493" s="189"/>
      <c r="O493" s="189"/>
      <c r="P493" s="189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IFERROR(__xludf.DUMMYFUNCTION("IMPORTRANGE(""https://docs.google.com/spreadsheets/d/1IYY_tgx_IHuhSq3AJ5eI5OnqOPBNLWSHKh2a30DoXe8/edit?usp=sharing"",""สงขลา!I389"")"),0)</f>
        <v>0</v>
      </c>
      <c r="J494" s="442">
        <f ca="1">IFERROR(__xludf.DUMMYFUNCTION("IMPORTRANGE(""https://docs.google.com/spreadsheets/d/1IYY_tgx_IHuhSq3AJ5eI5OnqOPBNLWSHKh2a30DoXe8/edit?usp=sharing"",""สงขลา!J389"")"),0)</f>
        <v>0</v>
      </c>
      <c r="K494" s="294">
        <f t="shared" ca="1" si="117"/>
        <v>0</v>
      </c>
      <c r="L494" s="252"/>
      <c r="M494" s="252"/>
      <c r="N494" s="252"/>
      <c r="O494" s="252"/>
      <c r="P494" s="252"/>
    </row>
    <row r="495" spans="1:16" ht="21.75" customHeight="1" x14ac:dyDescent="0.35">
      <c r="A495" s="408"/>
      <c r="B495" s="409"/>
      <c r="C495" s="409"/>
      <c r="D495" s="410"/>
      <c r="E495" s="203"/>
      <c r="F495" s="203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IFERROR(__xludf.DUMMYFUNCTION("IMPORTRANGE(""https://docs.google.com/spreadsheets/d/1IYY_tgx_IHuhSq3AJ5eI5OnqOPBNLWSHKh2a30DoXe8/edit?usp=sharing"",""สงขลา!I390"")"),0)</f>
        <v>0</v>
      </c>
      <c r="J495" s="442">
        <f ca="1">IFERROR(__xludf.DUMMYFUNCTION("IMPORTRANGE(""https://docs.google.com/spreadsheets/d/1IYY_tgx_IHuhSq3AJ5eI5OnqOPBNLWSHKh2a30DoXe8/edit?usp=sharing"",""สงขลา!J390"")"),0)</f>
        <v>0</v>
      </c>
      <c r="K495" s="169">
        <f t="shared" ca="1" si="117"/>
        <v>0</v>
      </c>
      <c r="L495" s="189"/>
      <c r="M495" s="189"/>
      <c r="N495" s="189"/>
      <c r="O495" s="189"/>
      <c r="P495" s="189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IFERROR(__xludf.DUMMYFUNCTION("IMPORTRANGE(""https://docs.google.com/spreadsheets/d/1IYY_tgx_IHuhSq3AJ5eI5OnqOPBNLWSHKh2a30DoXe8/edit?usp=sharing"",""สงขลา!I391"")"),0)</f>
        <v>0</v>
      </c>
      <c r="J496" s="442">
        <f ca="1">IFERROR(__xludf.DUMMYFUNCTION("IMPORTRANGE(""https://docs.google.com/spreadsheets/d/1IYY_tgx_IHuhSq3AJ5eI5OnqOPBNLWSHKh2a30DoXe8/edit?usp=sharing"",""สงขลา!J391"")"),0)</f>
        <v>0</v>
      </c>
      <c r="K496" s="294">
        <f t="shared" ca="1" si="117"/>
        <v>0</v>
      </c>
      <c r="L496" s="252"/>
      <c r="M496" s="252"/>
      <c r="N496" s="252"/>
      <c r="O496" s="252"/>
      <c r="P496" s="252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IFERROR(__xludf.DUMMYFUNCTION("IMPORTRANGE(""https://docs.google.com/spreadsheets/d/1IYY_tgx_IHuhSq3AJ5eI5OnqOPBNLWSHKh2a30DoXe8/edit?usp=sharing"",""สงขลา!I392"")"),292)</f>
        <v>292</v>
      </c>
      <c r="J497" s="449">
        <f ca="1">IFERROR(__xludf.DUMMYFUNCTION("IMPORTRANGE(""https://docs.google.com/spreadsheets/d/1IYY_tgx_IHuhSq3AJ5eI5OnqOPBNLWSHKh2a30DoXe8/edit?usp=sharing"",""สงขลา!J392"")"),174)</f>
        <v>174</v>
      </c>
      <c r="K497" s="450">
        <f t="shared" ca="1" si="117"/>
        <v>59.589041095890408</v>
      </c>
      <c r="L497" s="451"/>
      <c r="M497" s="451"/>
      <c r="N497" s="451"/>
      <c r="O497" s="451"/>
      <c r="P497" s="451"/>
    </row>
    <row r="498" spans="1:16" ht="21.75" customHeight="1" x14ac:dyDescent="0.35">
      <c r="A498" s="183"/>
      <c r="B498" s="184"/>
      <c r="C498" s="184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IFERROR(__xludf.DUMMYFUNCTION("IMPORTRANGE(""https://docs.google.com/spreadsheets/d/1IYY_tgx_IHuhSq3AJ5eI5OnqOPBNLWSHKh2a30DoXe8/edit?usp=sharing"",""สงขลา!I393"")"),292)</f>
        <v>292</v>
      </c>
      <c r="J498" s="426">
        <f ca="1">IFERROR(__xludf.DUMMYFUNCTION("IMPORTRANGE(""https://docs.google.com/spreadsheets/d/1IYY_tgx_IHuhSq3AJ5eI5OnqOPBNLWSHKh2a30DoXe8/edit?usp=sharing"",""สงขลา!J393"")"),174)</f>
        <v>174</v>
      </c>
      <c r="K498" s="169">
        <f t="shared" ca="1" si="117"/>
        <v>59.589041095890408</v>
      </c>
      <c r="L498" s="189"/>
      <c r="M498" s="189"/>
      <c r="N498" s="189"/>
      <c r="O498" s="189"/>
      <c r="P498" s="189"/>
    </row>
    <row r="499" spans="1:16" ht="21.75" customHeight="1" x14ac:dyDescent="0.35">
      <c r="A499" s="183"/>
      <c r="B499" s="184"/>
      <c r="C499" s="184"/>
      <c r="D499" s="201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IFERROR(__xludf.DUMMYFUNCTION("IMPORTRANGE(""https://docs.google.com/spreadsheets/d/1IYY_tgx_IHuhSq3AJ5eI5OnqOPBNLWSHKh2a30DoXe8/edit?usp=sharing"",""สงขลา!I394"")"),26)</f>
        <v>26</v>
      </c>
      <c r="J499" s="426">
        <f ca="1">IFERROR(__xludf.DUMMYFUNCTION("IMPORTRANGE(""https://docs.google.com/spreadsheets/d/1IYY_tgx_IHuhSq3AJ5eI5OnqOPBNLWSHKh2a30DoXe8/edit?usp=sharing"",""สงขลา!J394"")"),16)</f>
        <v>16</v>
      </c>
      <c r="K499" s="209">
        <f t="shared" ca="1" si="117"/>
        <v>61.53846153846154</v>
      </c>
      <c r="L499" s="189"/>
      <c r="M499" s="189"/>
      <c r="N499" s="189"/>
      <c r="O499" s="189"/>
      <c r="P499" s="189"/>
    </row>
    <row r="500" spans="1:16" ht="21.75" customHeight="1" x14ac:dyDescent="0.35">
      <c r="A500" s="183"/>
      <c r="B500" s="184"/>
      <c r="C500" s="184"/>
      <c r="D500" s="410"/>
      <c r="E500" s="410" t="s">
        <v>185</v>
      </c>
      <c r="F500" s="203"/>
      <c r="G500" s="204"/>
      <c r="H500" s="428" t="s">
        <v>122</v>
      </c>
      <c r="I500" s="210">
        <f ca="1">IFERROR(__xludf.DUMMYFUNCTION("IMPORTRANGE(""https://docs.google.com/spreadsheets/d/1IYY_tgx_IHuhSq3AJ5eI5OnqOPBNLWSHKh2a30DoXe8/edit?usp=sharing"",""สงขลา!I395"")"),0)</f>
        <v>0</v>
      </c>
      <c r="J500" s="168">
        <f ca="1">IFERROR(__xludf.DUMMYFUNCTION("IMPORTRANGE(""https://docs.google.com/spreadsheets/d/1IYY_tgx_IHuhSq3AJ5eI5OnqOPBNLWSHKh2a30DoXe8/edit?usp=sharing"",""สงขลา!J395"")"),156)</f>
        <v>156</v>
      </c>
      <c r="K500" s="169">
        <f t="shared" ca="1" si="117"/>
        <v>0</v>
      </c>
      <c r="L500" s="189"/>
      <c r="M500" s="189"/>
      <c r="N500" s="189"/>
      <c r="O500" s="189"/>
      <c r="P500" s="189"/>
    </row>
    <row r="501" spans="1:16" ht="21.75" customHeight="1" x14ac:dyDescent="0.35">
      <c r="A501" s="183"/>
      <c r="B501" s="184"/>
      <c r="C501" s="184"/>
      <c r="D501" s="201"/>
      <c r="E501" s="203"/>
      <c r="F501" s="203"/>
      <c r="G501" s="204"/>
      <c r="H501" s="428" t="s">
        <v>36</v>
      </c>
      <c r="I501" s="210">
        <f ca="1">IFERROR(__xludf.DUMMYFUNCTION("IMPORTRANGE(""https://docs.google.com/spreadsheets/d/1IYY_tgx_IHuhSq3AJ5eI5OnqOPBNLWSHKh2a30DoXe8/edit?usp=sharing"",""สงขลา!I396"")"),0)</f>
        <v>0</v>
      </c>
      <c r="J501" s="168">
        <f ca="1">IFERROR(__xludf.DUMMYFUNCTION("IMPORTRANGE(""https://docs.google.com/spreadsheets/d/1IYY_tgx_IHuhSq3AJ5eI5OnqOPBNLWSHKh2a30DoXe8/edit?usp=sharing"",""สงขลา!J396"")"),13)</f>
        <v>13</v>
      </c>
      <c r="K501" s="169">
        <f t="shared" ca="1" si="117"/>
        <v>0</v>
      </c>
      <c r="L501" s="189"/>
      <c r="M501" s="189"/>
      <c r="N501" s="189"/>
      <c r="O501" s="189"/>
      <c r="P501" s="189"/>
    </row>
    <row r="502" spans="1:16" ht="21.75" customHeight="1" x14ac:dyDescent="0.35">
      <c r="A502" s="183"/>
      <c r="B502" s="184"/>
      <c r="C502" s="184"/>
      <c r="D502" s="201"/>
      <c r="E502" s="203"/>
      <c r="F502" s="405" t="s">
        <v>186</v>
      </c>
      <c r="G502" s="427"/>
      <c r="H502" s="428" t="s">
        <v>122</v>
      </c>
      <c r="I502" s="210">
        <f ca="1">IFERROR(__xludf.DUMMYFUNCTION("IMPORTRANGE(""https://docs.google.com/spreadsheets/d/1IYY_tgx_IHuhSq3AJ5eI5OnqOPBNLWSHKh2a30DoXe8/edit?usp=sharing"",""สงขลา!I397"")"),0)</f>
        <v>0</v>
      </c>
      <c r="J502" s="196">
        <f ca="1">IFERROR(__xludf.DUMMYFUNCTION("IMPORTRANGE(""https://docs.google.com/spreadsheets/d/1IYY_tgx_IHuhSq3AJ5eI5OnqOPBNLWSHKh2a30DoXe8/edit?usp=sharing"",""สงขลา!J397"")"),156)</f>
        <v>156</v>
      </c>
      <c r="K502" s="169">
        <f t="shared" ca="1" si="117"/>
        <v>0</v>
      </c>
      <c r="L502" s="189"/>
      <c r="M502" s="189"/>
      <c r="N502" s="189"/>
      <c r="O502" s="189"/>
      <c r="P502" s="189"/>
    </row>
    <row r="503" spans="1:16" ht="21.75" customHeight="1" x14ac:dyDescent="0.35">
      <c r="A503" s="183"/>
      <c r="B503" s="184"/>
      <c r="C503" s="184"/>
      <c r="D503" s="201"/>
      <c r="E503" s="203"/>
      <c r="F503" s="203"/>
      <c r="G503" s="427"/>
      <c r="H503" s="428" t="s">
        <v>36</v>
      </c>
      <c r="I503" s="195">
        <f ca="1">IFERROR(__xludf.DUMMYFUNCTION("IMPORTRANGE(""https://docs.google.com/spreadsheets/d/1IYY_tgx_IHuhSq3AJ5eI5OnqOPBNLWSHKh2a30DoXe8/edit?usp=sharing"",""สงขลา!I398"")"),0)</f>
        <v>0</v>
      </c>
      <c r="J503" s="205">
        <f ca="1">IFERROR(__xludf.DUMMYFUNCTION("IMPORTRANGE(""https://docs.google.com/spreadsheets/d/1IYY_tgx_IHuhSq3AJ5eI5OnqOPBNLWSHKh2a30DoXe8/edit?usp=sharing"",""สงขลา!J398"")"),13)</f>
        <v>13</v>
      </c>
      <c r="K503" s="169">
        <f t="shared" ca="1" si="117"/>
        <v>0</v>
      </c>
      <c r="L503" s="189"/>
      <c r="M503" s="189"/>
      <c r="N503" s="189"/>
      <c r="O503" s="189"/>
      <c r="P503" s="189"/>
    </row>
    <row r="504" spans="1:16" ht="21.75" customHeight="1" x14ac:dyDescent="0.35">
      <c r="A504" s="183"/>
      <c r="B504" s="184"/>
      <c r="C504" s="184"/>
      <c r="D504" s="201"/>
      <c r="E504" s="203"/>
      <c r="F504" s="396" t="s">
        <v>187</v>
      </c>
      <c r="G504" s="427"/>
      <c r="H504" s="428" t="s">
        <v>122</v>
      </c>
      <c r="I504" s="211">
        <f ca="1">IFERROR(__xludf.DUMMYFUNCTION("IMPORTRANGE(""https://docs.google.com/spreadsheets/d/1IYY_tgx_IHuhSq3AJ5eI5OnqOPBNLWSHKh2a30DoXe8/edit?usp=sharing"",""สงขลา!I399"")"),0)</f>
        <v>0</v>
      </c>
      <c r="J504" s="196">
        <f ca="1">IFERROR(__xludf.DUMMYFUNCTION("IMPORTRANGE(""https://docs.google.com/spreadsheets/d/1IYY_tgx_IHuhSq3AJ5eI5OnqOPBNLWSHKh2a30DoXe8/edit?usp=sharing"",""สงขลา!J399"")"),0)</f>
        <v>0</v>
      </c>
      <c r="K504" s="169">
        <f t="shared" ca="1" si="117"/>
        <v>0</v>
      </c>
      <c r="L504" s="189"/>
      <c r="M504" s="189"/>
      <c r="N504" s="189"/>
      <c r="O504" s="189"/>
      <c r="P504" s="189"/>
    </row>
    <row r="505" spans="1:16" ht="21.75" customHeight="1" x14ac:dyDescent="0.35">
      <c r="A505" s="183"/>
      <c r="B505" s="184"/>
      <c r="C505" s="184"/>
      <c r="D505" s="201"/>
      <c r="E505" s="203"/>
      <c r="F505" s="203"/>
      <c r="G505" s="427"/>
      <c r="H505" s="428" t="s">
        <v>36</v>
      </c>
      <c r="I505" s="195">
        <f ca="1">IFERROR(__xludf.DUMMYFUNCTION("IMPORTRANGE(""https://docs.google.com/spreadsheets/d/1IYY_tgx_IHuhSq3AJ5eI5OnqOPBNLWSHKh2a30DoXe8/edit?usp=sharing"",""สงขลา!I400"")"),0)</f>
        <v>0</v>
      </c>
      <c r="J505" s="205">
        <f ca="1">IFERROR(__xludf.DUMMYFUNCTION("IMPORTRANGE(""https://docs.google.com/spreadsheets/d/1IYY_tgx_IHuhSq3AJ5eI5OnqOPBNLWSHKh2a30DoXe8/edit?usp=sharing"",""สงขลา!J400"")"),0)</f>
        <v>0</v>
      </c>
      <c r="K505" s="169">
        <f t="shared" ca="1" si="117"/>
        <v>0</v>
      </c>
      <c r="L505" s="189"/>
      <c r="M505" s="189"/>
      <c r="N505" s="189"/>
      <c r="O505" s="189"/>
      <c r="P505" s="189"/>
    </row>
    <row r="506" spans="1:16" ht="21.75" customHeight="1" x14ac:dyDescent="0.35">
      <c r="A506" s="183"/>
      <c r="B506" s="184"/>
      <c r="C506" s="184"/>
      <c r="D506" s="201"/>
      <c r="E506" s="203"/>
      <c r="F506" s="405" t="s">
        <v>188</v>
      </c>
      <c r="G506" s="427"/>
      <c r="H506" s="428" t="s">
        <v>122</v>
      </c>
      <c r="I506" s="211">
        <f ca="1">IFERROR(__xludf.DUMMYFUNCTION("IMPORTRANGE(""https://docs.google.com/spreadsheets/d/1IYY_tgx_IHuhSq3AJ5eI5OnqOPBNLWSHKh2a30DoXe8/edit?usp=sharing"",""สงขลา!I401"")"),0)</f>
        <v>0</v>
      </c>
      <c r="J506" s="196">
        <f ca="1">IFERROR(__xludf.DUMMYFUNCTION("IMPORTRANGE(""https://docs.google.com/spreadsheets/d/1IYY_tgx_IHuhSq3AJ5eI5OnqOPBNLWSHKh2a30DoXe8/edit?usp=sharing"",""สงขลา!J401"")"),0)</f>
        <v>0</v>
      </c>
      <c r="K506" s="169">
        <f t="shared" ca="1" si="117"/>
        <v>0</v>
      </c>
      <c r="L506" s="189"/>
      <c r="M506" s="189"/>
      <c r="N506" s="189"/>
      <c r="O506" s="189"/>
      <c r="P506" s="189"/>
    </row>
    <row r="507" spans="1:16" ht="21.75" customHeight="1" x14ac:dyDescent="0.35">
      <c r="A507" s="183"/>
      <c r="B507" s="184"/>
      <c r="C507" s="184"/>
      <c r="D507" s="201"/>
      <c r="E507" s="203"/>
      <c r="F507" s="203"/>
      <c r="G507" s="203"/>
      <c r="H507" s="428" t="s">
        <v>36</v>
      </c>
      <c r="I507" s="195">
        <f ca="1">IFERROR(__xludf.DUMMYFUNCTION("IMPORTRANGE(""https://docs.google.com/spreadsheets/d/1IYY_tgx_IHuhSq3AJ5eI5OnqOPBNLWSHKh2a30DoXe8/edit?usp=sharing"",""สงขลา!I402"")"),0)</f>
        <v>0</v>
      </c>
      <c r="J507" s="205">
        <f ca="1">IFERROR(__xludf.DUMMYFUNCTION("IMPORTRANGE(""https://docs.google.com/spreadsheets/d/1IYY_tgx_IHuhSq3AJ5eI5OnqOPBNLWSHKh2a30DoXe8/edit?usp=sharing"",""สงขลา!J402"")"),0)</f>
        <v>0</v>
      </c>
      <c r="K507" s="169">
        <f t="shared" ca="1" si="117"/>
        <v>0</v>
      </c>
      <c r="L507" s="189"/>
      <c r="M507" s="189"/>
      <c r="N507" s="189"/>
      <c r="O507" s="189"/>
      <c r="P507" s="189"/>
    </row>
    <row r="508" spans="1:16" ht="21.75" customHeight="1" x14ac:dyDescent="0.35">
      <c r="A508" s="183"/>
      <c r="B508" s="184"/>
      <c r="C508" s="184"/>
      <c r="D508" s="201"/>
      <c r="E508" s="202" t="s">
        <v>189</v>
      </c>
      <c r="F508" s="203"/>
      <c r="G508" s="427"/>
      <c r="H508" s="428" t="s">
        <v>122</v>
      </c>
      <c r="I508" s="195">
        <f ca="1">IFERROR(__xludf.DUMMYFUNCTION("IMPORTRANGE(""https://docs.google.com/spreadsheets/d/1IYY_tgx_IHuhSq3AJ5eI5OnqOPBNLWSHKh2a30DoXe8/edit?usp=sharing"",""สงขลา!I403"")"),0)</f>
        <v>0</v>
      </c>
      <c r="J508" s="168">
        <f ca="1">IFERROR(__xludf.DUMMYFUNCTION("IMPORTRANGE(""https://docs.google.com/spreadsheets/d/1IYY_tgx_IHuhSq3AJ5eI5OnqOPBNLWSHKh2a30DoXe8/edit?usp=sharing"",""สงขลา!J403"")"),18)</f>
        <v>18</v>
      </c>
      <c r="K508" s="169">
        <f t="shared" ca="1" si="117"/>
        <v>0</v>
      </c>
      <c r="L508" s="189"/>
      <c r="M508" s="189"/>
      <c r="N508" s="189"/>
      <c r="O508" s="189"/>
      <c r="P508" s="189"/>
    </row>
    <row r="509" spans="1:16" ht="21.75" customHeight="1" x14ac:dyDescent="0.35">
      <c r="A509" s="183"/>
      <c r="B509" s="184"/>
      <c r="C509" s="184"/>
      <c r="D509" s="201"/>
      <c r="E509" s="203"/>
      <c r="F509" s="203"/>
      <c r="G509" s="203"/>
      <c r="H509" s="428" t="s">
        <v>36</v>
      </c>
      <c r="I509" s="195">
        <f ca="1">IFERROR(__xludf.DUMMYFUNCTION("IMPORTRANGE(""https://docs.google.com/spreadsheets/d/1IYY_tgx_IHuhSq3AJ5eI5OnqOPBNLWSHKh2a30DoXe8/edit?usp=sharing"",""สงขลา!I404"")"),0)</f>
        <v>0</v>
      </c>
      <c r="J509" s="168">
        <f ca="1">IFERROR(__xludf.DUMMYFUNCTION("IMPORTRANGE(""https://docs.google.com/spreadsheets/d/1IYY_tgx_IHuhSq3AJ5eI5OnqOPBNLWSHKh2a30DoXe8/edit?usp=sharing"",""สงขลา!J404"")"),3)</f>
        <v>3</v>
      </c>
      <c r="K509" s="169">
        <f t="shared" ca="1" si="117"/>
        <v>0</v>
      </c>
      <c r="L509" s="189"/>
      <c r="M509" s="189"/>
      <c r="N509" s="189"/>
      <c r="O509" s="189"/>
      <c r="P509" s="189"/>
    </row>
    <row r="510" spans="1:16" ht="21.75" customHeight="1" x14ac:dyDescent="0.35">
      <c r="A510" s="183"/>
      <c r="B510" s="184"/>
      <c r="C510" s="184"/>
      <c r="D510" s="201"/>
      <c r="E510" s="203"/>
      <c r="F510" s="202" t="s">
        <v>190</v>
      </c>
      <c r="G510" s="203"/>
      <c r="H510" s="428" t="s">
        <v>122</v>
      </c>
      <c r="I510" s="195">
        <f ca="1">IFERROR(__xludf.DUMMYFUNCTION("IMPORTRANGE(""https://docs.google.com/spreadsheets/d/1IYY_tgx_IHuhSq3AJ5eI5OnqOPBNLWSHKh2a30DoXe8/edit?usp=sharing"",""สงขลา!I405"")"),0)</f>
        <v>0</v>
      </c>
      <c r="J510" s="205">
        <f ca="1">IFERROR(__xludf.DUMMYFUNCTION("IMPORTRANGE(""https://docs.google.com/spreadsheets/d/1IYY_tgx_IHuhSq3AJ5eI5OnqOPBNLWSHKh2a30DoXe8/edit?usp=sharing"",""สงขลา!J405"")"),18)</f>
        <v>18</v>
      </c>
      <c r="K510" s="169">
        <f t="shared" ca="1" si="117"/>
        <v>0</v>
      </c>
      <c r="L510" s="189"/>
      <c r="M510" s="189"/>
      <c r="N510" s="189"/>
      <c r="O510" s="189"/>
      <c r="P510" s="189"/>
    </row>
    <row r="511" spans="1:16" ht="21.75" customHeight="1" x14ac:dyDescent="0.35">
      <c r="A511" s="183"/>
      <c r="B511" s="184"/>
      <c r="C511" s="184"/>
      <c r="D511" s="201"/>
      <c r="E511" s="203"/>
      <c r="F511" s="203"/>
      <c r="G511" s="203"/>
      <c r="H511" s="428" t="s">
        <v>36</v>
      </c>
      <c r="I511" s="195">
        <f ca="1">IFERROR(__xludf.DUMMYFUNCTION("IMPORTRANGE(""https://docs.google.com/spreadsheets/d/1IYY_tgx_IHuhSq3AJ5eI5OnqOPBNLWSHKh2a30DoXe8/edit?usp=sharing"",""สงขลา!I406"")"),0)</f>
        <v>0</v>
      </c>
      <c r="J511" s="205">
        <f ca="1">IFERROR(__xludf.DUMMYFUNCTION("IMPORTRANGE(""https://docs.google.com/spreadsheets/d/1IYY_tgx_IHuhSq3AJ5eI5OnqOPBNLWSHKh2a30DoXe8/edit?usp=sharing"",""สงขลา!J406"")"),3)</f>
        <v>3</v>
      </c>
      <c r="K511" s="169">
        <f t="shared" ca="1" si="117"/>
        <v>0</v>
      </c>
      <c r="L511" s="189"/>
      <c r="M511" s="189"/>
      <c r="N511" s="189"/>
      <c r="O511" s="189"/>
      <c r="P511" s="189"/>
    </row>
    <row r="512" spans="1:16" ht="21.75" customHeight="1" x14ac:dyDescent="0.35">
      <c r="A512" s="183"/>
      <c r="B512" s="184"/>
      <c r="C512" s="184"/>
      <c r="D512" s="201"/>
      <c r="E512" s="203"/>
      <c r="F512" s="202" t="s">
        <v>191</v>
      </c>
      <c r="G512" s="203"/>
      <c r="H512" s="428" t="s">
        <v>122</v>
      </c>
      <c r="I512" s="195">
        <f ca="1">IFERROR(__xludf.DUMMYFUNCTION("IMPORTRANGE(""https://docs.google.com/spreadsheets/d/1IYY_tgx_IHuhSq3AJ5eI5OnqOPBNLWSHKh2a30DoXe8/edit?usp=sharing"",""สงขลา!I407"")"),0)</f>
        <v>0</v>
      </c>
      <c r="J512" s="205">
        <f ca="1">IFERROR(__xludf.DUMMYFUNCTION("IMPORTRANGE(""https://docs.google.com/spreadsheets/d/1IYY_tgx_IHuhSq3AJ5eI5OnqOPBNLWSHKh2a30DoXe8/edit?usp=sharing"",""สงขลา!J407"")"),0)</f>
        <v>0</v>
      </c>
      <c r="K512" s="169">
        <f t="shared" ca="1" si="117"/>
        <v>0</v>
      </c>
      <c r="L512" s="189"/>
      <c r="M512" s="189"/>
      <c r="N512" s="189"/>
      <c r="O512" s="189"/>
      <c r="P512" s="189"/>
    </row>
    <row r="513" spans="1:16" ht="21.75" customHeight="1" x14ac:dyDescent="0.35">
      <c r="A513" s="183"/>
      <c r="B513" s="184"/>
      <c r="C513" s="184"/>
      <c r="D513" s="201"/>
      <c r="E513" s="203"/>
      <c r="F513" s="203"/>
      <c r="G513" s="204"/>
      <c r="H513" s="428" t="s">
        <v>36</v>
      </c>
      <c r="I513" s="195">
        <f ca="1">IFERROR(__xludf.DUMMYFUNCTION("IMPORTRANGE(""https://docs.google.com/spreadsheets/d/1IYY_tgx_IHuhSq3AJ5eI5OnqOPBNLWSHKh2a30DoXe8/edit?usp=sharing"",""สงขลา!I408"")"),0)</f>
        <v>0</v>
      </c>
      <c r="J513" s="205">
        <f ca="1">IFERROR(__xludf.DUMMYFUNCTION("IMPORTRANGE(""https://docs.google.com/spreadsheets/d/1IYY_tgx_IHuhSq3AJ5eI5OnqOPBNLWSHKh2a30DoXe8/edit?usp=sharing"",""สงขลา!J408"")"),0)</f>
        <v>0</v>
      </c>
      <c r="K513" s="169">
        <f t="shared" ca="1" si="117"/>
        <v>0</v>
      </c>
      <c r="L513" s="189"/>
      <c r="M513" s="189"/>
      <c r="N513" s="189"/>
      <c r="O513" s="189"/>
      <c r="P513" s="189"/>
    </row>
    <row r="514" spans="1:16" ht="21.75" customHeight="1" x14ac:dyDescent="0.35">
      <c r="A514" s="183"/>
      <c r="B514" s="184"/>
      <c r="C514" s="184"/>
      <c r="D514" s="410"/>
      <c r="E514" s="456" t="s">
        <v>192</v>
      </c>
      <c r="F514" s="203"/>
      <c r="G514" s="204"/>
      <c r="H514" s="428" t="s">
        <v>122</v>
      </c>
      <c r="I514" s="195">
        <f ca="1">IFERROR(__xludf.DUMMYFUNCTION("IMPORTRANGE(""https://docs.google.com/spreadsheets/d/1IYY_tgx_IHuhSq3AJ5eI5OnqOPBNLWSHKh2a30DoXe8/edit?usp=sharing"",""สงขลา!I409"")"),0)</f>
        <v>0</v>
      </c>
      <c r="J514" s="205">
        <f ca="1">IFERROR(__xludf.DUMMYFUNCTION("IMPORTRANGE(""https://docs.google.com/spreadsheets/d/1IYY_tgx_IHuhSq3AJ5eI5OnqOPBNLWSHKh2a30DoXe8/edit?usp=sharing"",""สงขลา!J409"")"),0)</f>
        <v>0</v>
      </c>
      <c r="K514" s="169">
        <f t="shared" ca="1" si="117"/>
        <v>0</v>
      </c>
      <c r="L514" s="189"/>
      <c r="M514" s="189"/>
      <c r="N514" s="189"/>
      <c r="O514" s="189"/>
      <c r="P514" s="189"/>
    </row>
    <row r="515" spans="1:16" ht="21.75" customHeight="1" x14ac:dyDescent="0.35">
      <c r="A515" s="183"/>
      <c r="B515" s="184"/>
      <c r="C515" s="184"/>
      <c r="D515" s="201"/>
      <c r="E515" s="203"/>
      <c r="F515" s="203"/>
      <c r="G515" s="204"/>
      <c r="H515" s="428" t="s">
        <v>36</v>
      </c>
      <c r="I515" s="195">
        <f ca="1">IFERROR(__xludf.DUMMYFUNCTION("IMPORTRANGE(""https://docs.google.com/spreadsheets/d/1IYY_tgx_IHuhSq3AJ5eI5OnqOPBNLWSHKh2a30DoXe8/edit?usp=sharing"",""สงขลา!I410"")"),0)</f>
        <v>0</v>
      </c>
      <c r="J515" s="205">
        <f ca="1">IFERROR(__xludf.DUMMYFUNCTION("IMPORTRANGE(""https://docs.google.com/spreadsheets/d/1IYY_tgx_IHuhSq3AJ5eI5OnqOPBNLWSHKh2a30DoXe8/edit?usp=sharing"",""สงขลา!J410"")"),0)</f>
        <v>0</v>
      </c>
      <c r="K515" s="169">
        <f t="shared" ca="1" si="117"/>
        <v>0</v>
      </c>
      <c r="L515" s="189"/>
      <c r="M515" s="189"/>
      <c r="N515" s="189"/>
      <c r="O515" s="189"/>
      <c r="P515" s="189"/>
    </row>
    <row r="516" spans="1:16" ht="21.75" customHeight="1" x14ac:dyDescent="0.35">
      <c r="A516" s="183"/>
      <c r="B516" s="184"/>
      <c r="C516" s="421" t="s">
        <v>193</v>
      </c>
      <c r="D516" s="421"/>
      <c r="E516" s="457"/>
      <c r="F516" s="457"/>
      <c r="G516" s="458"/>
      <c r="H516" s="459" t="s">
        <v>122</v>
      </c>
      <c r="I516" s="274">
        <f ca="1">IFERROR(__xludf.DUMMYFUNCTION("IMPORTRANGE(""https://docs.google.com/spreadsheets/d/1IYY_tgx_IHuhSq3AJ5eI5OnqOPBNLWSHKh2a30DoXe8/edit?usp=sharing"",""สงขลา!I411"")"),0)</f>
        <v>0</v>
      </c>
      <c r="J516" s="274">
        <f ca="1">IFERROR(__xludf.DUMMYFUNCTION("IMPORTRANGE(""https://docs.google.com/spreadsheets/d/1IYY_tgx_IHuhSq3AJ5eI5OnqOPBNLWSHKh2a30DoXe8/edit?usp=sharing"",""สงขลา!J411"")"),0)</f>
        <v>0</v>
      </c>
      <c r="K516" s="275">
        <v>0</v>
      </c>
      <c r="L516" s="189"/>
      <c r="M516" s="189"/>
      <c r="N516" s="189"/>
      <c r="O516" s="189"/>
      <c r="P516" s="189"/>
    </row>
    <row r="517" spans="1:16" ht="21.75" customHeight="1" x14ac:dyDescent="0.35">
      <c r="A517" s="183"/>
      <c r="B517" s="184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IFERROR(__xludf.DUMMYFUNCTION("IMPORTRANGE(""https://docs.google.com/spreadsheets/d/1IYY_tgx_IHuhSq3AJ5eI5OnqOPBNLWSHKh2a30DoXe8/edit?usp=sharing"",""สงขลา!I412"")"),0)</f>
        <v>0</v>
      </c>
      <c r="J517" s="290">
        <f ca="1">IFERROR(__xludf.DUMMYFUNCTION("IMPORTRANGE(""https://docs.google.com/spreadsheets/d/1IYY_tgx_IHuhSq3AJ5eI5OnqOPBNLWSHKh2a30DoXe8/edit?usp=sharing"",""สงขลา!J412"")"),0)</f>
        <v>0</v>
      </c>
      <c r="K517" s="291">
        <v>0</v>
      </c>
      <c r="L517" s="189"/>
      <c r="M517" s="189"/>
      <c r="N517" s="189"/>
      <c r="O517" s="189"/>
      <c r="P517" s="189"/>
    </row>
    <row r="518" spans="1:16" ht="21.75" customHeight="1" x14ac:dyDescent="0.35">
      <c r="A518" s="183"/>
      <c r="B518" s="184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IFERROR(__xludf.DUMMYFUNCTION("IMPORTRANGE(""https://docs.google.com/spreadsheets/d/1IYY_tgx_IHuhSq3AJ5eI5OnqOPBNLWSHKh2a30DoXe8/edit?usp=sharing"",""สงขลา!I413"")"),0)</f>
        <v>0</v>
      </c>
      <c r="J518" s="290">
        <f ca="1">IFERROR(__xludf.DUMMYFUNCTION("IMPORTRANGE(""https://docs.google.com/spreadsheets/d/1IYY_tgx_IHuhSq3AJ5eI5OnqOPBNLWSHKh2a30DoXe8/edit?usp=sharing"",""สงขลา!J413"")"),0)</f>
        <v>0</v>
      </c>
      <c r="K518" s="291">
        <v>0</v>
      </c>
      <c r="L518" s="189"/>
      <c r="M518" s="189"/>
      <c r="N518" s="189"/>
      <c r="O518" s="189"/>
      <c r="P518" s="189"/>
    </row>
    <row r="519" spans="1:16" ht="21.75" customHeight="1" x14ac:dyDescent="0.35">
      <c r="A519" s="183"/>
      <c r="B519" s="184"/>
      <c r="C519" s="184"/>
      <c r="D519" s="201"/>
      <c r="E519" s="203"/>
      <c r="F519" s="203"/>
      <c r="G519" s="233" t="s">
        <v>196</v>
      </c>
      <c r="H519" s="428" t="s">
        <v>122</v>
      </c>
      <c r="I519" s="195">
        <f ca="1">IFERROR(__xludf.DUMMYFUNCTION("IMPORTRANGE(""https://docs.google.com/spreadsheets/d/1IYY_tgx_IHuhSq3AJ5eI5OnqOPBNLWSHKh2a30DoXe8/edit?usp=sharing"",""สงขลา!I414"")"),0)</f>
        <v>0</v>
      </c>
      <c r="J519" s="195">
        <f ca="1">IFERROR(__xludf.DUMMYFUNCTION("IMPORTRANGE(""https://docs.google.com/spreadsheets/d/1IYY_tgx_IHuhSq3AJ5eI5OnqOPBNLWSHKh2a30DoXe8/edit?usp=sharing"",""สงขลา!J414"")"),0)</f>
        <v>0</v>
      </c>
      <c r="K519" s="169">
        <v>0</v>
      </c>
      <c r="L519" s="189"/>
      <c r="M519" s="189"/>
      <c r="N519" s="189"/>
      <c r="O519" s="189"/>
      <c r="P519" s="189"/>
    </row>
    <row r="520" spans="1:16" ht="21.75" customHeight="1" x14ac:dyDescent="0.35">
      <c r="A520" s="183"/>
      <c r="B520" s="184"/>
      <c r="C520" s="184"/>
      <c r="D520" s="201"/>
      <c r="E520" s="203"/>
      <c r="F520" s="203"/>
      <c r="G520" s="204"/>
      <c r="H520" s="428" t="s">
        <v>36</v>
      </c>
      <c r="I520" s="195">
        <f ca="1">IFERROR(__xludf.DUMMYFUNCTION("IMPORTRANGE(""https://docs.google.com/spreadsheets/d/1IYY_tgx_IHuhSq3AJ5eI5OnqOPBNLWSHKh2a30DoXe8/edit?usp=sharing"",""สงขลา!I415"")"),0)</f>
        <v>0</v>
      </c>
      <c r="J520" s="195">
        <f ca="1">IFERROR(__xludf.DUMMYFUNCTION("IMPORTRANGE(""https://docs.google.com/spreadsheets/d/1IYY_tgx_IHuhSq3AJ5eI5OnqOPBNLWSHKh2a30DoXe8/edit?usp=sharing"",""สงขลา!J415"")"),0)</f>
        <v>0</v>
      </c>
      <c r="K520" s="169">
        <v>0</v>
      </c>
      <c r="L520" s="189"/>
      <c r="M520" s="189"/>
      <c r="N520" s="189"/>
      <c r="O520" s="189"/>
      <c r="P520" s="189"/>
    </row>
    <row r="521" spans="1:16" ht="21.75" customHeight="1" x14ac:dyDescent="0.35">
      <c r="A521" s="183"/>
      <c r="B521" s="184"/>
      <c r="C521" s="184"/>
      <c r="D521" s="201"/>
      <c r="E521" s="203"/>
      <c r="F521" s="203"/>
      <c r="G521" s="233" t="s">
        <v>197</v>
      </c>
      <c r="H521" s="428" t="s">
        <v>122</v>
      </c>
      <c r="I521" s="195">
        <f ca="1">IFERROR(__xludf.DUMMYFUNCTION("IMPORTRANGE(""https://docs.google.com/spreadsheets/d/1IYY_tgx_IHuhSq3AJ5eI5OnqOPBNLWSHKh2a30DoXe8/edit?usp=sharing"",""สงขลา!I416"")"),0)</f>
        <v>0</v>
      </c>
      <c r="J521" s="195">
        <f ca="1">IFERROR(__xludf.DUMMYFUNCTION("IMPORTRANGE(""https://docs.google.com/spreadsheets/d/1IYY_tgx_IHuhSq3AJ5eI5OnqOPBNLWSHKh2a30DoXe8/edit?usp=sharing"",""สงขลา!J416"")"),0)</f>
        <v>0</v>
      </c>
      <c r="K521" s="169">
        <v>0</v>
      </c>
      <c r="L521" s="189"/>
      <c r="M521" s="189"/>
      <c r="N521" s="189"/>
      <c r="O521" s="189"/>
      <c r="P521" s="189"/>
    </row>
    <row r="522" spans="1:16" ht="21.75" customHeight="1" x14ac:dyDescent="0.35">
      <c r="A522" s="183"/>
      <c r="B522" s="184"/>
      <c r="C522" s="184"/>
      <c r="D522" s="201"/>
      <c r="E522" s="203"/>
      <c r="F522" s="203"/>
      <c r="G522" s="204"/>
      <c r="H522" s="428" t="s">
        <v>36</v>
      </c>
      <c r="I522" s="195">
        <f ca="1">IFERROR(__xludf.DUMMYFUNCTION("IMPORTRANGE(""https://docs.google.com/spreadsheets/d/1IYY_tgx_IHuhSq3AJ5eI5OnqOPBNLWSHKh2a30DoXe8/edit?usp=sharing"",""สงขลา!I417"")"),0)</f>
        <v>0</v>
      </c>
      <c r="J522" s="195">
        <f ca="1">IFERROR(__xludf.DUMMYFUNCTION("IMPORTRANGE(""https://docs.google.com/spreadsheets/d/1IYY_tgx_IHuhSq3AJ5eI5OnqOPBNLWSHKh2a30DoXe8/edit?usp=sharing"",""สงขลา!J417"")"),0)</f>
        <v>0</v>
      </c>
      <c r="K522" s="169">
        <v>0</v>
      </c>
      <c r="L522" s="189"/>
      <c r="M522" s="189"/>
      <c r="N522" s="189"/>
      <c r="O522" s="189"/>
      <c r="P522" s="189"/>
    </row>
    <row r="523" spans="1:16" ht="21.75" customHeight="1" x14ac:dyDescent="0.35">
      <c r="A523" s="183"/>
      <c r="B523" s="184"/>
      <c r="C523" s="184"/>
      <c r="D523" s="201"/>
      <c r="E523" s="203"/>
      <c r="F523" s="203"/>
      <c r="G523" s="464" t="s">
        <v>198</v>
      </c>
      <c r="H523" s="428" t="s">
        <v>122</v>
      </c>
      <c r="I523" s="195">
        <f ca="1">IFERROR(__xludf.DUMMYFUNCTION("IMPORTRANGE(""https://docs.google.com/spreadsheets/d/1IYY_tgx_IHuhSq3AJ5eI5OnqOPBNLWSHKh2a30DoXe8/edit?usp=sharing"",""สงขลา!I418"")"),0)</f>
        <v>0</v>
      </c>
      <c r="J523" s="195">
        <f ca="1">IFERROR(__xludf.DUMMYFUNCTION("IMPORTRANGE(""https://docs.google.com/spreadsheets/d/1IYY_tgx_IHuhSq3AJ5eI5OnqOPBNLWSHKh2a30DoXe8/edit?usp=sharing"",""สงขลา!J418"")"),0)</f>
        <v>0</v>
      </c>
      <c r="K523" s="169">
        <v>0</v>
      </c>
      <c r="L523" s="189"/>
      <c r="M523" s="189"/>
      <c r="N523" s="189"/>
      <c r="O523" s="189"/>
      <c r="P523" s="189"/>
    </row>
    <row r="524" spans="1:16" ht="21.75" customHeight="1" x14ac:dyDescent="0.35">
      <c r="A524" s="183"/>
      <c r="B524" s="184"/>
      <c r="C524" s="184"/>
      <c r="D524" s="201"/>
      <c r="E524" s="203"/>
      <c r="F524" s="203"/>
      <c r="G524" s="204"/>
      <c r="H524" s="428" t="s">
        <v>36</v>
      </c>
      <c r="I524" s="195">
        <f ca="1">IFERROR(__xludf.DUMMYFUNCTION("IMPORTRANGE(""https://docs.google.com/spreadsheets/d/1IYY_tgx_IHuhSq3AJ5eI5OnqOPBNLWSHKh2a30DoXe8/edit?usp=sharing"",""สงขลา!I419"")"),0)</f>
        <v>0</v>
      </c>
      <c r="J524" s="195">
        <f ca="1">IFERROR(__xludf.DUMMYFUNCTION("IMPORTRANGE(""https://docs.google.com/spreadsheets/d/1IYY_tgx_IHuhSq3AJ5eI5OnqOPBNLWSHKh2a30DoXe8/edit?usp=sharing"",""สงขลา!J419"")"),0)</f>
        <v>0</v>
      </c>
      <c r="K524" s="169">
        <v>0</v>
      </c>
      <c r="L524" s="189"/>
      <c r="M524" s="189"/>
      <c r="N524" s="189"/>
      <c r="O524" s="189"/>
      <c r="P524" s="189"/>
    </row>
    <row r="525" spans="1:16" ht="21.75" customHeight="1" x14ac:dyDescent="0.35">
      <c r="A525" s="183"/>
      <c r="B525" s="184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IFERROR(__xludf.DUMMYFUNCTION("IMPORTRANGE(""https://docs.google.com/spreadsheets/d/1IYY_tgx_IHuhSq3AJ5eI5OnqOPBNLWSHKh2a30DoXe8/edit?usp=sharing"",""สงขลา!I420"")"),0)</f>
        <v>0</v>
      </c>
      <c r="J525" s="290">
        <f ca="1">IFERROR(__xludf.DUMMYFUNCTION("IMPORTRANGE(""https://docs.google.com/spreadsheets/d/1IYY_tgx_IHuhSq3AJ5eI5OnqOPBNLWSHKh2a30DoXe8/edit?usp=sharing"",""สงขลา!J420"")"),0)</f>
        <v>0</v>
      </c>
      <c r="K525" s="291">
        <v>0</v>
      </c>
      <c r="L525" s="189"/>
      <c r="M525" s="189"/>
      <c r="N525" s="189"/>
      <c r="O525" s="189"/>
      <c r="P525" s="189"/>
    </row>
    <row r="526" spans="1:16" ht="21.75" customHeight="1" x14ac:dyDescent="0.35">
      <c r="A526" s="183"/>
      <c r="B526" s="184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IFERROR(__xludf.DUMMYFUNCTION("IMPORTRANGE(""https://docs.google.com/spreadsheets/d/1IYY_tgx_IHuhSq3AJ5eI5OnqOPBNLWSHKh2a30DoXe8/edit?usp=sharing"",""สงขลา!I421"")"),0)</f>
        <v>0</v>
      </c>
      <c r="J526" s="290">
        <f ca="1">IFERROR(__xludf.DUMMYFUNCTION("IMPORTRANGE(""https://docs.google.com/spreadsheets/d/1IYY_tgx_IHuhSq3AJ5eI5OnqOPBNLWSHKh2a30DoXe8/edit?usp=sharing"",""สงขลา!J421"")"),0)</f>
        <v>0</v>
      </c>
      <c r="K526" s="291">
        <v>0</v>
      </c>
      <c r="L526" s="189"/>
      <c r="M526" s="189"/>
      <c r="N526" s="189"/>
      <c r="O526" s="189"/>
      <c r="P526" s="189"/>
    </row>
    <row r="527" spans="1:16" ht="21.75" customHeight="1" x14ac:dyDescent="0.35">
      <c r="A527" s="183"/>
      <c r="B527" s="184"/>
      <c r="C527" s="184"/>
      <c r="D527" s="201"/>
      <c r="E527" s="203"/>
      <c r="F527" s="203"/>
      <c r="G527" s="233" t="s">
        <v>196</v>
      </c>
      <c r="H527" s="428" t="s">
        <v>122</v>
      </c>
      <c r="I527" s="195">
        <f ca="1">IFERROR(__xludf.DUMMYFUNCTION("IMPORTRANGE(""https://docs.google.com/spreadsheets/d/1IYY_tgx_IHuhSq3AJ5eI5OnqOPBNLWSHKh2a30DoXe8/edit?usp=sharing"",""สงขลา!I422"")"),0)</f>
        <v>0</v>
      </c>
      <c r="J527" s="205">
        <f ca="1">IFERROR(__xludf.DUMMYFUNCTION("IMPORTRANGE(""https://docs.google.com/spreadsheets/d/1IYY_tgx_IHuhSq3AJ5eI5OnqOPBNLWSHKh2a30DoXe8/edit?usp=sharing"",""สงขลา!J422"")"),0)</f>
        <v>0</v>
      </c>
      <c r="K527" s="169">
        <v>0</v>
      </c>
      <c r="L527" s="189"/>
      <c r="M527" s="189"/>
      <c r="N527" s="189"/>
      <c r="O527" s="189"/>
      <c r="P527" s="189"/>
    </row>
    <row r="528" spans="1:16" ht="21.75" customHeight="1" x14ac:dyDescent="0.35">
      <c r="A528" s="183"/>
      <c r="B528" s="184"/>
      <c r="C528" s="184"/>
      <c r="D528" s="201"/>
      <c r="E528" s="203"/>
      <c r="F528" s="203"/>
      <c r="G528" s="204"/>
      <c r="H528" s="428" t="s">
        <v>36</v>
      </c>
      <c r="I528" s="195">
        <f ca="1">IFERROR(__xludf.DUMMYFUNCTION("IMPORTRANGE(""https://docs.google.com/spreadsheets/d/1IYY_tgx_IHuhSq3AJ5eI5OnqOPBNLWSHKh2a30DoXe8/edit?usp=sharing"",""สงขลา!I423"")"),0)</f>
        <v>0</v>
      </c>
      <c r="J528" s="205">
        <f ca="1">IFERROR(__xludf.DUMMYFUNCTION("IMPORTRANGE(""https://docs.google.com/spreadsheets/d/1IYY_tgx_IHuhSq3AJ5eI5OnqOPBNLWSHKh2a30DoXe8/edit?usp=sharing"",""สงขลา!J423"")"),0)</f>
        <v>0</v>
      </c>
      <c r="K528" s="169">
        <v>0</v>
      </c>
      <c r="L528" s="189"/>
      <c r="M528" s="189"/>
      <c r="N528" s="189"/>
      <c r="O528" s="189"/>
      <c r="P528" s="189"/>
    </row>
    <row r="529" spans="1:16" ht="21.75" customHeight="1" x14ac:dyDescent="0.35">
      <c r="A529" s="183"/>
      <c r="B529" s="184"/>
      <c r="C529" s="184"/>
      <c r="D529" s="201"/>
      <c r="E529" s="203"/>
      <c r="F529" s="203"/>
      <c r="G529" s="233" t="s">
        <v>197</v>
      </c>
      <c r="H529" s="428" t="s">
        <v>122</v>
      </c>
      <c r="I529" s="195">
        <f ca="1">IFERROR(__xludf.DUMMYFUNCTION("IMPORTRANGE(""https://docs.google.com/spreadsheets/d/1IYY_tgx_IHuhSq3AJ5eI5OnqOPBNLWSHKh2a30DoXe8/edit?usp=sharing"",""สงขลา!I424"")"),0)</f>
        <v>0</v>
      </c>
      <c r="J529" s="205">
        <f ca="1">IFERROR(__xludf.DUMMYFUNCTION("IMPORTRANGE(""https://docs.google.com/spreadsheets/d/1IYY_tgx_IHuhSq3AJ5eI5OnqOPBNLWSHKh2a30DoXe8/edit?usp=sharing"",""สงขลา!J424"")"),0)</f>
        <v>0</v>
      </c>
      <c r="K529" s="169">
        <v>0</v>
      </c>
      <c r="L529" s="189"/>
      <c r="M529" s="189"/>
      <c r="N529" s="189"/>
      <c r="O529" s="189"/>
      <c r="P529" s="189"/>
    </row>
    <row r="530" spans="1:16" ht="21.75" customHeight="1" x14ac:dyDescent="0.35">
      <c r="A530" s="183"/>
      <c r="B530" s="184"/>
      <c r="C530" s="184"/>
      <c r="D530" s="201"/>
      <c r="E530" s="203"/>
      <c r="F530" s="203"/>
      <c r="G530" s="204"/>
      <c r="H530" s="428" t="s">
        <v>36</v>
      </c>
      <c r="I530" s="195">
        <f ca="1">IFERROR(__xludf.DUMMYFUNCTION("IMPORTRANGE(""https://docs.google.com/spreadsheets/d/1IYY_tgx_IHuhSq3AJ5eI5OnqOPBNLWSHKh2a30DoXe8/edit?usp=sharing"",""สงขลา!I425"")"),0)</f>
        <v>0</v>
      </c>
      <c r="J530" s="205">
        <f ca="1">IFERROR(__xludf.DUMMYFUNCTION("IMPORTRANGE(""https://docs.google.com/spreadsheets/d/1IYY_tgx_IHuhSq3AJ5eI5OnqOPBNLWSHKh2a30DoXe8/edit?usp=sharing"",""สงขลา!J425"")"),0)</f>
        <v>0</v>
      </c>
      <c r="K530" s="169">
        <v>0</v>
      </c>
      <c r="L530" s="189"/>
      <c r="M530" s="189"/>
      <c r="N530" s="189"/>
      <c r="O530" s="189"/>
      <c r="P530" s="189"/>
    </row>
    <row r="531" spans="1:16" ht="21.75" customHeight="1" x14ac:dyDescent="0.35">
      <c r="A531" s="183"/>
      <c r="B531" s="184"/>
      <c r="C531" s="184"/>
      <c r="D531" s="201"/>
      <c r="E531" s="203"/>
      <c r="F531" s="203"/>
      <c r="G531" s="233" t="s">
        <v>201</v>
      </c>
      <c r="H531" s="428" t="s">
        <v>122</v>
      </c>
      <c r="I531" s="195">
        <f ca="1">IFERROR(__xludf.DUMMYFUNCTION("IMPORTRANGE(""https://docs.google.com/spreadsheets/d/1IYY_tgx_IHuhSq3AJ5eI5OnqOPBNLWSHKh2a30DoXe8/edit?usp=sharing"",""สงขลา!I426"")"),0)</f>
        <v>0</v>
      </c>
      <c r="J531" s="205">
        <f ca="1">IFERROR(__xludf.DUMMYFUNCTION("IMPORTRANGE(""https://docs.google.com/spreadsheets/d/1IYY_tgx_IHuhSq3AJ5eI5OnqOPBNLWSHKh2a30DoXe8/edit?usp=sharing"",""สงขลา!J426"")"),0)</f>
        <v>0</v>
      </c>
      <c r="K531" s="169">
        <v>0</v>
      </c>
      <c r="L531" s="189"/>
      <c r="M531" s="189"/>
      <c r="N531" s="189"/>
      <c r="O531" s="189"/>
      <c r="P531" s="189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IFERROR(__xludf.DUMMYFUNCTION("IMPORTRANGE(""https://docs.google.com/spreadsheets/d/1IYY_tgx_IHuhSq3AJ5eI5OnqOPBNLWSHKh2a30DoXe8/edit?usp=sharing"",""สงขลา!I427"")"),0)</f>
        <v>0</v>
      </c>
      <c r="J532" s="472">
        <f ca="1">IFERROR(__xludf.DUMMYFUNCTION("IMPORTRANGE(""https://docs.google.com/spreadsheets/d/1IYY_tgx_IHuhSq3AJ5eI5OnqOPBNLWSHKh2a30DoXe8/edit?usp=sharing"",""สงขลา!J427"")"),0)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IFERROR(__xludf.DUMMYFUNCTION("IMPORTRANGE(""https://docs.google.com/spreadsheets/d/1IYY_tgx_IHuhSq3AJ5eI5OnqOPBNLWSHKh2a30DoXe8/edit?usp=sharing"",""สงขลา!I428"")"),20)</f>
        <v>20</v>
      </c>
      <c r="J533" s="416">
        <f ca="1">IFERROR(__xludf.DUMMYFUNCTION("IMPORTRANGE(""https://docs.google.com/spreadsheets/d/1IYY_tgx_IHuhSq3AJ5eI5OnqOPBNLWSHKh2a30DoXe8/edit?usp=sharing"",""สงขลา!J428"")"),20)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IFERROR(__xludf.DUMMYFUNCTION("IMPORTRANGE(""https://docs.google.com/spreadsheets/d/1IYY_tgx_IHuhSq3AJ5eI5OnqOPBNLWSHKh2a30DoXe8/edit?usp=sharing"",""สงขลา!L428"")"),32640)</f>
        <v>32640</v>
      </c>
      <c r="M533" s="418"/>
      <c r="N533" s="418">
        <f ca="1">IFERROR(__xludf.DUMMYFUNCTION("IMPORTRANGE(""https://docs.google.com/spreadsheets/d/1IYY_tgx_IHuhSq3AJ5eI5OnqOPBNLWSHKh2a30DoXe8/edit?usp=sharing"",""สงขลา!M428"")"),27090)</f>
        <v>27090</v>
      </c>
      <c r="O533" s="418">
        <f t="shared" ref="O533:O537" ca="1" si="118">+IF(L533&gt;0,N533*100/L533,0)</f>
        <v>82.996323529411768</v>
      </c>
      <c r="P533" s="418"/>
    </row>
    <row r="534" spans="1:16" ht="21.75" customHeight="1" x14ac:dyDescent="0.35">
      <c r="A534" s="162"/>
      <c r="B534" s="163"/>
      <c r="C534" s="163" t="s">
        <v>16</v>
      </c>
      <c r="D534" s="164" t="s">
        <v>38</v>
      </c>
      <c r="E534" s="165"/>
      <c r="F534" s="165"/>
      <c r="G534" s="166" t="s">
        <v>39</v>
      </c>
      <c r="H534" s="167" t="s">
        <v>12</v>
      </c>
      <c r="I534" s="168" t="s">
        <v>40</v>
      </c>
      <c r="J534" s="168"/>
      <c r="K534" s="169"/>
      <c r="L534" s="170">
        <f ca="1">IFERROR(__xludf.DUMMYFUNCTION("IMPORTRANGE(""https://docs.google.com/spreadsheets/d/1IYY_tgx_IHuhSq3AJ5eI5OnqOPBNLWSHKh2a30DoXe8/edit?usp=sharing"",""สงขลา!L429"")"),0)</f>
        <v>0</v>
      </c>
      <c r="M534" s="170"/>
      <c r="N534" s="176">
        <f ca="1">IFERROR(__xludf.DUMMYFUNCTION("IMPORTRANGE(""https://docs.google.com/spreadsheets/d/1IYY_tgx_IHuhSq3AJ5eI5OnqOPBNLWSHKh2a30DoXe8/edit?usp=sharing"",""สงขลา!M429"")"),0)</f>
        <v>0</v>
      </c>
      <c r="O534" s="176">
        <f t="shared" ca="1" si="118"/>
        <v>0</v>
      </c>
      <c r="P534" s="176"/>
    </row>
    <row r="535" spans="1:16" ht="21.75" customHeight="1" x14ac:dyDescent="0.35">
      <c r="A535" s="162"/>
      <c r="B535" s="163"/>
      <c r="C535" s="163"/>
      <c r="D535" s="172"/>
      <c r="E535" s="165"/>
      <c r="F535" s="165" t="s">
        <v>40</v>
      </c>
      <c r="G535" s="166" t="s">
        <v>41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IFERROR(__xludf.DUMMYFUNCTION("IMPORTRANGE(""https://docs.google.com/spreadsheets/d/1IYY_tgx_IHuhSq3AJ5eI5OnqOPBNLWSHKh2a30DoXe8/edit?usp=sharing"",""สงขลา!L430"")"),32640)</f>
        <v>32640</v>
      </c>
      <c r="M535" s="171"/>
      <c r="N535" s="176">
        <f ca="1">IFERROR(__xludf.DUMMYFUNCTION("IMPORTRANGE(""https://docs.google.com/spreadsheets/d/1IYY_tgx_IHuhSq3AJ5eI5OnqOPBNLWSHKh2a30DoXe8/edit?usp=sharing"",""สงขลา!M430"")"),27090)</f>
        <v>27090</v>
      </c>
      <c r="O535" s="176">
        <f t="shared" ca="1" si="118"/>
        <v>82.996323529411768</v>
      </c>
      <c r="P535" s="176"/>
    </row>
    <row r="536" spans="1:16" ht="21.75" customHeight="1" x14ac:dyDescent="0.35">
      <c r="A536" s="162"/>
      <c r="B536" s="163"/>
      <c r="C536" s="163"/>
      <c r="D536" s="172"/>
      <c r="E536" s="165"/>
      <c r="F536" s="165"/>
      <c r="G536" s="380" t="s">
        <v>129</v>
      </c>
      <c r="H536" s="167" t="s">
        <v>12</v>
      </c>
      <c r="I536" s="168"/>
      <c r="J536" s="168"/>
      <c r="K536" s="169"/>
      <c r="L536" s="176">
        <f ca="1">IFERROR(__xludf.DUMMYFUNCTION("IMPORTRANGE(""https://docs.google.com/spreadsheets/d/1IYY_tgx_IHuhSq3AJ5eI5OnqOPBNLWSHKh2a30DoXe8/edit?usp=sharing"",""สงขลา!L431"")"),0)</f>
        <v>0</v>
      </c>
      <c r="M536" s="176"/>
      <c r="N536" s="176">
        <f ca="1">IFERROR(__xludf.DUMMYFUNCTION("IMPORTRANGE(""https://docs.google.com/spreadsheets/d/1IYY_tgx_IHuhSq3AJ5eI5OnqOPBNLWSHKh2a30DoXe8/edit?usp=sharing"",""สงขลา!M431"")"),0)</f>
        <v>0</v>
      </c>
      <c r="O536" s="176">
        <f t="shared" ca="1" si="118"/>
        <v>0</v>
      </c>
      <c r="P536" s="176"/>
    </row>
    <row r="537" spans="1:16" ht="21.75" customHeight="1" x14ac:dyDescent="0.35">
      <c r="A537" s="162"/>
      <c r="B537" s="163"/>
      <c r="C537" s="163"/>
      <c r="D537" s="172"/>
      <c r="E537" s="165"/>
      <c r="F537" s="165"/>
      <c r="G537" s="380" t="s">
        <v>130</v>
      </c>
      <c r="H537" s="167" t="s">
        <v>12</v>
      </c>
      <c r="I537" s="168"/>
      <c r="J537" s="168"/>
      <c r="K537" s="169"/>
      <c r="L537" s="176">
        <f ca="1">IFERROR(__xludf.DUMMYFUNCTION("IMPORTRANGE(""https://docs.google.com/spreadsheets/d/1IYY_tgx_IHuhSq3AJ5eI5OnqOPBNLWSHKh2a30DoXe8/edit?usp=sharing"",""สงขลา!L432"")"),32640)</f>
        <v>32640</v>
      </c>
      <c r="M537" s="176"/>
      <c r="N537" s="176">
        <f ca="1">IFERROR(__xludf.DUMMYFUNCTION("IMPORTRANGE(""https://docs.google.com/spreadsheets/d/1IYY_tgx_IHuhSq3AJ5eI5OnqOPBNLWSHKh2a30DoXe8/edit?usp=sharing"",""สงขลา!M432"")"),27090)</f>
        <v>27090</v>
      </c>
      <c r="O537" s="176">
        <f t="shared" ca="1" si="118"/>
        <v>82.996323529411768</v>
      </c>
      <c r="P537" s="176"/>
    </row>
    <row r="538" spans="1:16" ht="21.75" customHeight="1" x14ac:dyDescent="0.35">
      <c r="A538" s="381"/>
      <c r="B538" s="382"/>
      <c r="C538" s="163"/>
      <c r="D538" s="383"/>
      <c r="E538" s="165"/>
      <c r="F538" s="165"/>
      <c r="G538" s="384" t="s">
        <v>131</v>
      </c>
      <c r="H538" s="167" t="s">
        <v>12</v>
      </c>
      <c r="I538" s="195"/>
      <c r="J538" s="195"/>
      <c r="K538" s="231"/>
      <c r="L538" s="176"/>
      <c r="M538" s="176"/>
      <c r="N538" s="385">
        <f ca="1">IFERROR(__xludf.DUMMYFUNCTION("IMPORTRANGE(""https://docs.google.com/spreadsheets/d/1IYY_tgx_IHuhSq3AJ5eI5OnqOPBNLWSHKh2a30DoXe8/edit?usp=sharing"",""สงขลา!M433"")"),15665)</f>
        <v>15665</v>
      </c>
      <c r="O538" s="176"/>
      <c r="P538" s="176"/>
    </row>
    <row r="539" spans="1:16" ht="21.75" customHeight="1" x14ac:dyDescent="0.35">
      <c r="A539" s="381"/>
      <c r="B539" s="382"/>
      <c r="C539" s="163"/>
      <c r="D539" s="383"/>
      <c r="E539" s="165"/>
      <c r="F539" s="165"/>
      <c r="G539" s="384" t="s">
        <v>132</v>
      </c>
      <c r="H539" s="167" t="s">
        <v>12</v>
      </c>
      <c r="I539" s="195"/>
      <c r="J539" s="195"/>
      <c r="K539" s="231"/>
      <c r="L539" s="176"/>
      <c r="M539" s="176"/>
      <c r="N539" s="385">
        <f ca="1">IFERROR(__xludf.DUMMYFUNCTION("IMPORTRANGE(""https://docs.google.com/spreadsheets/d/1IYY_tgx_IHuhSq3AJ5eI5OnqOPBNLWSHKh2a30DoXe8/edit?usp=sharing"",""สงขลา!M434"")"),0)</f>
        <v>0</v>
      </c>
      <c r="O539" s="176"/>
      <c r="P539" s="176"/>
    </row>
    <row r="540" spans="1:16" ht="21.75" customHeight="1" x14ac:dyDescent="0.35">
      <c r="A540" s="381"/>
      <c r="B540" s="382"/>
      <c r="C540" s="163"/>
      <c r="D540" s="383"/>
      <c r="E540" s="165"/>
      <c r="F540" s="165"/>
      <c r="G540" s="384" t="s">
        <v>133</v>
      </c>
      <c r="H540" s="167" t="s">
        <v>12</v>
      </c>
      <c r="I540" s="195"/>
      <c r="J540" s="195"/>
      <c r="K540" s="231"/>
      <c r="L540" s="176"/>
      <c r="M540" s="176"/>
      <c r="N540" s="385">
        <f ca="1">IFERROR(__xludf.DUMMYFUNCTION("IMPORTRANGE(""https://docs.google.com/spreadsheets/d/1IYY_tgx_IHuhSq3AJ5eI5OnqOPBNLWSHKh2a30DoXe8/edit?usp=sharing"",""สงขลา!M435"")"),0)</f>
        <v>0</v>
      </c>
      <c r="O540" s="176"/>
      <c r="P540" s="176"/>
    </row>
    <row r="541" spans="1:16" ht="21.75" customHeight="1" x14ac:dyDescent="0.35">
      <c r="A541" s="381"/>
      <c r="B541" s="382"/>
      <c r="C541" s="163"/>
      <c r="D541" s="383"/>
      <c r="E541" s="165"/>
      <c r="F541" s="165"/>
      <c r="G541" s="384" t="s">
        <v>134</v>
      </c>
      <c r="H541" s="167" t="s">
        <v>12</v>
      </c>
      <c r="I541" s="195"/>
      <c r="J541" s="195"/>
      <c r="K541" s="231"/>
      <c r="L541" s="176"/>
      <c r="M541" s="176"/>
      <c r="N541" s="385">
        <f ca="1">IFERROR(__xludf.DUMMYFUNCTION("IMPORTRANGE(""https://docs.google.com/spreadsheets/d/1IYY_tgx_IHuhSq3AJ5eI5OnqOPBNLWSHKh2a30DoXe8/edit?usp=sharing"",""สงขลา!M436"")"),11425)</f>
        <v>11425</v>
      </c>
      <c r="O541" s="176"/>
      <c r="P541" s="176"/>
    </row>
    <row r="542" spans="1:16" ht="21.75" customHeight="1" x14ac:dyDescent="0.35">
      <c r="A542" s="183"/>
      <c r="B542" s="184"/>
      <c r="C542" s="163" t="s">
        <v>16</v>
      </c>
      <c r="D542" s="185" t="s">
        <v>44</v>
      </c>
      <c r="E542" s="186"/>
      <c r="F542" s="186"/>
      <c r="G542" s="187"/>
      <c r="H542" s="188"/>
      <c r="I542" s="168"/>
      <c r="J542" s="168"/>
      <c r="K542" s="169"/>
      <c r="L542" s="189"/>
      <c r="M542" s="189"/>
      <c r="N542" s="189"/>
      <c r="O542" s="189"/>
      <c r="P542" s="189"/>
    </row>
    <row r="543" spans="1:16" ht="21.75" customHeight="1" x14ac:dyDescent="0.35">
      <c r="A543" s="183"/>
      <c r="B543" s="184"/>
      <c r="C543" s="184"/>
      <c r="D543" s="190">
        <v>1</v>
      </c>
      <c r="E543" s="191" t="s">
        <v>45</v>
      </c>
      <c r="F543" s="192"/>
      <c r="G543" s="193"/>
      <c r="H543" s="194"/>
      <c r="I543" s="195"/>
      <c r="J543" s="205">
        <f ca="1">IFERROR(__xludf.DUMMYFUNCTION("IMPORTRANGE(""https://docs.google.com/spreadsheets/d/1IYY_tgx_IHuhSq3AJ5eI5OnqOPBNLWSHKh2a30DoXe8/edit?usp=sharing"",""สงขลา!J438"")"),0)</f>
        <v>0</v>
      </c>
      <c r="K543" s="169"/>
      <c r="L543" s="189"/>
      <c r="M543" s="189"/>
      <c r="N543" s="189"/>
      <c r="O543" s="189"/>
      <c r="P543" s="189"/>
    </row>
    <row r="544" spans="1:16" ht="21.75" customHeight="1" x14ac:dyDescent="0.35">
      <c r="A544" s="183"/>
      <c r="B544" s="184"/>
      <c r="C544" s="184"/>
      <c r="D544" s="197">
        <v>2</v>
      </c>
      <c r="E544" s="198" t="s">
        <v>46</v>
      </c>
      <c r="F544" s="199"/>
      <c r="G544" s="200"/>
      <c r="H544" s="194"/>
      <c r="I544" s="195"/>
      <c r="J544" s="196">
        <f ca="1">IFERROR(__xludf.DUMMYFUNCTION("IMPORTRANGE(""https://docs.google.com/spreadsheets/d/1IYY_tgx_IHuhSq3AJ5eI5OnqOPBNLWSHKh2a30DoXe8/edit?usp=sharing"",""สงขลา!J439"")"),1)</f>
        <v>1</v>
      </c>
      <c r="K544" s="169"/>
      <c r="L544" s="189" t="s">
        <v>40</v>
      </c>
      <c r="M544" s="189"/>
      <c r="N544" s="189" t="s">
        <v>40</v>
      </c>
      <c r="O544" s="189"/>
      <c r="P544" s="189"/>
    </row>
    <row r="545" spans="1:16" ht="21.75" customHeight="1" x14ac:dyDescent="0.35">
      <c r="A545" s="183"/>
      <c r="B545" s="184"/>
      <c r="C545" s="184"/>
      <c r="D545" s="201"/>
      <c r="E545" s="202" t="s">
        <v>47</v>
      </c>
      <c r="F545" s="203"/>
      <c r="G545" s="204"/>
      <c r="H545" s="194"/>
      <c r="I545" s="195"/>
      <c r="J545" s="196">
        <f ca="1">IFERROR(__xludf.DUMMYFUNCTION("IMPORTRANGE(""https://docs.google.com/spreadsheets/d/1IYY_tgx_IHuhSq3AJ5eI5OnqOPBNLWSHKh2a30DoXe8/edit?usp=sharing"",""สงขลา!J440"")"),1)</f>
        <v>1</v>
      </c>
      <c r="K545" s="169"/>
      <c r="L545" s="189"/>
      <c r="M545" s="189"/>
      <c r="N545" s="189"/>
      <c r="O545" s="189"/>
      <c r="P545" s="189"/>
    </row>
    <row r="546" spans="1:16" ht="21.75" customHeight="1" x14ac:dyDescent="0.35">
      <c r="A546" s="183"/>
      <c r="B546" s="184"/>
      <c r="C546" s="184"/>
      <c r="D546" s="201"/>
      <c r="E546" s="202" t="s">
        <v>48</v>
      </c>
      <c r="F546" s="203"/>
      <c r="G546" s="204"/>
      <c r="H546" s="194"/>
      <c r="I546" s="195"/>
      <c r="J546" s="205">
        <f ca="1">IFERROR(__xludf.DUMMYFUNCTION("IMPORTRANGE(""https://docs.google.com/spreadsheets/d/1IYY_tgx_IHuhSq3AJ5eI5OnqOPBNLWSHKh2a30DoXe8/edit?usp=sharing"",""สงขลา!J441"")"),1)</f>
        <v>1</v>
      </c>
      <c r="K546" s="169"/>
      <c r="L546" s="189"/>
      <c r="M546" s="189"/>
      <c r="N546" s="189"/>
      <c r="O546" s="189"/>
      <c r="P546" s="189"/>
    </row>
    <row r="547" spans="1:16" ht="21.75" customHeight="1" x14ac:dyDescent="0.35">
      <c r="A547" s="183"/>
      <c r="B547" s="184"/>
      <c r="C547" s="184"/>
      <c r="D547" s="201"/>
      <c r="E547" s="206"/>
      <c r="F547" s="203"/>
      <c r="G547" s="233" t="s">
        <v>203</v>
      </c>
      <c r="H547" s="194" t="s">
        <v>37</v>
      </c>
      <c r="I547" s="211">
        <f ca="1">IFERROR(__xludf.DUMMYFUNCTION("IMPORTRANGE(""https://docs.google.com/spreadsheets/d/1IYY_tgx_IHuhSq3AJ5eI5OnqOPBNLWSHKh2a30DoXe8/edit?usp=sharing"",""สงขลา!I442"")"),20)</f>
        <v>20</v>
      </c>
      <c r="J547" s="196">
        <f ca="1">IFERROR(__xludf.DUMMYFUNCTION("IMPORTRANGE(""https://docs.google.com/spreadsheets/d/1IYY_tgx_IHuhSq3AJ5eI5OnqOPBNLWSHKh2a30DoXe8/edit?usp=sharing"",""สงขลา!J442"")"),20)</f>
        <v>20</v>
      </c>
      <c r="K547" s="169">
        <f t="shared" ref="K547:K548" ca="1" si="119">IF(I547&gt;0,J547*100/I547,0)</f>
        <v>100</v>
      </c>
      <c r="L547" s="189"/>
      <c r="M547" s="189"/>
      <c r="N547" s="189"/>
      <c r="O547" s="189"/>
      <c r="P547" s="189"/>
    </row>
    <row r="548" spans="1:16" ht="21.75" hidden="1" customHeight="1" x14ac:dyDescent="0.35">
      <c r="A548" s="183"/>
      <c r="B548" s="184"/>
      <c r="C548" s="184"/>
      <c r="D548" s="201"/>
      <c r="E548" s="206"/>
      <c r="F548" s="203"/>
      <c r="G548" s="233" t="s">
        <v>204</v>
      </c>
      <c r="H548" s="194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5">
        <f ca="1">IFERROR(__xludf.DUMMYFUNCTION("IMPORTRANGE(""https://docs.google.com/spreadsheets/d/1IYY_tgx_IHuhSq3AJ5eI5OnqOPBNLWSHKh2a30DoXe8/edit?usp=sharing"",""สงขลา!J166"")"),0)</f>
        <v>0</v>
      </c>
      <c r="K548" s="169">
        <f t="shared" ca="1" si="119"/>
        <v>0</v>
      </c>
      <c r="L548" s="189"/>
      <c r="M548" s="189"/>
      <c r="N548" s="189"/>
      <c r="O548" s="189"/>
      <c r="P548" s="189"/>
    </row>
    <row r="549" spans="1:16" ht="21.75" customHeight="1" x14ac:dyDescent="0.35">
      <c r="A549" s="183"/>
      <c r="B549" s="184"/>
      <c r="C549" s="184"/>
      <c r="D549" s="201"/>
      <c r="E549" s="202" t="s">
        <v>54</v>
      </c>
      <c r="F549" s="203"/>
      <c r="G549" s="204"/>
      <c r="H549" s="194"/>
      <c r="I549" s="195"/>
      <c r="J549" s="205">
        <f ca="1">IFERROR(__xludf.DUMMYFUNCTION("IMPORTRANGE(""https://docs.google.com/spreadsheets/d/1IYY_tgx_IHuhSq3AJ5eI5OnqOPBNLWSHKh2a30DoXe8/edit?usp=sharing"",""สงขลา!J444"")"),0)</f>
        <v>0</v>
      </c>
      <c r="K549" s="169"/>
      <c r="L549" s="189"/>
      <c r="M549" s="189"/>
      <c r="N549" s="189"/>
      <c r="O549" s="189"/>
      <c r="P549" s="189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IFERROR(__xludf.DUMMYFUNCTION("IMPORTRANGE(""https://docs.google.com/spreadsheets/d/1IYY_tgx_IHuhSq3AJ5eI5OnqOPBNLWSHKh2a30DoXe8/edit?usp=sharing"",""สงขลา!J445"")"),0)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IFERROR(__xludf.DUMMYFUNCTION("IMPORTRANGE(""https://docs.google.com/spreadsheets/d/1IYY_tgx_IHuhSq3AJ5eI5OnqOPBNLWSHKh2a30DoXe8/edit?usp=sharing"",""สงขลา!I446"")"),0)</f>
        <v>0</v>
      </c>
      <c r="J551" s="416">
        <f ca="1">IFERROR(__xludf.DUMMYFUNCTION("IMPORTRANGE(""https://docs.google.com/spreadsheets/d/1IYY_tgx_IHuhSq3AJ5eI5OnqOPBNLWSHKh2a30DoXe8/edit?usp=sharing"",""สงขลา!J446"")"),0)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IFERROR(__xludf.DUMMYFUNCTION("IMPORTRANGE(""https://docs.google.com/spreadsheets/d/1IYY_tgx_IHuhSq3AJ5eI5OnqOPBNLWSHKh2a30DoXe8/edit?usp=sharing"",""สงขลา!L446"")"),0)</f>
        <v>0</v>
      </c>
      <c r="M551" s="418"/>
      <c r="N551" s="418">
        <f ca="1">IFERROR(__xludf.DUMMYFUNCTION("IMPORTRANGE(""https://docs.google.com/spreadsheets/d/1IYY_tgx_IHuhSq3AJ5eI5OnqOPBNLWSHKh2a30DoXe8/edit?usp=sharing"",""สงขลา!M446"")"),0)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164" t="s">
        <v>38</v>
      </c>
      <c r="E552" s="165"/>
      <c r="F552" s="165"/>
      <c r="G552" s="166" t="s">
        <v>39</v>
      </c>
      <c r="H552" s="167" t="s">
        <v>12</v>
      </c>
      <c r="I552" s="168" t="s">
        <v>40</v>
      </c>
      <c r="J552" s="168"/>
      <c r="K552" s="169"/>
      <c r="L552" s="170">
        <f ca="1">IFERROR(__xludf.DUMMYFUNCTION("IMPORTRANGE(""https://docs.google.com/spreadsheets/d/1IYY_tgx_IHuhSq3AJ5eI5OnqOPBNLWSHKh2a30DoXe8/edit?usp=sharing"",""สงขลา!L447"")"),0)</f>
        <v>0</v>
      </c>
      <c r="M552" s="170"/>
      <c r="N552" s="176">
        <f ca="1">IFERROR(__xludf.DUMMYFUNCTION("IMPORTRANGE(""https://docs.google.com/spreadsheets/d/1IYY_tgx_IHuhSq3AJ5eI5OnqOPBNLWSHKh2a30DoXe8/edit?usp=sharing"",""สงขลา!M447"")"),0)</f>
        <v>0</v>
      </c>
      <c r="O552" s="176">
        <f t="shared" ca="1" si="120"/>
        <v>0</v>
      </c>
      <c r="P552" s="176"/>
    </row>
    <row r="553" spans="1:16" ht="21.75" customHeight="1" x14ac:dyDescent="0.35">
      <c r="A553" s="162"/>
      <c r="B553" s="163"/>
      <c r="C553" s="163"/>
      <c r="D553" s="172"/>
      <c r="E553" s="165"/>
      <c r="F553" s="165" t="s">
        <v>40</v>
      </c>
      <c r="G553" s="166" t="s">
        <v>41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IFERROR(__xludf.DUMMYFUNCTION("IMPORTRANGE(""https://docs.google.com/spreadsheets/d/1IYY_tgx_IHuhSq3AJ5eI5OnqOPBNLWSHKh2a30DoXe8/edit?usp=sharing"",""สงขลา!L448"")"),0)</f>
        <v>0</v>
      </c>
      <c r="M553" s="171"/>
      <c r="N553" s="176">
        <f ca="1">IFERROR(__xludf.DUMMYFUNCTION("IMPORTRANGE(""https://docs.google.com/spreadsheets/d/1IYY_tgx_IHuhSq3AJ5eI5OnqOPBNLWSHKh2a30DoXe8/edit?usp=sharing"",""สงขลา!M448"")"),0)</f>
        <v>0</v>
      </c>
      <c r="O553" s="176">
        <f t="shared" ca="1" si="120"/>
        <v>0</v>
      </c>
      <c r="P553" s="176"/>
    </row>
    <row r="554" spans="1:16" ht="21.75" customHeight="1" x14ac:dyDescent="0.35">
      <c r="A554" s="162"/>
      <c r="B554" s="163"/>
      <c r="C554" s="163"/>
      <c r="D554" s="172"/>
      <c r="E554" s="165"/>
      <c r="F554" s="165"/>
      <c r="G554" s="380" t="s">
        <v>129</v>
      </c>
      <c r="H554" s="167" t="s">
        <v>12</v>
      </c>
      <c r="I554" s="168"/>
      <c r="J554" s="168"/>
      <c r="K554" s="169"/>
      <c r="L554" s="176">
        <f ca="1">IFERROR(__xludf.DUMMYFUNCTION("IMPORTRANGE(""https://docs.google.com/spreadsheets/d/1IYY_tgx_IHuhSq3AJ5eI5OnqOPBNLWSHKh2a30DoXe8/edit?usp=sharing"",""สงขลา!L449"")"),0)</f>
        <v>0</v>
      </c>
      <c r="M554" s="176"/>
      <c r="N554" s="176">
        <f ca="1">IFERROR(__xludf.DUMMYFUNCTION("IMPORTRANGE(""https://docs.google.com/spreadsheets/d/1IYY_tgx_IHuhSq3AJ5eI5OnqOPBNLWSHKh2a30DoXe8/edit?usp=sharing"",""สงขลา!M449"")"),0)</f>
        <v>0</v>
      </c>
      <c r="O554" s="176">
        <f t="shared" ca="1" si="120"/>
        <v>0</v>
      </c>
      <c r="P554" s="176"/>
    </row>
    <row r="555" spans="1:16" ht="21.75" customHeight="1" x14ac:dyDescent="0.35">
      <c r="A555" s="162"/>
      <c r="B555" s="163"/>
      <c r="C555" s="163"/>
      <c r="D555" s="172"/>
      <c r="E555" s="165"/>
      <c r="F555" s="165"/>
      <c r="G555" s="380" t="s">
        <v>130</v>
      </c>
      <c r="H555" s="167" t="s">
        <v>12</v>
      </c>
      <c r="I555" s="168"/>
      <c r="J555" s="168"/>
      <c r="K555" s="169"/>
      <c r="L555" s="176">
        <f ca="1">IFERROR(__xludf.DUMMYFUNCTION("IMPORTRANGE(""https://docs.google.com/spreadsheets/d/1IYY_tgx_IHuhSq3AJ5eI5OnqOPBNLWSHKh2a30DoXe8/edit?usp=sharing"",""สงขลา!L450"")"),0)</f>
        <v>0</v>
      </c>
      <c r="M555" s="176"/>
      <c r="N555" s="176">
        <f ca="1">IFERROR(__xludf.DUMMYFUNCTION("IMPORTRANGE(""https://docs.google.com/spreadsheets/d/1IYY_tgx_IHuhSq3AJ5eI5OnqOPBNLWSHKh2a30DoXe8/edit?usp=sharing"",""สงขลา!M450"")"),0)</f>
        <v>0</v>
      </c>
      <c r="O555" s="176">
        <f t="shared" ca="1" si="120"/>
        <v>0</v>
      </c>
      <c r="P555" s="176"/>
    </row>
    <row r="556" spans="1:16" ht="21.75" customHeight="1" x14ac:dyDescent="0.35">
      <c r="A556" s="381"/>
      <c r="B556" s="382"/>
      <c r="C556" s="163"/>
      <c r="D556" s="383"/>
      <c r="E556" s="165"/>
      <c r="F556" s="165"/>
      <c r="G556" s="384" t="s">
        <v>131</v>
      </c>
      <c r="H556" s="167" t="s">
        <v>12</v>
      </c>
      <c r="I556" s="195"/>
      <c r="J556" s="195"/>
      <c r="K556" s="231"/>
      <c r="L556" s="176"/>
      <c r="M556" s="176"/>
      <c r="N556" s="173">
        <f ca="1">IFERROR(__xludf.DUMMYFUNCTION("IMPORTRANGE(""https://docs.google.com/spreadsheets/d/1IYY_tgx_IHuhSq3AJ5eI5OnqOPBNLWSHKh2a30DoXe8/edit?usp=sharing"",""สงขลา!M451"")"),0)</f>
        <v>0</v>
      </c>
      <c r="O556" s="176"/>
      <c r="P556" s="176"/>
    </row>
    <row r="557" spans="1:16" ht="21.75" customHeight="1" x14ac:dyDescent="0.35">
      <c r="A557" s="381"/>
      <c r="B557" s="382"/>
      <c r="C557" s="163"/>
      <c r="D557" s="383"/>
      <c r="E557" s="165"/>
      <c r="F557" s="165"/>
      <c r="G557" s="384" t="s">
        <v>132</v>
      </c>
      <c r="H557" s="167" t="s">
        <v>12</v>
      </c>
      <c r="I557" s="195"/>
      <c r="J557" s="195"/>
      <c r="K557" s="231"/>
      <c r="L557" s="176"/>
      <c r="M557" s="176"/>
      <c r="N557" s="173">
        <f ca="1">IFERROR(__xludf.DUMMYFUNCTION("IMPORTRANGE(""https://docs.google.com/spreadsheets/d/1IYY_tgx_IHuhSq3AJ5eI5OnqOPBNLWSHKh2a30DoXe8/edit?usp=sharing"",""สงขลา!M452"")"),0)</f>
        <v>0</v>
      </c>
      <c r="O557" s="176"/>
      <c r="P557" s="176"/>
    </row>
    <row r="558" spans="1:16" ht="21.75" customHeight="1" x14ac:dyDescent="0.35">
      <c r="A558" s="381"/>
      <c r="B558" s="382"/>
      <c r="C558" s="163"/>
      <c r="D558" s="383"/>
      <c r="E558" s="165"/>
      <c r="F558" s="165"/>
      <c r="G558" s="384" t="s">
        <v>133</v>
      </c>
      <c r="H558" s="167" t="s">
        <v>12</v>
      </c>
      <c r="I558" s="195"/>
      <c r="J558" s="195"/>
      <c r="K558" s="231"/>
      <c r="L558" s="176"/>
      <c r="M558" s="176"/>
      <c r="N558" s="173">
        <f ca="1">IFERROR(__xludf.DUMMYFUNCTION("IMPORTRANGE(""https://docs.google.com/spreadsheets/d/1IYY_tgx_IHuhSq3AJ5eI5OnqOPBNLWSHKh2a30DoXe8/edit?usp=sharing"",""สงขลา!M453"")"),0)</f>
        <v>0</v>
      </c>
      <c r="O558" s="176"/>
      <c r="P558" s="176"/>
    </row>
    <row r="559" spans="1:16" ht="21.75" customHeight="1" x14ac:dyDescent="0.35">
      <c r="A559" s="381"/>
      <c r="B559" s="382"/>
      <c r="C559" s="163"/>
      <c r="D559" s="383"/>
      <c r="E559" s="165"/>
      <c r="F559" s="165"/>
      <c r="G559" s="384" t="s">
        <v>134</v>
      </c>
      <c r="H559" s="167" t="s">
        <v>12</v>
      </c>
      <c r="I559" s="195"/>
      <c r="J559" s="195"/>
      <c r="K559" s="231"/>
      <c r="L559" s="176"/>
      <c r="M559" s="176"/>
      <c r="N559" s="173">
        <f ca="1">IFERROR(__xludf.DUMMYFUNCTION("IMPORTRANGE(""https://docs.google.com/spreadsheets/d/1IYY_tgx_IHuhSq3AJ5eI5OnqOPBNLWSHKh2a30DoXe8/edit?usp=sharing"",""สงขลา!M454"")"),0)</f>
        <v>0</v>
      </c>
      <c r="O559" s="176"/>
      <c r="P559" s="176"/>
    </row>
    <row r="560" spans="1:16" ht="21.75" customHeight="1" x14ac:dyDescent="0.35">
      <c r="A560" s="183"/>
      <c r="B560" s="184"/>
      <c r="C560" s="184"/>
      <c r="D560" s="201"/>
      <c r="E560" s="203"/>
      <c r="F560" s="285" t="s">
        <v>206</v>
      </c>
      <c r="G560" s="204"/>
      <c r="H560" s="481" t="s">
        <v>122</v>
      </c>
      <c r="I560" s="168">
        <f ca="1">IFERROR(__xludf.DUMMYFUNCTION("IMPORTRANGE(""https://docs.google.com/spreadsheets/d/1IYY_tgx_IHuhSq3AJ5eI5OnqOPBNLWSHKh2a30DoXe8/edit?usp=sharing"",""สงขลา!I455"")"),0)</f>
        <v>0</v>
      </c>
      <c r="J560" s="168">
        <f ca="1">IFERROR(__xludf.DUMMYFUNCTION("IMPORTRANGE(""https://docs.google.com/spreadsheets/d/1IYY_tgx_IHuhSq3AJ5eI5OnqOPBNLWSHKh2a30DoXe8/edit?usp=sharing"",""สงขลา!J455"")"),0)</f>
        <v>0</v>
      </c>
      <c r="K560" s="231">
        <f t="shared" ref="K560:K564" ca="1" si="121">IF(I560&gt;0,J560*100/I560,0)</f>
        <v>0</v>
      </c>
      <c r="L560" s="176"/>
      <c r="M560" s="176"/>
      <c r="N560" s="176"/>
      <c r="O560" s="189"/>
      <c r="P560" s="189"/>
    </row>
    <row r="561" spans="1:16" ht="21.75" customHeight="1" x14ac:dyDescent="0.35">
      <c r="A561" s="183"/>
      <c r="B561" s="184"/>
      <c r="C561" s="184"/>
      <c r="D561" s="201"/>
      <c r="E561" s="203"/>
      <c r="F561" s="203"/>
      <c r="G561" s="204"/>
      <c r="H561" s="481" t="s">
        <v>36</v>
      </c>
      <c r="I561" s="168">
        <f ca="1">IFERROR(__xludf.DUMMYFUNCTION("IMPORTRANGE(""https://docs.google.com/spreadsheets/d/1IYY_tgx_IHuhSq3AJ5eI5OnqOPBNLWSHKh2a30DoXe8/edit?usp=sharing"",""สงขลา!I456"")"),0)</f>
        <v>0</v>
      </c>
      <c r="J561" s="211">
        <f ca="1">IFERROR(__xludf.DUMMYFUNCTION("IMPORTRANGE(""https://docs.google.com/spreadsheets/d/1IYY_tgx_IHuhSq3AJ5eI5OnqOPBNLWSHKh2a30DoXe8/edit?usp=sharing"",""สงขลา!J456"")"),0)</f>
        <v>0</v>
      </c>
      <c r="K561" s="231">
        <f t="shared" ca="1" si="121"/>
        <v>0</v>
      </c>
      <c r="L561" s="176"/>
      <c r="M561" s="176"/>
      <c r="N561" s="176"/>
      <c r="O561" s="189"/>
      <c r="P561" s="189"/>
    </row>
    <row r="562" spans="1:16" ht="21.75" customHeight="1" x14ac:dyDescent="0.35">
      <c r="A562" s="183"/>
      <c r="B562" s="184"/>
      <c r="C562" s="184"/>
      <c r="D562" s="201"/>
      <c r="E562" s="203"/>
      <c r="F562" s="203" t="s">
        <v>207</v>
      </c>
      <c r="G562" s="204"/>
      <c r="H562" s="481" t="s">
        <v>122</v>
      </c>
      <c r="I562" s="168">
        <f ca="1">IFERROR(__xludf.DUMMYFUNCTION("IMPORTRANGE(""https://docs.google.com/spreadsheets/d/1IYY_tgx_IHuhSq3AJ5eI5OnqOPBNLWSHKh2a30DoXe8/edit?usp=sharing"",""สงขลา!I457"")"),0)</f>
        <v>0</v>
      </c>
      <c r="J562" s="211" t="str">
        <f ca="1">IFERROR(__xludf.DUMMYFUNCTION("IMPORTRANGE(""https://docs.google.com/spreadsheets/d/1IYY_tgx_IHuhSq3AJ5eI5OnqOPBNLWSHKh2a30DoXe8/edit?usp=sharing"",""สงขลา!J457"")"),"")</f>
        <v/>
      </c>
      <c r="K562" s="169">
        <f t="shared" ca="1" si="121"/>
        <v>0</v>
      </c>
      <c r="L562" s="189"/>
      <c r="M562" s="189"/>
      <c r="N562" s="189"/>
      <c r="O562" s="189"/>
      <c r="P562" s="189"/>
    </row>
    <row r="563" spans="1:16" ht="21.75" customHeight="1" x14ac:dyDescent="0.35">
      <c r="A563" s="183"/>
      <c r="B563" s="184"/>
      <c r="C563" s="184"/>
      <c r="D563" s="201"/>
      <c r="E563" s="203"/>
      <c r="F563" s="203"/>
      <c r="G563" s="204"/>
      <c r="H563" s="481" t="s">
        <v>36</v>
      </c>
      <c r="I563" s="168">
        <f ca="1">IFERROR(__xludf.DUMMYFUNCTION("IMPORTRANGE(""https://docs.google.com/spreadsheets/d/1IYY_tgx_IHuhSq3AJ5eI5OnqOPBNLWSHKh2a30DoXe8/edit?usp=sharing"",""สงขลา!I458"")"),0)</f>
        <v>0</v>
      </c>
      <c r="J563" s="195" t="str">
        <f ca="1">IFERROR(__xludf.DUMMYFUNCTION("IMPORTRANGE(""https://docs.google.com/spreadsheets/d/1IYY_tgx_IHuhSq3AJ5eI5OnqOPBNLWSHKh2a30DoXe8/edit?usp=sharing"",""สงขลา!J458"")"),"")</f>
        <v/>
      </c>
      <c r="K563" s="169">
        <f t="shared" ca="1" si="121"/>
        <v>0</v>
      </c>
      <c r="L563" s="189"/>
      <c r="M563" s="189"/>
      <c r="N563" s="189"/>
      <c r="O563" s="189"/>
      <c r="P563" s="189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IFERROR(__xludf.DUMMYFUNCTION("IMPORTRANGE(""https://docs.google.com/spreadsheets/d/1IYY_tgx_IHuhSq3AJ5eI5OnqOPBNLWSHKh2a30DoXe8/edit?usp=sharing"",""สงขลา!I459"")"),1100)</f>
        <v>1100</v>
      </c>
      <c r="J564" s="377">
        <f ca="1">IFERROR(__xludf.DUMMYFUNCTION("IMPORTRANGE(""https://docs.google.com/spreadsheets/d/1IYY_tgx_IHuhSq3AJ5eI5OnqOPBNLWSHKh2a30DoXe8/edit?usp=sharing"",""สงขลา!J459"")"),992)</f>
        <v>992</v>
      </c>
      <c r="K564" s="378">
        <f t="shared" ca="1" si="121"/>
        <v>90.181818181818187</v>
      </c>
      <c r="L564" s="379">
        <f ca="1">IFERROR(__xludf.DUMMYFUNCTION("IMPORTRANGE(""https://docs.google.com/spreadsheets/d/1IYY_tgx_IHuhSq3AJ5eI5OnqOPBNLWSHKh2a30DoXe8/edit?usp=sharing"",""สงขลา!L459"")"),123600)</f>
        <v>123600</v>
      </c>
      <c r="M564" s="379"/>
      <c r="N564" s="379">
        <f ca="1">IFERROR(__xludf.DUMMYFUNCTION("IMPORTRANGE(""https://docs.google.com/spreadsheets/d/1IYY_tgx_IHuhSq3AJ5eI5OnqOPBNLWSHKh2a30DoXe8/edit?usp=sharing"",""สงขลา!M459"")"),56375)</f>
        <v>56375</v>
      </c>
      <c r="O564" s="379">
        <f t="shared" ref="O564:O568" ca="1" si="122">+IF(L564&gt;0,N564*100/L564,0)</f>
        <v>45.610841423948223</v>
      </c>
      <c r="P564" s="379"/>
    </row>
    <row r="565" spans="1:16" ht="21.75" customHeight="1" x14ac:dyDescent="0.35">
      <c r="A565" s="162"/>
      <c r="B565" s="163"/>
      <c r="C565" s="163" t="s">
        <v>16</v>
      </c>
      <c r="D565" s="164" t="s">
        <v>38</v>
      </c>
      <c r="E565" s="165"/>
      <c r="F565" s="165"/>
      <c r="G565" s="166" t="s">
        <v>39</v>
      </c>
      <c r="H565" s="167" t="s">
        <v>12</v>
      </c>
      <c r="I565" s="168" t="s">
        <v>40</v>
      </c>
      <c r="J565" s="168"/>
      <c r="K565" s="169"/>
      <c r="L565" s="170">
        <f ca="1">IFERROR(__xludf.DUMMYFUNCTION("IMPORTRANGE(""https://docs.google.com/spreadsheets/d/1IYY_tgx_IHuhSq3AJ5eI5OnqOPBNLWSHKh2a30DoXe8/edit?usp=sharing"",""สงขลา!L460"")"),0)</f>
        <v>0</v>
      </c>
      <c r="M565" s="170"/>
      <c r="N565" s="176">
        <f ca="1">IFERROR(__xludf.DUMMYFUNCTION("IMPORTRANGE(""https://docs.google.com/spreadsheets/d/1IYY_tgx_IHuhSq3AJ5eI5OnqOPBNLWSHKh2a30DoXe8/edit?usp=sharing"",""สงขลา!M460"")"),0)</f>
        <v>0</v>
      </c>
      <c r="O565" s="176">
        <f t="shared" ca="1" si="122"/>
        <v>0</v>
      </c>
      <c r="P565" s="176"/>
    </row>
    <row r="566" spans="1:16" ht="21.75" customHeight="1" x14ac:dyDescent="0.35">
      <c r="A566" s="162"/>
      <c r="B566" s="163"/>
      <c r="C566" s="163"/>
      <c r="D566" s="172"/>
      <c r="E566" s="165"/>
      <c r="F566" s="165" t="s">
        <v>40</v>
      </c>
      <c r="G566" s="166" t="s">
        <v>41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IFERROR(__xludf.DUMMYFUNCTION("IMPORTRANGE(""https://docs.google.com/spreadsheets/d/1IYY_tgx_IHuhSq3AJ5eI5OnqOPBNLWSHKh2a30DoXe8/edit?usp=sharing"",""สงขลา!L461"")"),123600)</f>
        <v>123600</v>
      </c>
      <c r="M566" s="171"/>
      <c r="N566" s="176">
        <f ca="1">IFERROR(__xludf.DUMMYFUNCTION("IMPORTRANGE(""https://docs.google.com/spreadsheets/d/1IYY_tgx_IHuhSq3AJ5eI5OnqOPBNLWSHKh2a30DoXe8/edit?usp=sharing"",""สงขลา!M461"")"),56375)</f>
        <v>56375</v>
      </c>
      <c r="O566" s="176">
        <f t="shared" ca="1" si="122"/>
        <v>45.610841423948223</v>
      </c>
      <c r="P566" s="176"/>
    </row>
    <row r="567" spans="1:16" ht="21.75" customHeight="1" x14ac:dyDescent="0.35">
      <c r="A567" s="162"/>
      <c r="B567" s="163"/>
      <c r="C567" s="163"/>
      <c r="D567" s="172"/>
      <c r="E567" s="165"/>
      <c r="F567" s="165"/>
      <c r="G567" s="380" t="s">
        <v>129</v>
      </c>
      <c r="H567" s="167" t="s">
        <v>12</v>
      </c>
      <c r="I567" s="168"/>
      <c r="J567" s="168"/>
      <c r="K567" s="169"/>
      <c r="L567" s="176">
        <f ca="1">IFERROR(__xludf.DUMMYFUNCTION("IMPORTRANGE(""https://docs.google.com/spreadsheets/d/1IYY_tgx_IHuhSq3AJ5eI5OnqOPBNLWSHKh2a30DoXe8/edit?usp=sharing"",""สงขลา!L462"")"),0)</f>
        <v>0</v>
      </c>
      <c r="M567" s="176"/>
      <c r="N567" s="176">
        <f ca="1">IFERROR(__xludf.DUMMYFUNCTION("IMPORTRANGE(""https://docs.google.com/spreadsheets/d/1IYY_tgx_IHuhSq3AJ5eI5OnqOPBNLWSHKh2a30DoXe8/edit?usp=sharing"",""สงขลา!M462"")"),0)</f>
        <v>0</v>
      </c>
      <c r="O567" s="176">
        <f t="shared" ca="1" si="122"/>
        <v>0</v>
      </c>
      <c r="P567" s="176"/>
    </row>
    <row r="568" spans="1:16" ht="21.75" customHeight="1" x14ac:dyDescent="0.35">
      <c r="A568" s="162"/>
      <c r="B568" s="163"/>
      <c r="C568" s="163"/>
      <c r="D568" s="172"/>
      <c r="E568" s="165"/>
      <c r="F568" s="165"/>
      <c r="G568" s="380" t="s">
        <v>130</v>
      </c>
      <c r="H568" s="167" t="s">
        <v>12</v>
      </c>
      <c r="I568" s="168"/>
      <c r="J568" s="168"/>
      <c r="K568" s="169"/>
      <c r="L568" s="176">
        <f ca="1">IFERROR(__xludf.DUMMYFUNCTION("IMPORTRANGE(""https://docs.google.com/spreadsheets/d/1IYY_tgx_IHuhSq3AJ5eI5OnqOPBNLWSHKh2a30DoXe8/edit?usp=sharing"",""สงขลา!L463"")"),123600)</f>
        <v>123600</v>
      </c>
      <c r="M568" s="176"/>
      <c r="N568" s="176">
        <f ca="1">IFERROR(__xludf.DUMMYFUNCTION("IMPORTRANGE(""https://docs.google.com/spreadsheets/d/1IYY_tgx_IHuhSq3AJ5eI5OnqOPBNLWSHKh2a30DoXe8/edit?usp=sharing"",""สงขลา!M463"")"),56375)</f>
        <v>56375</v>
      </c>
      <c r="O568" s="176">
        <f t="shared" ca="1" si="122"/>
        <v>45.610841423948223</v>
      </c>
      <c r="P568" s="176"/>
    </row>
    <row r="569" spans="1:16" ht="21.75" customHeight="1" x14ac:dyDescent="0.35">
      <c r="A569" s="381"/>
      <c r="B569" s="382"/>
      <c r="C569" s="163"/>
      <c r="D569" s="383"/>
      <c r="E569" s="165"/>
      <c r="F569" s="165"/>
      <c r="G569" s="384" t="s">
        <v>131</v>
      </c>
      <c r="H569" s="167" t="s">
        <v>12</v>
      </c>
      <c r="I569" s="195"/>
      <c r="J569" s="195"/>
      <c r="K569" s="231"/>
      <c r="L569" s="176"/>
      <c r="M569" s="176"/>
      <c r="N569" s="173">
        <f ca="1">IFERROR(__xludf.DUMMYFUNCTION("IMPORTRANGE(""https://docs.google.com/spreadsheets/d/1IYY_tgx_IHuhSq3AJ5eI5OnqOPBNLWSHKh2a30DoXe8/edit?usp=sharing"",""สงขลา!M464"")"),0)</f>
        <v>0</v>
      </c>
      <c r="O569" s="176"/>
      <c r="P569" s="176"/>
    </row>
    <row r="570" spans="1:16" ht="21.75" customHeight="1" x14ac:dyDescent="0.35">
      <c r="A570" s="381"/>
      <c r="B570" s="382"/>
      <c r="C570" s="163"/>
      <c r="D570" s="383"/>
      <c r="E570" s="165"/>
      <c r="F570" s="165"/>
      <c r="G570" s="384" t="s">
        <v>132</v>
      </c>
      <c r="H570" s="167" t="s">
        <v>12</v>
      </c>
      <c r="I570" s="195"/>
      <c r="J570" s="195"/>
      <c r="K570" s="231"/>
      <c r="L570" s="176"/>
      <c r="M570" s="176"/>
      <c r="N570" s="173">
        <f ca="1">IFERROR(__xludf.DUMMYFUNCTION("IMPORTRANGE(""https://docs.google.com/spreadsheets/d/1IYY_tgx_IHuhSq3AJ5eI5OnqOPBNLWSHKh2a30DoXe8/edit?usp=sharing"",""สงขลา!M465"")"),0)</f>
        <v>0</v>
      </c>
      <c r="O570" s="176"/>
      <c r="P570" s="176"/>
    </row>
    <row r="571" spans="1:16" ht="21.75" customHeight="1" x14ac:dyDescent="0.35">
      <c r="A571" s="381"/>
      <c r="B571" s="382"/>
      <c r="C571" s="163"/>
      <c r="D571" s="383"/>
      <c r="E571" s="165"/>
      <c r="F571" s="165"/>
      <c r="G571" s="384" t="s">
        <v>133</v>
      </c>
      <c r="H571" s="167" t="s">
        <v>12</v>
      </c>
      <c r="I571" s="195"/>
      <c r="J571" s="195"/>
      <c r="K571" s="231"/>
      <c r="L571" s="176"/>
      <c r="M571" s="176"/>
      <c r="N571" s="385">
        <f ca="1">IFERROR(__xludf.DUMMYFUNCTION("IMPORTRANGE(""https://docs.google.com/spreadsheets/d/1IYY_tgx_IHuhSq3AJ5eI5OnqOPBNLWSHKh2a30DoXe8/edit?usp=sharing"",""สงขลา!M466"")"),53935)</f>
        <v>53935</v>
      </c>
      <c r="O571" s="176"/>
      <c r="P571" s="176"/>
    </row>
    <row r="572" spans="1:16" ht="21.75" customHeight="1" x14ac:dyDescent="0.35">
      <c r="A572" s="381"/>
      <c r="B572" s="382"/>
      <c r="C572" s="163"/>
      <c r="D572" s="383"/>
      <c r="E572" s="165"/>
      <c r="F572" s="165"/>
      <c r="G572" s="384" t="s">
        <v>134</v>
      </c>
      <c r="H572" s="167" t="s">
        <v>12</v>
      </c>
      <c r="I572" s="195"/>
      <c r="J572" s="195"/>
      <c r="K572" s="231"/>
      <c r="L572" s="176"/>
      <c r="M572" s="176"/>
      <c r="N572" s="385">
        <f ca="1">IFERROR(__xludf.DUMMYFUNCTION("IMPORTRANGE(""https://docs.google.com/spreadsheets/d/1IYY_tgx_IHuhSq3AJ5eI5OnqOPBNLWSHKh2a30DoXe8/edit?usp=sharing"",""สงขลา!M467"")"),2440)</f>
        <v>2440</v>
      </c>
      <c r="O572" s="176"/>
      <c r="P572" s="176"/>
    </row>
    <row r="573" spans="1:16" ht="21.75" customHeight="1" x14ac:dyDescent="0.35">
      <c r="A573" s="183"/>
      <c r="B573" s="184"/>
      <c r="C573" s="184"/>
      <c r="D573" s="203"/>
      <c r="E573" s="202" t="s">
        <v>40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IFERROR(__xludf.DUMMYFUNCTION("IMPORTRANGE(""https://docs.google.com/spreadsheets/d/1IYY_tgx_IHuhSq3AJ5eI5OnqOPBNLWSHKh2a30DoXe8/edit?usp=sharing"",""สงขลา!I468"")"),1100)</f>
        <v>1100</v>
      </c>
      <c r="J573" s="426">
        <f ca="1">IFERROR(__xludf.DUMMYFUNCTION("IMPORTRANGE(""https://docs.google.com/spreadsheets/d/1IYY_tgx_IHuhSq3AJ5eI5OnqOPBNLWSHKh2a30DoXe8/edit?usp=sharing"",""สงขลา!J468"")"),992)</f>
        <v>992</v>
      </c>
      <c r="K573" s="209">
        <f ca="1">IF(I573&gt;0,J573*100/I573,0)</f>
        <v>90.181818181818187</v>
      </c>
      <c r="L573" s="189"/>
      <c r="M573" s="189"/>
      <c r="N573" s="189"/>
      <c r="O573" s="189"/>
      <c r="P573" s="189"/>
    </row>
    <row r="574" spans="1:16" ht="21.75" customHeight="1" x14ac:dyDescent="0.35">
      <c r="A574" s="183"/>
      <c r="B574" s="184"/>
      <c r="C574" s="184"/>
      <c r="D574" s="203"/>
      <c r="E574" s="203"/>
      <c r="F574" s="202" t="s">
        <v>210</v>
      </c>
      <c r="G574" s="204"/>
      <c r="H574" s="481"/>
      <c r="I574" s="168"/>
      <c r="J574" s="168"/>
      <c r="K574" s="169"/>
      <c r="L574" s="189"/>
      <c r="M574" s="189"/>
      <c r="N574" s="189"/>
      <c r="O574" s="189"/>
      <c r="P574" s="189"/>
    </row>
    <row r="575" spans="1:16" ht="21.75" customHeight="1" x14ac:dyDescent="0.35">
      <c r="A575" s="183"/>
      <c r="B575" s="184"/>
      <c r="C575" s="184"/>
      <c r="D575" s="203"/>
      <c r="E575" s="202" t="s">
        <v>40</v>
      </c>
      <c r="F575" s="202" t="s">
        <v>211</v>
      </c>
      <c r="G575" s="204"/>
      <c r="H575" s="481" t="s">
        <v>77</v>
      </c>
      <c r="I575" s="210">
        <f ca="1">IFERROR(__xludf.DUMMYFUNCTION("IMPORTRANGE(""https://docs.google.com/spreadsheets/d/1IYY_tgx_IHuhSq3AJ5eI5OnqOPBNLWSHKh2a30DoXe8/edit?usp=sharing"",""สงขลา!I470"")"),0)</f>
        <v>0</v>
      </c>
      <c r="J575" s="205">
        <f ca="1">IFERROR(__xludf.DUMMYFUNCTION("IMPORTRANGE(""https://docs.google.com/spreadsheets/d/1IYY_tgx_IHuhSq3AJ5eI5OnqOPBNLWSHKh2a30DoXe8/edit?usp=sharing"",""สงขลา!J470"")"),1)</f>
        <v>1</v>
      </c>
      <c r="K575" s="169">
        <f t="shared" ref="K575:K579" ca="1" si="123">IF(I575&gt;0,J575*100/I575,0)</f>
        <v>0</v>
      </c>
      <c r="L575" s="189"/>
      <c r="M575" s="189"/>
      <c r="N575" s="189"/>
      <c r="O575" s="189"/>
      <c r="P575" s="189"/>
    </row>
    <row r="576" spans="1:16" ht="21.75" customHeight="1" x14ac:dyDescent="0.35">
      <c r="A576" s="183"/>
      <c r="B576" s="184"/>
      <c r="C576" s="184"/>
      <c r="D576" s="203"/>
      <c r="E576" s="203"/>
      <c r="F576" s="202" t="s">
        <v>212</v>
      </c>
      <c r="G576" s="204"/>
      <c r="H576" s="481" t="s">
        <v>37</v>
      </c>
      <c r="I576" s="210">
        <f ca="1">IFERROR(__xludf.DUMMYFUNCTION("IMPORTRANGE(""https://docs.google.com/spreadsheets/d/1IYY_tgx_IHuhSq3AJ5eI5OnqOPBNLWSHKh2a30DoXe8/edit?usp=sharing"",""สงขลา!I471"")"),0)</f>
        <v>0</v>
      </c>
      <c r="J576" s="205">
        <f ca="1">IFERROR(__xludf.DUMMYFUNCTION("IMPORTRANGE(""https://docs.google.com/spreadsheets/d/1IYY_tgx_IHuhSq3AJ5eI5OnqOPBNLWSHKh2a30DoXe8/edit?usp=sharing"",""สงขลา!J471"")"),35)</f>
        <v>35</v>
      </c>
      <c r="K576" s="169">
        <f t="shared" ca="1" si="123"/>
        <v>0</v>
      </c>
      <c r="L576" s="189"/>
      <c r="M576" s="189"/>
      <c r="N576" s="189"/>
      <c r="O576" s="189"/>
      <c r="P576" s="189"/>
    </row>
    <row r="577" spans="1:16" ht="21.75" customHeight="1" x14ac:dyDescent="0.35">
      <c r="A577" s="183"/>
      <c r="B577" s="184"/>
      <c r="C577" s="184"/>
      <c r="D577" s="203"/>
      <c r="E577" s="203"/>
      <c r="F577" s="202" t="s">
        <v>213</v>
      </c>
      <c r="G577" s="204"/>
      <c r="H577" s="481" t="s">
        <v>37</v>
      </c>
      <c r="I577" s="210">
        <f ca="1">IFERROR(__xludf.DUMMYFUNCTION("IMPORTRANGE(""https://docs.google.com/spreadsheets/d/1IYY_tgx_IHuhSq3AJ5eI5OnqOPBNLWSHKh2a30DoXe8/edit?usp=sharing"",""สงขลา!I472"")"),0)</f>
        <v>0</v>
      </c>
      <c r="J577" s="196">
        <f ca="1">IFERROR(__xludf.DUMMYFUNCTION("IMPORTRANGE(""https://docs.google.com/spreadsheets/d/1IYY_tgx_IHuhSq3AJ5eI5OnqOPBNLWSHKh2a30DoXe8/edit?usp=sharing"",""สงขลา!J472"")"),956)</f>
        <v>956</v>
      </c>
      <c r="K577" s="169">
        <f t="shared" ca="1" si="123"/>
        <v>0</v>
      </c>
      <c r="L577" s="189"/>
      <c r="M577" s="189"/>
      <c r="N577" s="189"/>
      <c r="O577" s="189"/>
      <c r="P577" s="189"/>
    </row>
    <row r="578" spans="1:16" ht="21.75" customHeight="1" x14ac:dyDescent="0.35">
      <c r="A578" s="183"/>
      <c r="B578" s="184"/>
      <c r="C578" s="184"/>
      <c r="D578" s="203"/>
      <c r="E578" s="203"/>
      <c r="F578" s="202" t="s">
        <v>214</v>
      </c>
      <c r="G578" s="427"/>
      <c r="H578" s="481" t="s">
        <v>37</v>
      </c>
      <c r="I578" s="210">
        <f ca="1">IFERROR(__xludf.DUMMYFUNCTION("IMPORTRANGE(""https://docs.google.com/spreadsheets/d/1IYY_tgx_IHuhSq3AJ5eI5OnqOPBNLWSHKh2a30DoXe8/edit?usp=sharing"",""สงขลา!I473"")"),0)</f>
        <v>0</v>
      </c>
      <c r="J578" s="205">
        <f ca="1">IFERROR(__xludf.DUMMYFUNCTION("IMPORTRANGE(""https://docs.google.com/spreadsheets/d/1IYY_tgx_IHuhSq3AJ5eI5OnqOPBNLWSHKh2a30DoXe8/edit?usp=sharing"",""สงขลา!J473"")"),1)</f>
        <v>1</v>
      </c>
      <c r="K578" s="169">
        <f t="shared" ca="1" si="123"/>
        <v>0</v>
      </c>
      <c r="L578" s="189"/>
      <c r="M578" s="189"/>
      <c r="N578" s="189"/>
      <c r="O578" s="189"/>
      <c r="P578" s="189"/>
    </row>
    <row r="579" spans="1:16" ht="21.75" customHeight="1" x14ac:dyDescent="0.35">
      <c r="A579" s="183"/>
      <c r="B579" s="184"/>
      <c r="C579" s="184"/>
      <c r="D579" s="203"/>
      <c r="E579" s="203"/>
      <c r="F579" s="202" t="s">
        <v>215</v>
      </c>
      <c r="G579" s="427"/>
      <c r="H579" s="481" t="s">
        <v>37</v>
      </c>
      <c r="I579" s="210">
        <f ca="1">IFERROR(__xludf.DUMMYFUNCTION("IMPORTRANGE(""https://docs.google.com/spreadsheets/d/1IYY_tgx_IHuhSq3AJ5eI5OnqOPBNLWSHKh2a30DoXe8/edit?usp=sharing"",""สงขลา!I474"")"),0)</f>
        <v>0</v>
      </c>
      <c r="J579" s="205">
        <f ca="1">IFERROR(__xludf.DUMMYFUNCTION("IMPORTRANGE(""https://docs.google.com/spreadsheets/d/1IYY_tgx_IHuhSq3AJ5eI5OnqOPBNLWSHKh2a30DoXe8/edit?usp=sharing"",""สงขลา!J474"")"),0)</f>
        <v>0</v>
      </c>
      <c r="K579" s="169">
        <f t="shared" ca="1" si="123"/>
        <v>0</v>
      </c>
      <c r="L579" s="189"/>
      <c r="M579" s="189"/>
      <c r="N579" s="189"/>
      <c r="O579" s="189"/>
      <c r="P579" s="189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IFERROR(__xludf.DUMMYFUNCTION("IMPORTRANGE(""https://docs.google.com/spreadsheets/d/1IYY_tgx_IHuhSq3AJ5eI5OnqOPBNLWSHKh2a30DoXe8/edit?usp=sharing"",""สงขลา!I475"")"),220)</f>
        <v>220</v>
      </c>
      <c r="J580" s="377">
        <f ca="1">IFERROR(__xludf.DUMMYFUNCTION("IMPORTRANGE(""https://docs.google.com/spreadsheets/d/1IYY_tgx_IHuhSq3AJ5eI5OnqOPBNLWSHKh2a30DoXe8/edit?usp=sharing"",""สงขลา!J475"")"),0)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IFERROR(__xludf.DUMMYFUNCTION("IMPORTRANGE(""https://docs.google.com/spreadsheets/d/1IYY_tgx_IHuhSq3AJ5eI5OnqOPBNLWSHKh2a30DoXe8/edit?usp=sharing"",""สงขลา!L475"")"),376620)</f>
        <v>376620</v>
      </c>
      <c r="M580" s="379"/>
      <c r="N580" s="379">
        <f ca="1">IFERROR(__xludf.DUMMYFUNCTION("IMPORTRANGE(""https://docs.google.com/spreadsheets/d/1IYY_tgx_IHuhSq3AJ5eI5OnqOPBNLWSHKh2a30DoXe8/edit?usp=sharing"",""สงขลา!M475"")"),163300)</f>
        <v>163300</v>
      </c>
      <c r="O580" s="379">
        <f t="shared" ref="O580:O584" ca="1" si="124">+IF(L580&gt;0,N580*100/L580,0)</f>
        <v>43.359354256279538</v>
      </c>
      <c r="P580" s="379"/>
    </row>
    <row r="581" spans="1:16" ht="21.75" customHeight="1" x14ac:dyDescent="0.35">
      <c r="A581" s="162"/>
      <c r="B581" s="163"/>
      <c r="C581" s="163" t="s">
        <v>16</v>
      </c>
      <c r="D581" s="164" t="s">
        <v>38</v>
      </c>
      <c r="E581" s="165"/>
      <c r="F581" s="165"/>
      <c r="G581" s="166" t="s">
        <v>39</v>
      </c>
      <c r="H581" s="167" t="s">
        <v>12</v>
      </c>
      <c r="I581" s="168" t="s">
        <v>40</v>
      </c>
      <c r="J581" s="168"/>
      <c r="K581" s="169"/>
      <c r="L581" s="170">
        <f ca="1">IFERROR(__xludf.DUMMYFUNCTION("IMPORTRANGE(""https://docs.google.com/spreadsheets/d/1IYY_tgx_IHuhSq3AJ5eI5OnqOPBNLWSHKh2a30DoXe8/edit?usp=sharing"",""สงขลา!L476"")"),0)</f>
        <v>0</v>
      </c>
      <c r="M581" s="170"/>
      <c r="N581" s="176">
        <f ca="1">IFERROR(__xludf.DUMMYFUNCTION("IMPORTRANGE(""https://docs.google.com/spreadsheets/d/1IYY_tgx_IHuhSq3AJ5eI5OnqOPBNLWSHKh2a30DoXe8/edit?usp=sharing"",""สงขลา!M476"")"),0)</f>
        <v>0</v>
      </c>
      <c r="O581" s="176">
        <f t="shared" ca="1" si="124"/>
        <v>0</v>
      </c>
      <c r="P581" s="176"/>
    </row>
    <row r="582" spans="1:16" ht="21.75" customHeight="1" x14ac:dyDescent="0.35">
      <c r="A582" s="162"/>
      <c r="B582" s="163"/>
      <c r="C582" s="163"/>
      <c r="D582" s="172"/>
      <c r="E582" s="165"/>
      <c r="F582" s="165" t="s">
        <v>40</v>
      </c>
      <c r="G582" s="166" t="s">
        <v>41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IFERROR(__xludf.DUMMYFUNCTION("IMPORTRANGE(""https://docs.google.com/spreadsheets/d/1IYY_tgx_IHuhSq3AJ5eI5OnqOPBNLWSHKh2a30DoXe8/edit?usp=sharing"",""สงขลา!L477"")"),376620)</f>
        <v>376620</v>
      </c>
      <c r="M582" s="171"/>
      <c r="N582" s="176">
        <f ca="1">IFERROR(__xludf.DUMMYFUNCTION("IMPORTRANGE(""https://docs.google.com/spreadsheets/d/1IYY_tgx_IHuhSq3AJ5eI5OnqOPBNLWSHKh2a30DoXe8/edit?usp=sharing"",""สงขลา!M477"")"),163300)</f>
        <v>163300</v>
      </c>
      <c r="O582" s="176">
        <f t="shared" ca="1" si="124"/>
        <v>43.359354256279538</v>
      </c>
      <c r="P582" s="176"/>
    </row>
    <row r="583" spans="1:16" ht="21.75" customHeight="1" x14ac:dyDescent="0.35">
      <c r="A583" s="162"/>
      <c r="B583" s="163"/>
      <c r="C583" s="163"/>
      <c r="D583" s="172"/>
      <c r="E583" s="165"/>
      <c r="F583" s="165"/>
      <c r="G583" s="380" t="s">
        <v>129</v>
      </c>
      <c r="H583" s="167" t="s">
        <v>12</v>
      </c>
      <c r="I583" s="168"/>
      <c r="J583" s="168"/>
      <c r="K583" s="169"/>
      <c r="L583" s="176">
        <f ca="1">IFERROR(__xludf.DUMMYFUNCTION("IMPORTRANGE(""https://docs.google.com/spreadsheets/d/1IYY_tgx_IHuhSq3AJ5eI5OnqOPBNLWSHKh2a30DoXe8/edit?usp=sharing"",""สงขลา!L478"")"),0)</f>
        <v>0</v>
      </c>
      <c r="M583" s="176"/>
      <c r="N583" s="176">
        <f ca="1">IFERROR(__xludf.DUMMYFUNCTION("IMPORTRANGE(""https://docs.google.com/spreadsheets/d/1IYY_tgx_IHuhSq3AJ5eI5OnqOPBNLWSHKh2a30DoXe8/edit?usp=sharing"",""สงขลา!M478"")"),0)</f>
        <v>0</v>
      </c>
      <c r="O583" s="176">
        <f t="shared" ca="1" si="124"/>
        <v>0</v>
      </c>
      <c r="P583" s="176"/>
    </row>
    <row r="584" spans="1:16" ht="21.75" customHeight="1" x14ac:dyDescent="0.35">
      <c r="A584" s="162"/>
      <c r="B584" s="163"/>
      <c r="C584" s="163"/>
      <c r="D584" s="172"/>
      <c r="E584" s="165"/>
      <c r="F584" s="165"/>
      <c r="G584" s="380" t="s">
        <v>130</v>
      </c>
      <c r="H584" s="167" t="s">
        <v>12</v>
      </c>
      <c r="I584" s="168"/>
      <c r="J584" s="168"/>
      <c r="K584" s="169"/>
      <c r="L584" s="176">
        <f ca="1">IFERROR(__xludf.DUMMYFUNCTION("IMPORTRANGE(""https://docs.google.com/spreadsheets/d/1IYY_tgx_IHuhSq3AJ5eI5OnqOPBNLWSHKh2a30DoXe8/edit?usp=sharing"",""สงขลา!L479"")"),376620)</f>
        <v>376620</v>
      </c>
      <c r="M584" s="176"/>
      <c r="N584" s="176">
        <f ca="1">IFERROR(__xludf.DUMMYFUNCTION("IMPORTRANGE(""https://docs.google.com/spreadsheets/d/1IYY_tgx_IHuhSq3AJ5eI5OnqOPBNLWSHKh2a30DoXe8/edit?usp=sharing"",""สงขลา!M479"")"),163300)</f>
        <v>163300</v>
      </c>
      <c r="O584" s="176">
        <f t="shared" ca="1" si="124"/>
        <v>43.359354256279538</v>
      </c>
      <c r="P584" s="176"/>
    </row>
    <row r="585" spans="1:16" ht="21.75" customHeight="1" x14ac:dyDescent="0.35">
      <c r="A585" s="381"/>
      <c r="B585" s="382"/>
      <c r="C585" s="163"/>
      <c r="D585" s="383"/>
      <c r="E585" s="165"/>
      <c r="F585" s="165"/>
      <c r="G585" s="384" t="s">
        <v>131</v>
      </c>
      <c r="H585" s="167" t="s">
        <v>12</v>
      </c>
      <c r="I585" s="195"/>
      <c r="J585" s="195"/>
      <c r="K585" s="231"/>
      <c r="L585" s="176"/>
      <c r="M585" s="176"/>
      <c r="N585" s="173">
        <f ca="1">IFERROR(__xludf.DUMMYFUNCTION("IMPORTRANGE(""https://docs.google.com/spreadsheets/d/1IYY_tgx_IHuhSq3AJ5eI5OnqOPBNLWSHKh2a30DoXe8/edit?usp=sharing"",""สงขลา!M480"")"),0)</f>
        <v>0</v>
      </c>
      <c r="O585" s="176"/>
      <c r="P585" s="176"/>
    </row>
    <row r="586" spans="1:16" ht="21.75" customHeight="1" x14ac:dyDescent="0.35">
      <c r="A586" s="381"/>
      <c r="B586" s="382"/>
      <c r="C586" s="163"/>
      <c r="D586" s="383"/>
      <c r="E586" s="165"/>
      <c r="F586" s="165"/>
      <c r="G586" s="384" t="s">
        <v>132</v>
      </c>
      <c r="H586" s="167" t="s">
        <v>12</v>
      </c>
      <c r="I586" s="195"/>
      <c r="J586" s="195"/>
      <c r="K586" s="231"/>
      <c r="L586" s="176"/>
      <c r="M586" s="176"/>
      <c r="N586" s="173">
        <f ca="1">IFERROR(__xludf.DUMMYFUNCTION("IMPORTRANGE(""https://docs.google.com/spreadsheets/d/1IYY_tgx_IHuhSq3AJ5eI5OnqOPBNLWSHKh2a30DoXe8/edit?usp=sharing"",""สงขลา!M481"")"),0)</f>
        <v>0</v>
      </c>
      <c r="O586" s="176"/>
      <c r="P586" s="176"/>
    </row>
    <row r="587" spans="1:16" ht="21.75" customHeight="1" x14ac:dyDescent="0.35">
      <c r="A587" s="381"/>
      <c r="B587" s="382"/>
      <c r="C587" s="163"/>
      <c r="D587" s="383"/>
      <c r="E587" s="165"/>
      <c r="F587" s="165"/>
      <c r="G587" s="384" t="s">
        <v>133</v>
      </c>
      <c r="H587" s="167" t="s">
        <v>12</v>
      </c>
      <c r="I587" s="195"/>
      <c r="J587" s="195"/>
      <c r="K587" s="231"/>
      <c r="L587" s="176"/>
      <c r="M587" s="176"/>
      <c r="N587" s="173">
        <f ca="1">IFERROR(__xludf.DUMMYFUNCTION("IMPORTRANGE(""https://docs.google.com/spreadsheets/d/1IYY_tgx_IHuhSq3AJ5eI5OnqOPBNLWSHKh2a30DoXe8/edit?usp=sharing"",""สงขลา!M482"")"),53935)</f>
        <v>53935</v>
      </c>
      <c r="O587" s="176"/>
      <c r="P587" s="176"/>
    </row>
    <row r="588" spans="1:16" ht="21.75" customHeight="1" x14ac:dyDescent="0.35">
      <c r="A588" s="381"/>
      <c r="B588" s="382"/>
      <c r="C588" s="163"/>
      <c r="D588" s="383"/>
      <c r="E588" s="165"/>
      <c r="F588" s="165"/>
      <c r="G588" s="384" t="s">
        <v>134</v>
      </c>
      <c r="H588" s="167" t="s">
        <v>12</v>
      </c>
      <c r="I588" s="195"/>
      <c r="J588" s="195"/>
      <c r="K588" s="231"/>
      <c r="L588" s="176"/>
      <c r="M588" s="176"/>
      <c r="N588" s="173">
        <f ca="1">IFERROR(__xludf.DUMMYFUNCTION("IMPORTRANGE(""https://docs.google.com/spreadsheets/d/1IYY_tgx_IHuhSq3AJ5eI5OnqOPBNLWSHKh2a30DoXe8/edit?usp=sharing"",""สงขลา!M483"")"),109365)</f>
        <v>109365</v>
      </c>
      <c r="O588" s="176"/>
      <c r="P588" s="176"/>
    </row>
    <row r="589" spans="1:16" ht="21.75" customHeight="1" x14ac:dyDescent="0.35">
      <c r="A589" s="484"/>
      <c r="B589" s="172"/>
      <c r="C589" s="163"/>
      <c r="D589" s="297"/>
      <c r="E589" s="202" t="s">
        <v>217</v>
      </c>
      <c r="F589" s="203"/>
      <c r="G589" s="204"/>
      <c r="H589" s="188" t="s">
        <v>36</v>
      </c>
      <c r="I589" s="347">
        <f ca="1">IFERROR(__xludf.DUMMYFUNCTION("IMPORTRANGE(""https://docs.google.com/spreadsheets/d/1IYY_tgx_IHuhSq3AJ5eI5OnqOPBNLWSHKh2a30DoXe8/edit?usp=sharing"",""สงขลา!I484"")"),220)</f>
        <v>220</v>
      </c>
      <c r="J589" s="195">
        <f ca="1">IFERROR(__xludf.DUMMYFUNCTION("IMPORTRANGE(""https://docs.google.com/spreadsheets/d/1IYY_tgx_IHuhSq3AJ5eI5OnqOPBNLWSHKh2a30DoXe8/edit?usp=sharing"",""สงขลา!J484"")"),190)</f>
        <v>190</v>
      </c>
      <c r="K589" s="169">
        <f t="shared" ref="K589:K596" ca="1" si="125">IF(I589&gt;0,J589*100/I589,0)</f>
        <v>86.36363636363636</v>
      </c>
      <c r="L589" s="189"/>
      <c r="M589" s="189"/>
      <c r="N589" s="176"/>
      <c r="O589" s="189"/>
      <c r="P589" s="189"/>
    </row>
    <row r="590" spans="1:16" ht="21.75" customHeight="1" x14ac:dyDescent="0.35">
      <c r="A590" s="484"/>
      <c r="B590" s="172"/>
      <c r="C590" s="163"/>
      <c r="D590" s="297"/>
      <c r="E590" s="203"/>
      <c r="F590" s="203"/>
      <c r="G590" s="204"/>
      <c r="H590" s="188" t="s">
        <v>122</v>
      </c>
      <c r="I590" s="351">
        <f ca="1">IFERROR(__xludf.DUMMYFUNCTION("IMPORTRANGE(""https://docs.google.com/spreadsheets/d/1IYY_tgx_IHuhSq3AJ5eI5OnqOPBNLWSHKh2a30DoXe8/edit?usp=sharing"",""สงขลา!I485"")"),0)</f>
        <v>0</v>
      </c>
      <c r="J590" s="195">
        <f ca="1">IFERROR(__xludf.DUMMYFUNCTION("IMPORTRANGE(""https://docs.google.com/spreadsheets/d/1IYY_tgx_IHuhSq3AJ5eI5OnqOPBNLWSHKh2a30DoXe8/edit?usp=sharing"",""สงขลา!J485"")"),51.12)</f>
        <v>51.12</v>
      </c>
      <c r="K590" s="485">
        <f t="shared" ca="1" si="125"/>
        <v>0</v>
      </c>
      <c r="L590" s="189"/>
      <c r="M590" s="189"/>
      <c r="N590" s="176"/>
      <c r="O590" s="189"/>
      <c r="P590" s="189"/>
    </row>
    <row r="591" spans="1:16" ht="21.75" customHeight="1" x14ac:dyDescent="0.35">
      <c r="A591" s="484"/>
      <c r="B591" s="172"/>
      <c r="C591" s="163"/>
      <c r="D591" s="297"/>
      <c r="E591" s="202" t="s">
        <v>123</v>
      </c>
      <c r="F591" s="203"/>
      <c r="G591" s="204"/>
      <c r="H591" s="188" t="s">
        <v>37</v>
      </c>
      <c r="I591" s="347">
        <f ca="1">IFERROR(__xludf.DUMMYFUNCTION("IMPORTRANGE(""https://docs.google.com/spreadsheets/d/1IYY_tgx_IHuhSq3AJ5eI5OnqOPBNLWSHKh2a30DoXe8/edit?usp=sharing"",""สงขลา!I486"")"),220)</f>
        <v>220</v>
      </c>
      <c r="J591" s="195">
        <f ca="1">IFERROR(__xludf.DUMMYFUNCTION("IMPORTRANGE(""https://docs.google.com/spreadsheets/d/1IYY_tgx_IHuhSq3AJ5eI5OnqOPBNLWSHKh2a30DoXe8/edit?usp=sharing"",""สงขลา!J486"")"),48)</f>
        <v>48</v>
      </c>
      <c r="K591" s="169">
        <f t="shared" ca="1" si="125"/>
        <v>21.818181818181817</v>
      </c>
      <c r="L591" s="189"/>
      <c r="M591" s="189"/>
      <c r="N591" s="189"/>
      <c r="O591" s="189"/>
      <c r="P591" s="189"/>
    </row>
    <row r="592" spans="1:16" ht="21.75" customHeight="1" x14ac:dyDescent="0.35">
      <c r="A592" s="484"/>
      <c r="B592" s="172"/>
      <c r="C592" s="163"/>
      <c r="D592" s="297"/>
      <c r="E592" s="203"/>
      <c r="F592" s="203"/>
      <c r="G592" s="204"/>
      <c r="H592" s="188" t="s">
        <v>122</v>
      </c>
      <c r="I592" s="351">
        <f ca="1">IFERROR(__xludf.DUMMYFUNCTION("IMPORTRANGE(""https://docs.google.com/spreadsheets/d/1IYY_tgx_IHuhSq3AJ5eI5OnqOPBNLWSHKh2a30DoXe8/edit?usp=sharing"",""สงขลา!I487"")"),0)</f>
        <v>0</v>
      </c>
      <c r="J592" s="195">
        <f ca="1">IFERROR(__xludf.DUMMYFUNCTION("IMPORTRANGE(""https://docs.google.com/spreadsheets/d/1IYY_tgx_IHuhSq3AJ5eI5OnqOPBNLWSHKh2a30DoXe8/edit?usp=sharing"",""สงขลา!J487"")"),13.96)</f>
        <v>13.96</v>
      </c>
      <c r="K592" s="348">
        <f t="shared" ca="1" si="125"/>
        <v>0</v>
      </c>
      <c r="L592" s="189"/>
      <c r="M592" s="189"/>
      <c r="N592" s="189"/>
      <c r="O592" s="189"/>
      <c r="P592" s="189"/>
    </row>
    <row r="593" spans="1:16" ht="21.75" customHeight="1" x14ac:dyDescent="0.35">
      <c r="A593" s="484"/>
      <c r="B593" s="172"/>
      <c r="C593" s="163"/>
      <c r="D593" s="297"/>
      <c r="E593" s="202" t="s">
        <v>124</v>
      </c>
      <c r="F593" s="203"/>
      <c r="G593" s="204"/>
      <c r="H593" s="188" t="s">
        <v>37</v>
      </c>
      <c r="I593" s="347">
        <f ca="1">IFERROR(__xludf.DUMMYFUNCTION("IMPORTRANGE(""https://docs.google.com/spreadsheets/d/1IYY_tgx_IHuhSq3AJ5eI5OnqOPBNLWSHKh2a30DoXe8/edit?usp=sharing"",""สงขลา!I488"")"),220)</f>
        <v>220</v>
      </c>
      <c r="J593" s="195">
        <f ca="1">IFERROR(__xludf.DUMMYFUNCTION("IMPORTRANGE(""https://docs.google.com/spreadsheets/d/1IYY_tgx_IHuhSq3AJ5eI5OnqOPBNLWSHKh2a30DoXe8/edit?usp=sharing"",""สงขลา!J488"")"),0)</f>
        <v>0</v>
      </c>
      <c r="K593" s="169">
        <f t="shared" ca="1" si="125"/>
        <v>0</v>
      </c>
      <c r="L593" s="189"/>
      <c r="M593" s="189"/>
      <c r="N593" s="189"/>
      <c r="O593" s="189"/>
      <c r="P593" s="189"/>
    </row>
    <row r="594" spans="1:16" ht="21.75" customHeight="1" x14ac:dyDescent="0.35">
      <c r="A594" s="484"/>
      <c r="B594" s="172"/>
      <c r="C594" s="163"/>
      <c r="D594" s="297"/>
      <c r="E594" s="203"/>
      <c r="F594" s="203"/>
      <c r="G594" s="204"/>
      <c r="H594" s="188" t="s">
        <v>122</v>
      </c>
      <c r="I594" s="351">
        <f ca="1">IFERROR(__xludf.DUMMYFUNCTION("IMPORTRANGE(""https://docs.google.com/spreadsheets/d/1IYY_tgx_IHuhSq3AJ5eI5OnqOPBNLWSHKh2a30DoXe8/edit?usp=sharing"",""สงขลา!I489"")"),0)</f>
        <v>0</v>
      </c>
      <c r="J594" s="195">
        <f ca="1">IFERROR(__xludf.DUMMYFUNCTION("IMPORTRANGE(""https://docs.google.com/spreadsheets/d/1IYY_tgx_IHuhSq3AJ5eI5OnqOPBNLWSHKh2a30DoXe8/edit?usp=sharing"",""สงขลา!J489"")"),0)</f>
        <v>0</v>
      </c>
      <c r="K594" s="348">
        <f t="shared" ca="1" si="125"/>
        <v>0</v>
      </c>
      <c r="L594" s="189"/>
      <c r="M594" s="189"/>
      <c r="N594" s="189"/>
      <c r="O594" s="189"/>
      <c r="P594" s="189"/>
    </row>
    <row r="595" spans="1:16" ht="21.75" customHeight="1" x14ac:dyDescent="0.35">
      <c r="A595" s="484"/>
      <c r="B595" s="172"/>
      <c r="C595" s="163"/>
      <c r="D595" s="297"/>
      <c r="E595" s="202" t="s">
        <v>125</v>
      </c>
      <c r="F595" s="203"/>
      <c r="G595" s="204"/>
      <c r="H595" s="188" t="s">
        <v>37</v>
      </c>
      <c r="I595" s="347">
        <f ca="1">IFERROR(__xludf.DUMMYFUNCTION("IMPORTRANGE(""https://docs.google.com/spreadsheets/d/1IYY_tgx_IHuhSq3AJ5eI5OnqOPBNLWSHKh2a30DoXe8/edit?usp=sharing"",""สงขลา!I490"")"),220)</f>
        <v>220</v>
      </c>
      <c r="J595" s="195">
        <f ca="1">IFERROR(__xludf.DUMMYFUNCTION("IMPORTRANGE(""https://docs.google.com/spreadsheets/d/1IYY_tgx_IHuhSq3AJ5eI5OnqOPBNLWSHKh2a30DoXe8/edit?usp=sharing"",""สงขลา!J490"")"),0)</f>
        <v>0</v>
      </c>
      <c r="K595" s="169">
        <f t="shared" ca="1" si="125"/>
        <v>0</v>
      </c>
      <c r="L595" s="189"/>
      <c r="M595" s="189"/>
      <c r="N595" s="189"/>
      <c r="O595" s="189"/>
      <c r="P595" s="189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IFERROR(__xludf.DUMMYFUNCTION("IMPORTRANGE(""https://docs.google.com/spreadsheets/d/1IYY_tgx_IHuhSq3AJ5eI5OnqOPBNLWSHKh2a30DoXe8/edit?usp=sharing"",""สงขลา!I491"")"),0)</f>
        <v>0</v>
      </c>
      <c r="J596" s="248">
        <f ca="1">IFERROR(__xludf.DUMMYFUNCTION("IMPORTRANGE(""https://docs.google.com/spreadsheets/d/1IYY_tgx_IHuhSq3AJ5eI5OnqOPBNLWSHKh2a30DoXe8/edit?usp=sharing"",""สงขลา!J491"")"),0)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IFERROR(__xludf.DUMMYFUNCTION("IMPORTRANGE(""https://docs.google.com/spreadsheets/d/1IYY_tgx_IHuhSq3AJ5eI5OnqOPBNLWSHKh2a30DoXe8/edit?usp=sharing"",""สงขลา!I492"")"),50)</f>
        <v>50</v>
      </c>
      <c r="J597" s="493">
        <f ca="1">IFERROR(__xludf.DUMMYFUNCTION("IMPORTRANGE(""https://docs.google.com/spreadsheets/d/1IYY_tgx_IHuhSq3AJ5eI5OnqOPBNLWSHKh2a30DoXe8/edit?usp=sharing"",""สงขลา!J492"")"),0)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IFERROR(__xludf.DUMMYFUNCTION("IMPORTRANGE(""https://docs.google.com/spreadsheets/d/1IYY_tgx_IHuhSq3AJ5eI5OnqOPBNLWSHKh2a30DoXe8/edit?usp=sharing"",""สงขลา!L492"")"),4550)</f>
        <v>4550</v>
      </c>
      <c r="M597" s="418"/>
      <c r="N597" s="418">
        <f ca="1">IFERROR(__xludf.DUMMYFUNCTION("IMPORTRANGE(""https://docs.google.com/spreadsheets/d/1IYY_tgx_IHuhSq3AJ5eI5OnqOPBNLWSHKh2a30DoXe8/edit?usp=sharing"",""สงขลา!M492"")"),500)</f>
        <v>500</v>
      </c>
      <c r="O597" s="418">
        <f t="shared" ref="O597:O601" ca="1" si="126">+IF(L597&gt;0,N597*100/L597,0)</f>
        <v>10.989010989010989</v>
      </c>
      <c r="P597" s="418"/>
    </row>
    <row r="598" spans="1:16" ht="21.75" customHeight="1" x14ac:dyDescent="0.35">
      <c r="A598" s="162"/>
      <c r="B598" s="163"/>
      <c r="C598" s="163" t="s">
        <v>16</v>
      </c>
      <c r="D598" s="164" t="s">
        <v>38</v>
      </c>
      <c r="E598" s="165"/>
      <c r="F598" s="165"/>
      <c r="G598" s="166" t="s">
        <v>39</v>
      </c>
      <c r="H598" s="167" t="s">
        <v>12</v>
      </c>
      <c r="I598" s="168" t="s">
        <v>40</v>
      </c>
      <c r="J598" s="168"/>
      <c r="K598" s="169"/>
      <c r="L598" s="170">
        <f ca="1">IFERROR(__xludf.DUMMYFUNCTION("IMPORTRANGE(""https://docs.google.com/spreadsheets/d/1IYY_tgx_IHuhSq3AJ5eI5OnqOPBNLWSHKh2a30DoXe8/edit?usp=sharing"",""สงขลา!L493"")"),0)</f>
        <v>0</v>
      </c>
      <c r="M598" s="170"/>
      <c r="N598" s="176">
        <f ca="1">IFERROR(__xludf.DUMMYFUNCTION("IMPORTRANGE(""https://docs.google.com/spreadsheets/d/1IYY_tgx_IHuhSq3AJ5eI5OnqOPBNLWSHKh2a30DoXe8/edit?usp=sharing"",""สงขลา!M493"")"),0)</f>
        <v>0</v>
      </c>
      <c r="O598" s="176">
        <f t="shared" ca="1" si="126"/>
        <v>0</v>
      </c>
      <c r="P598" s="176"/>
    </row>
    <row r="599" spans="1:16" ht="21.75" customHeight="1" x14ac:dyDescent="0.35">
      <c r="A599" s="162"/>
      <c r="B599" s="163"/>
      <c r="C599" s="163"/>
      <c r="D599" s="172"/>
      <c r="E599" s="165"/>
      <c r="F599" s="165" t="s">
        <v>40</v>
      </c>
      <c r="G599" s="166" t="s">
        <v>41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IFERROR(__xludf.DUMMYFUNCTION("IMPORTRANGE(""https://docs.google.com/spreadsheets/d/1IYY_tgx_IHuhSq3AJ5eI5OnqOPBNLWSHKh2a30DoXe8/edit?usp=sharing"",""สงขลา!L494"")"),4550)</f>
        <v>4550</v>
      </c>
      <c r="M599" s="171"/>
      <c r="N599" s="176">
        <f ca="1">IFERROR(__xludf.DUMMYFUNCTION("IMPORTRANGE(""https://docs.google.com/spreadsheets/d/1IYY_tgx_IHuhSq3AJ5eI5OnqOPBNLWSHKh2a30DoXe8/edit?usp=sharing"",""สงขลา!M494"")"),500)</f>
        <v>500</v>
      </c>
      <c r="O599" s="176">
        <f t="shared" ca="1" si="126"/>
        <v>10.989010989010989</v>
      </c>
      <c r="P599" s="176"/>
    </row>
    <row r="600" spans="1:16" ht="21.75" customHeight="1" x14ac:dyDescent="0.35">
      <c r="A600" s="162"/>
      <c r="B600" s="163"/>
      <c r="C600" s="163"/>
      <c r="D600" s="172"/>
      <c r="E600" s="165"/>
      <c r="F600" s="165"/>
      <c r="G600" s="380" t="s">
        <v>129</v>
      </c>
      <c r="H600" s="167" t="s">
        <v>12</v>
      </c>
      <c r="I600" s="168"/>
      <c r="J600" s="168"/>
      <c r="K600" s="169"/>
      <c r="L600" s="176">
        <f ca="1">IFERROR(__xludf.DUMMYFUNCTION("IMPORTRANGE(""https://docs.google.com/spreadsheets/d/1IYY_tgx_IHuhSq3AJ5eI5OnqOPBNLWSHKh2a30DoXe8/edit?usp=sharing"",""สงขลา!L495"")"),0)</f>
        <v>0</v>
      </c>
      <c r="M600" s="176"/>
      <c r="N600" s="176">
        <f ca="1">IFERROR(__xludf.DUMMYFUNCTION("IMPORTRANGE(""https://docs.google.com/spreadsheets/d/1IYY_tgx_IHuhSq3AJ5eI5OnqOPBNLWSHKh2a30DoXe8/edit?usp=sharing"",""สงขลา!M495"")"),0)</f>
        <v>0</v>
      </c>
      <c r="O600" s="176">
        <f t="shared" ca="1" si="126"/>
        <v>0</v>
      </c>
      <c r="P600" s="176"/>
    </row>
    <row r="601" spans="1:16" ht="21.75" customHeight="1" x14ac:dyDescent="0.35">
      <c r="A601" s="162"/>
      <c r="B601" s="163"/>
      <c r="C601" s="163"/>
      <c r="D601" s="172"/>
      <c r="E601" s="165"/>
      <c r="F601" s="165"/>
      <c r="G601" s="380" t="s">
        <v>130</v>
      </c>
      <c r="H601" s="167" t="s">
        <v>12</v>
      </c>
      <c r="I601" s="168"/>
      <c r="J601" s="168"/>
      <c r="K601" s="169"/>
      <c r="L601" s="176">
        <f ca="1">IFERROR(__xludf.DUMMYFUNCTION("IMPORTRANGE(""https://docs.google.com/spreadsheets/d/1IYY_tgx_IHuhSq3AJ5eI5OnqOPBNLWSHKh2a30DoXe8/edit?usp=sharing"",""สงขลา!L496"")"),4550)</f>
        <v>4550</v>
      </c>
      <c r="M601" s="176"/>
      <c r="N601" s="176">
        <f ca="1">IFERROR(__xludf.DUMMYFUNCTION("IMPORTRANGE(""https://docs.google.com/spreadsheets/d/1IYY_tgx_IHuhSq3AJ5eI5OnqOPBNLWSHKh2a30DoXe8/edit?usp=sharing"",""สงขลา!M496"")"),500)</f>
        <v>500</v>
      </c>
      <c r="O601" s="176">
        <f t="shared" ca="1" si="126"/>
        <v>10.989010989010989</v>
      </c>
      <c r="P601" s="176"/>
    </row>
    <row r="602" spans="1:16" ht="21.75" customHeight="1" x14ac:dyDescent="0.35">
      <c r="A602" s="381"/>
      <c r="B602" s="382"/>
      <c r="C602" s="163"/>
      <c r="D602" s="383"/>
      <c r="E602" s="165"/>
      <c r="F602" s="165"/>
      <c r="G602" s="384" t="s">
        <v>131</v>
      </c>
      <c r="H602" s="167" t="s">
        <v>12</v>
      </c>
      <c r="I602" s="195"/>
      <c r="J602" s="195"/>
      <c r="K602" s="231"/>
      <c r="L602" s="176"/>
      <c r="M602" s="176"/>
      <c r="N602" s="173">
        <f ca="1">IFERROR(__xludf.DUMMYFUNCTION("IMPORTRANGE(""https://docs.google.com/spreadsheets/d/1IYY_tgx_IHuhSq3AJ5eI5OnqOPBNLWSHKh2a30DoXe8/edit?usp=sharing"",""สงขลา!M497"")"),0)</f>
        <v>0</v>
      </c>
      <c r="O602" s="176"/>
      <c r="P602" s="176"/>
    </row>
    <row r="603" spans="1:16" ht="21.75" customHeight="1" x14ac:dyDescent="0.35">
      <c r="A603" s="381"/>
      <c r="B603" s="382"/>
      <c r="C603" s="163"/>
      <c r="D603" s="383"/>
      <c r="E603" s="165"/>
      <c r="F603" s="165"/>
      <c r="G603" s="384" t="s">
        <v>132</v>
      </c>
      <c r="H603" s="167" t="s">
        <v>12</v>
      </c>
      <c r="I603" s="195"/>
      <c r="J603" s="195"/>
      <c r="K603" s="231"/>
      <c r="L603" s="176"/>
      <c r="M603" s="176"/>
      <c r="N603" s="173">
        <f ca="1">IFERROR(__xludf.DUMMYFUNCTION("IMPORTRANGE(""https://docs.google.com/spreadsheets/d/1IYY_tgx_IHuhSq3AJ5eI5OnqOPBNLWSHKh2a30DoXe8/edit?usp=sharing"",""สงขลา!M498"")"),0)</f>
        <v>0</v>
      </c>
      <c r="O603" s="176"/>
      <c r="P603" s="176"/>
    </row>
    <row r="604" spans="1:16" ht="21.75" customHeight="1" x14ac:dyDescent="0.35">
      <c r="A604" s="381"/>
      <c r="B604" s="382"/>
      <c r="C604" s="163"/>
      <c r="D604" s="383"/>
      <c r="E604" s="165"/>
      <c r="F604" s="165"/>
      <c r="G604" s="384" t="s">
        <v>133</v>
      </c>
      <c r="H604" s="167" t="s">
        <v>12</v>
      </c>
      <c r="I604" s="195"/>
      <c r="J604" s="195"/>
      <c r="K604" s="231"/>
      <c r="L604" s="176"/>
      <c r="M604" s="176"/>
      <c r="N604" s="385">
        <f ca="1">IFERROR(__xludf.DUMMYFUNCTION("IMPORTRANGE(""https://docs.google.com/spreadsheets/d/1IYY_tgx_IHuhSq3AJ5eI5OnqOPBNLWSHKh2a30DoXe8/edit?usp=sharing"",""สงขลา!M499"")"),0)</f>
        <v>0</v>
      </c>
      <c r="O604" s="176"/>
      <c r="P604" s="176"/>
    </row>
    <row r="605" spans="1:16" ht="21.75" customHeight="1" x14ac:dyDescent="0.35">
      <c r="A605" s="381"/>
      <c r="B605" s="382"/>
      <c r="C605" s="163"/>
      <c r="D605" s="383"/>
      <c r="E605" s="165"/>
      <c r="F605" s="165"/>
      <c r="G605" s="384" t="s">
        <v>134</v>
      </c>
      <c r="H605" s="167" t="s">
        <v>12</v>
      </c>
      <c r="I605" s="195"/>
      <c r="J605" s="195"/>
      <c r="K605" s="231"/>
      <c r="L605" s="176"/>
      <c r="M605" s="176"/>
      <c r="N605" s="385">
        <f ca="1">IFERROR(__xludf.DUMMYFUNCTION("IMPORTRANGE(""https://docs.google.com/spreadsheets/d/1IYY_tgx_IHuhSq3AJ5eI5OnqOPBNLWSHKh2a30DoXe8/edit?usp=sharing"",""สงขลา!M500"")"),500)</f>
        <v>500</v>
      </c>
      <c r="O605" s="176"/>
      <c r="P605" s="176"/>
    </row>
    <row r="606" spans="1:16" ht="21.75" customHeight="1" x14ac:dyDescent="0.35">
      <c r="A606" s="183"/>
      <c r="B606" s="184"/>
      <c r="C606" s="163" t="s">
        <v>16</v>
      </c>
      <c r="D606" s="185" t="s">
        <v>44</v>
      </c>
      <c r="E606" s="186"/>
      <c r="F606" s="186"/>
      <c r="G606" s="187"/>
      <c r="H606" s="188"/>
      <c r="I606" s="168"/>
      <c r="J606" s="168"/>
      <c r="K606" s="169"/>
      <c r="L606" s="189"/>
      <c r="M606" s="189"/>
      <c r="N606" s="189"/>
      <c r="O606" s="189"/>
      <c r="P606" s="189"/>
    </row>
    <row r="607" spans="1:16" ht="21.75" customHeight="1" x14ac:dyDescent="0.35">
      <c r="A607" s="183"/>
      <c r="B607" s="184"/>
      <c r="C607" s="184"/>
      <c r="D607" s="190">
        <v>1</v>
      </c>
      <c r="E607" s="191" t="s">
        <v>45</v>
      </c>
      <c r="F607" s="192"/>
      <c r="G607" s="193"/>
      <c r="H607" s="194"/>
      <c r="I607" s="195"/>
      <c r="J607" s="205">
        <f ca="1">IFERROR(__xludf.DUMMYFUNCTION("IMPORTRANGE(""https://docs.google.com/spreadsheets/d/1IYY_tgx_IHuhSq3AJ5eI5OnqOPBNLWSHKh2a30DoXe8/edit?usp=sharing"",""สงขลา!J502"")"),1)</f>
        <v>1</v>
      </c>
      <c r="K607" s="169"/>
      <c r="L607" s="189"/>
      <c r="M607" s="189"/>
      <c r="N607" s="189"/>
      <c r="O607" s="189"/>
      <c r="P607" s="189"/>
    </row>
    <row r="608" spans="1:16" ht="21.75" customHeight="1" x14ac:dyDescent="0.35">
      <c r="A608" s="183"/>
      <c r="B608" s="184"/>
      <c r="C608" s="184"/>
      <c r="D608" s="197">
        <v>2</v>
      </c>
      <c r="E608" s="198" t="s">
        <v>46</v>
      </c>
      <c r="F608" s="199"/>
      <c r="G608" s="200"/>
      <c r="H608" s="194"/>
      <c r="I608" s="195"/>
      <c r="J608" s="205">
        <f ca="1">IFERROR(__xludf.DUMMYFUNCTION("IMPORTRANGE(""https://docs.google.com/spreadsheets/d/1IYY_tgx_IHuhSq3AJ5eI5OnqOPBNLWSHKh2a30DoXe8/edit?usp=sharing"",""สงขลา!J503"")"),0)</f>
        <v>0</v>
      </c>
      <c r="K608" s="169"/>
      <c r="L608" s="189" t="s">
        <v>40</v>
      </c>
      <c r="M608" s="189"/>
      <c r="N608" s="189" t="s">
        <v>40</v>
      </c>
      <c r="O608" s="189"/>
      <c r="P608" s="189"/>
    </row>
    <row r="609" spans="1:16" ht="21.75" hidden="1" customHeight="1" x14ac:dyDescent="0.35">
      <c r="A609" s="494"/>
      <c r="B609" s="495"/>
      <c r="C609" s="495"/>
      <c r="D609" s="496"/>
      <c r="E609" s="497" t="s">
        <v>47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IFERROR(__xludf.DUMMYFUNCTION("IMPORTRANGE(""https://docs.google.com/spreadsheets/d/1IYY_tgx_IHuhSq3AJ5eI5OnqOPBNLWSHKh2a30DoXe8/edit?usp=sharing"",""สงขลา!J166"")"),0)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48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IFERROR(__xludf.DUMMYFUNCTION("IMPORTRANGE(""https://docs.google.com/spreadsheets/d/1IYY_tgx_IHuhSq3AJ5eI5OnqOPBNLWSHKh2a30DoXe8/edit?usp=sharing"",""สงขลา!J166"")"),0)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3"/>
      <c r="B611" s="184"/>
      <c r="C611" s="184"/>
      <c r="D611" s="201"/>
      <c r="E611" s="203"/>
      <c r="F611" s="203" t="s">
        <v>219</v>
      </c>
      <c r="G611" s="204"/>
      <c r="H611" s="188" t="s">
        <v>122</v>
      </c>
      <c r="I611" s="195">
        <f ca="1">IFERROR(__xludf.DUMMYFUNCTION("IMPORTRANGE(""https://docs.google.com/spreadsheets/d/1IYY_tgx_IHuhSq3AJ5eI5OnqOPBNLWSHKh2a30DoXe8/edit?usp=sharing"",""สงขลา!I506"")"),50)</f>
        <v>50</v>
      </c>
      <c r="J611" s="168">
        <f ca="1">IFERROR(__xludf.DUMMYFUNCTION("IMPORTRANGE(""https://docs.google.com/spreadsheets/d/1IYY_tgx_IHuhSq3AJ5eI5OnqOPBNLWSHKh2a30DoXe8/edit?usp=sharing"",""สงขลา!J506"")"),0)</f>
        <v>0</v>
      </c>
      <c r="K611" s="169">
        <f t="shared" ref="K611:K619" ca="1" si="127">IF(I$611&gt;0,J611*100/I$611,0)</f>
        <v>0</v>
      </c>
      <c r="L611" s="189"/>
      <c r="M611" s="189"/>
      <c r="N611" s="189"/>
      <c r="O611" s="189"/>
      <c r="P611" s="189"/>
    </row>
    <row r="612" spans="1:16" ht="21.75" customHeight="1" x14ac:dyDescent="0.35">
      <c r="A612" s="183"/>
      <c r="B612" s="184"/>
      <c r="C612" s="184"/>
      <c r="D612" s="201"/>
      <c r="E612" s="206"/>
      <c r="F612" s="203"/>
      <c r="G612" s="233" t="s">
        <v>220</v>
      </c>
      <c r="H612" s="188" t="s">
        <v>122</v>
      </c>
      <c r="I612" s="211">
        <f ca="1">IFERROR(__xludf.DUMMYFUNCTION("IMPORTRANGE(""https://docs.google.com/spreadsheets/d/1IYY_tgx_IHuhSq3AJ5eI5OnqOPBNLWSHKh2a30DoXe8/edit?usp=sharing"",""สงขลา!I507"")"),0)</f>
        <v>0</v>
      </c>
      <c r="J612" s="205">
        <f ca="1">IFERROR(__xludf.DUMMYFUNCTION("IMPORTRANGE(""https://docs.google.com/spreadsheets/d/1IYY_tgx_IHuhSq3AJ5eI5OnqOPBNLWSHKh2a30DoXe8/edit?usp=sharing"",""สงขลา!J507"")"),0)</f>
        <v>0</v>
      </c>
      <c r="K612" s="169">
        <f t="shared" ca="1" si="127"/>
        <v>0</v>
      </c>
      <c r="L612" s="189"/>
      <c r="M612" s="189"/>
      <c r="N612" s="189"/>
      <c r="O612" s="189"/>
      <c r="P612" s="189"/>
    </row>
    <row r="613" spans="1:16" ht="21.75" customHeight="1" x14ac:dyDescent="0.35">
      <c r="A613" s="183"/>
      <c r="B613" s="184"/>
      <c r="C613" s="184"/>
      <c r="D613" s="201"/>
      <c r="E613" s="206"/>
      <c r="F613" s="203"/>
      <c r="G613" s="233" t="s">
        <v>221</v>
      </c>
      <c r="H613" s="188" t="s">
        <v>122</v>
      </c>
      <c r="I613" s="211">
        <f ca="1">IFERROR(__xludf.DUMMYFUNCTION("IMPORTRANGE(""https://docs.google.com/spreadsheets/d/1IYY_tgx_IHuhSq3AJ5eI5OnqOPBNLWSHKh2a30DoXe8/edit?usp=sharing"",""สงขลา!I508"")"),0)</f>
        <v>0</v>
      </c>
      <c r="J613" s="205">
        <f ca="1">IFERROR(__xludf.DUMMYFUNCTION("IMPORTRANGE(""https://docs.google.com/spreadsheets/d/1IYY_tgx_IHuhSq3AJ5eI5OnqOPBNLWSHKh2a30DoXe8/edit?usp=sharing"",""สงขลา!J508"")"),0)</f>
        <v>0</v>
      </c>
      <c r="K613" s="169">
        <f t="shared" ca="1" si="127"/>
        <v>0</v>
      </c>
      <c r="L613" s="189"/>
      <c r="M613" s="189"/>
      <c r="N613" s="189"/>
      <c r="O613" s="189"/>
      <c r="P613" s="189"/>
    </row>
    <row r="614" spans="1:16" ht="21.75" customHeight="1" x14ac:dyDescent="0.35">
      <c r="A614" s="183"/>
      <c r="B614" s="184"/>
      <c r="C614" s="184"/>
      <c r="D614" s="201"/>
      <c r="E614" s="206"/>
      <c r="F614" s="203"/>
      <c r="G614" s="233" t="s">
        <v>222</v>
      </c>
      <c r="H614" s="188" t="s">
        <v>122</v>
      </c>
      <c r="I614" s="211">
        <f ca="1">IFERROR(__xludf.DUMMYFUNCTION("IMPORTRANGE(""https://docs.google.com/spreadsheets/d/1IYY_tgx_IHuhSq3AJ5eI5OnqOPBNLWSHKh2a30DoXe8/edit?usp=sharing"",""สงขลา!I509"")"),0)</f>
        <v>0</v>
      </c>
      <c r="J614" s="205">
        <f ca="1">IFERROR(__xludf.DUMMYFUNCTION("IMPORTRANGE(""https://docs.google.com/spreadsheets/d/1IYY_tgx_IHuhSq3AJ5eI5OnqOPBNLWSHKh2a30DoXe8/edit?usp=sharing"",""สงขลา!J509"")"),0)</f>
        <v>0</v>
      </c>
      <c r="K614" s="169">
        <f t="shared" ca="1" si="127"/>
        <v>0</v>
      </c>
      <c r="L614" s="189"/>
      <c r="M614" s="189"/>
      <c r="N614" s="189"/>
      <c r="O614" s="189"/>
      <c r="P614" s="189"/>
    </row>
    <row r="615" spans="1:16" ht="21.75" customHeight="1" x14ac:dyDescent="0.35">
      <c r="A615" s="183"/>
      <c r="B615" s="184"/>
      <c r="C615" s="184"/>
      <c r="D615" s="201"/>
      <c r="E615" s="206"/>
      <c r="F615" s="203"/>
      <c r="G615" s="233" t="s">
        <v>223</v>
      </c>
      <c r="H615" s="188" t="s">
        <v>122</v>
      </c>
      <c r="I615" s="211">
        <f ca="1">IFERROR(__xludf.DUMMYFUNCTION("IMPORTRANGE(""https://docs.google.com/spreadsheets/d/1IYY_tgx_IHuhSq3AJ5eI5OnqOPBNLWSHKh2a30DoXe8/edit?usp=sharing"",""สงขลา!I510"")"),0)</f>
        <v>0</v>
      </c>
      <c r="J615" s="205">
        <f ca="1">IFERROR(__xludf.DUMMYFUNCTION("IMPORTRANGE(""https://docs.google.com/spreadsheets/d/1IYY_tgx_IHuhSq3AJ5eI5OnqOPBNLWSHKh2a30DoXe8/edit?usp=sharing"",""สงขลา!J510"")"),0)</f>
        <v>0</v>
      </c>
      <c r="K615" s="169">
        <f t="shared" ca="1" si="127"/>
        <v>0</v>
      </c>
      <c r="L615" s="189"/>
      <c r="M615" s="189"/>
      <c r="N615" s="189"/>
      <c r="O615" s="189"/>
      <c r="P615" s="189"/>
    </row>
    <row r="616" spans="1:16" ht="21.75" customHeight="1" x14ac:dyDescent="0.35">
      <c r="A616" s="183"/>
      <c r="B616" s="184"/>
      <c r="C616" s="184"/>
      <c r="D616" s="201"/>
      <c r="E616" s="206"/>
      <c r="F616" s="203"/>
      <c r="G616" s="202" t="s">
        <v>224</v>
      </c>
      <c r="H616" s="188" t="s">
        <v>122</v>
      </c>
      <c r="I616" s="211">
        <f ca="1">IFERROR(__xludf.DUMMYFUNCTION("IMPORTRANGE(""https://docs.google.com/spreadsheets/d/1IYY_tgx_IHuhSq3AJ5eI5OnqOPBNLWSHKh2a30DoXe8/edit?usp=sharing"",""สงขลา!I511"")"),0)</f>
        <v>0</v>
      </c>
      <c r="J616" s="205">
        <f ca="1">IFERROR(__xludf.DUMMYFUNCTION("IMPORTRANGE(""https://docs.google.com/spreadsheets/d/1IYY_tgx_IHuhSq3AJ5eI5OnqOPBNLWSHKh2a30DoXe8/edit?usp=sharing"",""สงขลา!J511"")"),0)</f>
        <v>0</v>
      </c>
      <c r="K616" s="169">
        <f t="shared" ca="1" si="127"/>
        <v>0</v>
      </c>
      <c r="L616" s="189"/>
      <c r="M616" s="189"/>
      <c r="N616" s="189"/>
      <c r="O616" s="189"/>
      <c r="P616" s="189"/>
    </row>
    <row r="617" spans="1:16" ht="21.75" customHeight="1" x14ac:dyDescent="0.35">
      <c r="A617" s="183"/>
      <c r="B617" s="184"/>
      <c r="C617" s="184"/>
      <c r="D617" s="201"/>
      <c r="E617" s="206"/>
      <c r="F617" s="203"/>
      <c r="G617" s="202" t="s">
        <v>225</v>
      </c>
      <c r="H617" s="188" t="s">
        <v>122</v>
      </c>
      <c r="I617" s="195">
        <f ca="1">IFERROR(__xludf.DUMMYFUNCTION("IMPORTRANGE(""https://docs.google.com/spreadsheets/d/1IYY_tgx_IHuhSq3AJ5eI5OnqOPBNLWSHKh2a30DoXe8/edit?usp=sharing"",""สงขลา!I512"")"),0)</f>
        <v>0</v>
      </c>
      <c r="J617" s="195">
        <f ca="1">IFERROR(__xludf.DUMMYFUNCTION("IMPORTRANGE(""https://docs.google.com/spreadsheets/d/1IYY_tgx_IHuhSq3AJ5eI5OnqOPBNLWSHKh2a30DoXe8/edit?usp=sharing"",""สงขลา!J512"")"),0)</f>
        <v>0</v>
      </c>
      <c r="K617" s="169">
        <f t="shared" ca="1" si="127"/>
        <v>0</v>
      </c>
      <c r="L617" s="189"/>
      <c r="M617" s="189"/>
      <c r="N617" s="189"/>
      <c r="O617" s="189"/>
      <c r="P617" s="189"/>
    </row>
    <row r="618" spans="1:16" ht="21.75" customHeight="1" x14ac:dyDescent="0.35">
      <c r="A618" s="183"/>
      <c r="B618" s="184"/>
      <c r="C618" s="184"/>
      <c r="D618" s="201"/>
      <c r="E618" s="206"/>
      <c r="F618" s="203"/>
      <c r="G618" s="504" t="s">
        <v>226</v>
      </c>
      <c r="H618" s="188" t="s">
        <v>122</v>
      </c>
      <c r="I618" s="211">
        <f ca="1">IFERROR(__xludf.DUMMYFUNCTION("IMPORTRANGE(""https://docs.google.com/spreadsheets/d/1IYY_tgx_IHuhSq3AJ5eI5OnqOPBNLWSHKh2a30DoXe8/edit?usp=sharing"",""สงขลา!I513"")"),0)</f>
        <v>0</v>
      </c>
      <c r="J618" s="196">
        <f ca="1">IFERROR(__xludf.DUMMYFUNCTION("IMPORTRANGE(""https://docs.google.com/spreadsheets/d/1IYY_tgx_IHuhSq3AJ5eI5OnqOPBNLWSHKh2a30DoXe8/edit?usp=sharing"",""สงขลา!J513"")"),0)</f>
        <v>0</v>
      </c>
      <c r="K618" s="169">
        <f t="shared" ca="1" si="127"/>
        <v>0</v>
      </c>
      <c r="L618" s="189"/>
      <c r="M618" s="189"/>
      <c r="N618" s="189"/>
      <c r="O618" s="189"/>
      <c r="P618" s="189"/>
    </row>
    <row r="619" spans="1:16" ht="21.75" customHeight="1" x14ac:dyDescent="0.35">
      <c r="A619" s="183"/>
      <c r="B619" s="184"/>
      <c r="C619" s="184"/>
      <c r="D619" s="201"/>
      <c r="E619" s="206"/>
      <c r="F619" s="203"/>
      <c r="G619" s="504" t="s">
        <v>227</v>
      </c>
      <c r="H619" s="188" t="s">
        <v>122</v>
      </c>
      <c r="I619" s="211">
        <f ca="1">IFERROR(__xludf.DUMMYFUNCTION("IMPORTRANGE(""https://docs.google.com/spreadsheets/d/1IYY_tgx_IHuhSq3AJ5eI5OnqOPBNLWSHKh2a30DoXe8/edit?usp=sharing"",""สงขลา!I514"")"),0)</f>
        <v>0</v>
      </c>
      <c r="J619" s="196">
        <f ca="1">IFERROR(__xludf.DUMMYFUNCTION("IMPORTRANGE(""https://docs.google.com/spreadsheets/d/1IYY_tgx_IHuhSq3AJ5eI5OnqOPBNLWSHKh2a30DoXe8/edit?usp=sharing"",""สงขลา!J514"")"),0)</f>
        <v>0</v>
      </c>
      <c r="K619" s="169">
        <f t="shared" ca="1" si="127"/>
        <v>0</v>
      </c>
      <c r="L619" s="189"/>
      <c r="M619" s="189"/>
      <c r="N619" s="189"/>
      <c r="O619" s="189"/>
      <c r="P619" s="189"/>
    </row>
    <row r="620" spans="1:16" ht="21.75" customHeight="1" x14ac:dyDescent="0.35">
      <c r="A620" s="183"/>
      <c r="B620" s="184"/>
      <c r="C620" s="184"/>
      <c r="D620" s="201"/>
      <c r="E620" s="203"/>
      <c r="F620" s="202" t="s">
        <v>228</v>
      </c>
      <c r="G620" s="204"/>
      <c r="H620" s="188" t="s">
        <v>122</v>
      </c>
      <c r="I620" s="195">
        <f ca="1">IFERROR(__xludf.DUMMYFUNCTION("IMPORTRANGE(""https://docs.google.com/spreadsheets/d/1IYY_tgx_IHuhSq3AJ5eI5OnqOPBNLWSHKh2a30DoXe8/edit?usp=sharing"",""สงขลา!I515"")"),48)</f>
        <v>48</v>
      </c>
      <c r="J620" s="210">
        <f ca="1">IFERROR(__xludf.DUMMYFUNCTION("IMPORTRANGE(""https://docs.google.com/spreadsheets/d/1IYY_tgx_IHuhSq3AJ5eI5OnqOPBNLWSHKh2a30DoXe8/edit?usp=sharing"",""สงขลา!J515"")"),0)</f>
        <v>0</v>
      </c>
      <c r="K620" s="169">
        <f t="shared" ref="K620:K626" ca="1" si="128">IF(I$620&gt;0,J620*100/I$620,0)</f>
        <v>0</v>
      </c>
      <c r="L620" s="189"/>
      <c r="M620" s="189"/>
      <c r="N620" s="189"/>
      <c r="O620" s="189"/>
      <c r="P620" s="189"/>
    </row>
    <row r="621" spans="1:16" ht="21.75" customHeight="1" x14ac:dyDescent="0.35">
      <c r="A621" s="183"/>
      <c r="B621" s="184"/>
      <c r="C621" s="184"/>
      <c r="D621" s="201"/>
      <c r="E621" s="206"/>
      <c r="F621" s="203"/>
      <c r="G621" s="233" t="s">
        <v>225</v>
      </c>
      <c r="H621" s="188" t="s">
        <v>122</v>
      </c>
      <c r="I621" s="210">
        <f ca="1">IFERROR(__xludf.DUMMYFUNCTION("IMPORTRANGE(""https://docs.google.com/spreadsheets/d/1IYY_tgx_IHuhSq3AJ5eI5OnqOPBNLWSHKh2a30DoXe8/edit?usp=sharing"",""สงขลา!I516"")"),0)</f>
        <v>0</v>
      </c>
      <c r="J621" s="210">
        <f ca="1">IFERROR(__xludf.DUMMYFUNCTION("IMPORTRANGE(""https://docs.google.com/spreadsheets/d/1IYY_tgx_IHuhSq3AJ5eI5OnqOPBNLWSHKh2a30DoXe8/edit?usp=sharing"",""สงขลา!J516"")"),0)</f>
        <v>0</v>
      </c>
      <c r="K621" s="169">
        <f t="shared" ca="1" si="128"/>
        <v>0</v>
      </c>
      <c r="L621" s="189"/>
      <c r="M621" s="189"/>
      <c r="N621" s="189"/>
      <c r="O621" s="189"/>
      <c r="P621" s="189"/>
    </row>
    <row r="622" spans="1:16" ht="21.75" customHeight="1" x14ac:dyDescent="0.35">
      <c r="A622" s="183"/>
      <c r="B622" s="184"/>
      <c r="C622" s="184"/>
      <c r="D622" s="201"/>
      <c r="E622" s="206"/>
      <c r="F622" s="203"/>
      <c r="G622" s="504" t="s">
        <v>226</v>
      </c>
      <c r="H622" s="188" t="s">
        <v>122</v>
      </c>
      <c r="I622" s="211">
        <f ca="1">IFERROR(__xludf.DUMMYFUNCTION("IMPORTRANGE(""https://docs.google.com/spreadsheets/d/1IYY_tgx_IHuhSq3AJ5eI5OnqOPBNLWSHKh2a30DoXe8/edit?usp=sharing"",""สงขลา!I517"")"),0)</f>
        <v>0</v>
      </c>
      <c r="J622" s="196">
        <f ca="1">IFERROR(__xludf.DUMMYFUNCTION("IMPORTRANGE(""https://docs.google.com/spreadsheets/d/1IYY_tgx_IHuhSq3AJ5eI5OnqOPBNLWSHKh2a30DoXe8/edit?usp=sharing"",""สงขลา!J517"")"),0)</f>
        <v>0</v>
      </c>
      <c r="K622" s="169">
        <f t="shared" ca="1" si="128"/>
        <v>0</v>
      </c>
      <c r="L622" s="189"/>
      <c r="M622" s="189"/>
      <c r="N622" s="189"/>
      <c r="O622" s="189"/>
      <c r="P622" s="189"/>
    </row>
    <row r="623" spans="1:16" ht="21.75" customHeight="1" x14ac:dyDescent="0.35">
      <c r="A623" s="183"/>
      <c r="B623" s="184"/>
      <c r="C623" s="184"/>
      <c r="D623" s="201"/>
      <c r="E623" s="206"/>
      <c r="F623" s="203"/>
      <c r="G623" s="504" t="s">
        <v>227</v>
      </c>
      <c r="H623" s="188" t="s">
        <v>122</v>
      </c>
      <c r="I623" s="211">
        <f ca="1">IFERROR(__xludf.DUMMYFUNCTION("IMPORTRANGE(""https://docs.google.com/spreadsheets/d/1IYY_tgx_IHuhSq3AJ5eI5OnqOPBNLWSHKh2a30DoXe8/edit?usp=sharing"",""สงขลา!I518"")"),0)</f>
        <v>0</v>
      </c>
      <c r="J623" s="196">
        <f ca="1">IFERROR(__xludf.DUMMYFUNCTION("IMPORTRANGE(""https://docs.google.com/spreadsheets/d/1IYY_tgx_IHuhSq3AJ5eI5OnqOPBNLWSHKh2a30DoXe8/edit?usp=sharing"",""สงขลา!J518"")"),0)</f>
        <v>0</v>
      </c>
      <c r="K623" s="169">
        <f t="shared" ca="1" si="128"/>
        <v>0</v>
      </c>
      <c r="L623" s="189"/>
      <c r="M623" s="189"/>
      <c r="N623" s="189"/>
      <c r="O623" s="189"/>
      <c r="P623" s="189"/>
    </row>
    <row r="624" spans="1:16" ht="21.75" customHeight="1" x14ac:dyDescent="0.35">
      <c r="A624" s="183"/>
      <c r="B624" s="184"/>
      <c r="C624" s="184"/>
      <c r="D624" s="201"/>
      <c r="E624" s="206"/>
      <c r="F624" s="203"/>
      <c r="G624" s="233" t="s">
        <v>229</v>
      </c>
      <c r="H624" s="188" t="s">
        <v>122</v>
      </c>
      <c r="I624" s="195">
        <f ca="1">IFERROR(__xludf.DUMMYFUNCTION("IMPORTRANGE(""https://docs.google.com/spreadsheets/d/1IYY_tgx_IHuhSq3AJ5eI5OnqOPBNLWSHKh2a30DoXe8/edit?usp=sharing"",""สงขลา!I519"")"),0)</f>
        <v>0</v>
      </c>
      <c r="J624" s="195">
        <f ca="1">IFERROR(__xludf.DUMMYFUNCTION("IMPORTRANGE(""https://docs.google.com/spreadsheets/d/1IYY_tgx_IHuhSq3AJ5eI5OnqOPBNLWSHKh2a30DoXe8/edit?usp=sharing"",""สงขลา!J519"")"),0)</f>
        <v>0</v>
      </c>
      <c r="K624" s="169">
        <f t="shared" ca="1" si="128"/>
        <v>0</v>
      </c>
      <c r="L624" s="189"/>
      <c r="M624" s="189"/>
      <c r="N624" s="189"/>
      <c r="O624" s="189"/>
      <c r="P624" s="189"/>
    </row>
    <row r="625" spans="1:16" ht="21.75" customHeight="1" x14ac:dyDescent="0.35">
      <c r="A625" s="183"/>
      <c r="B625" s="184"/>
      <c r="C625" s="184"/>
      <c r="D625" s="201"/>
      <c r="E625" s="206"/>
      <c r="F625" s="203"/>
      <c r="G625" s="504" t="s">
        <v>230</v>
      </c>
      <c r="H625" s="188" t="s">
        <v>122</v>
      </c>
      <c r="I625" s="211">
        <f ca="1">IFERROR(__xludf.DUMMYFUNCTION("IMPORTRANGE(""https://docs.google.com/spreadsheets/d/1IYY_tgx_IHuhSq3AJ5eI5OnqOPBNLWSHKh2a30DoXe8/edit?usp=sharing"",""สงขลา!I520"")"),0)</f>
        <v>0</v>
      </c>
      <c r="J625" s="196">
        <f ca="1">IFERROR(__xludf.DUMMYFUNCTION("IMPORTRANGE(""https://docs.google.com/spreadsheets/d/1IYY_tgx_IHuhSq3AJ5eI5OnqOPBNLWSHKh2a30DoXe8/edit?usp=sharing"",""สงขลา!J520"")"),0)</f>
        <v>0</v>
      </c>
      <c r="K625" s="169">
        <f t="shared" ca="1" si="128"/>
        <v>0</v>
      </c>
      <c r="L625" s="189"/>
      <c r="M625" s="189"/>
      <c r="N625" s="189"/>
      <c r="O625" s="189"/>
      <c r="P625" s="189"/>
    </row>
    <row r="626" spans="1:16" ht="21.75" customHeight="1" x14ac:dyDescent="0.35">
      <c r="A626" s="183"/>
      <c r="B626" s="184"/>
      <c r="C626" s="184"/>
      <c r="D626" s="201"/>
      <c r="E626" s="206"/>
      <c r="F626" s="203"/>
      <c r="G626" s="504" t="s">
        <v>231</v>
      </c>
      <c r="H626" s="188" t="s">
        <v>122</v>
      </c>
      <c r="I626" s="211">
        <f ca="1">IFERROR(__xludf.DUMMYFUNCTION("IMPORTRANGE(""https://docs.google.com/spreadsheets/d/1IYY_tgx_IHuhSq3AJ5eI5OnqOPBNLWSHKh2a30DoXe8/edit?usp=sharing"",""สงขลา!I521"")"),0)</f>
        <v>0</v>
      </c>
      <c r="J626" s="196">
        <f ca="1">IFERROR(__xludf.DUMMYFUNCTION("IMPORTRANGE(""https://docs.google.com/spreadsheets/d/1IYY_tgx_IHuhSq3AJ5eI5OnqOPBNLWSHKh2a30DoXe8/edit?usp=sharing"",""สงขลา!J521"")"),0)</f>
        <v>0</v>
      </c>
      <c r="K626" s="169">
        <f t="shared" ca="1" si="128"/>
        <v>0</v>
      </c>
      <c r="L626" s="189"/>
      <c r="M626" s="189"/>
      <c r="N626" s="189"/>
      <c r="O626" s="189"/>
      <c r="P626" s="189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2"/>
      <c r="E628" s="165"/>
      <c r="F628" s="165"/>
      <c r="G628" s="166"/>
      <c r="H628" s="513" t="s">
        <v>12</v>
      </c>
      <c r="I628" s="347">
        <f ca="1">IFERROR(__xludf.DUMMYFUNCTION("IMPORTRANGE(""https://docs.google.com/spreadsheets/d/1IYY_tgx_IHuhSq3AJ5eI5OnqOPBNLWSHKh2a30DoXe8/edit?usp=sharing"",""สงขลา!I523"")"),3619067.78)</f>
        <v>3619067.78</v>
      </c>
      <c r="J628" s="347">
        <f ca="1">IFERROR(__xludf.DUMMYFUNCTION("IMPORTRANGE(""https://docs.google.com/spreadsheets/d/1IYY_tgx_IHuhSq3AJ5eI5OnqOPBNLWSHKh2a30DoXe8/edit?usp=sharing"",""สงขลา!J523"")"),399666.36)</f>
        <v>399666.36</v>
      </c>
      <c r="K628" s="348">
        <f t="shared" ref="K628:K635" ca="1" si="129">IF(I628&gt;0,J628*100/I628,0)</f>
        <v>11.043351058763538</v>
      </c>
      <c r="L628" s="348"/>
      <c r="M628" s="348"/>
      <c r="N628" s="348"/>
      <c r="O628" s="176"/>
      <c r="P628" s="176"/>
    </row>
    <row r="629" spans="1:16" ht="21.75" customHeight="1" x14ac:dyDescent="0.35">
      <c r="A629" s="484"/>
      <c r="B629" s="163"/>
      <c r="C629" s="163"/>
      <c r="D629" s="172"/>
      <c r="E629" s="165"/>
      <c r="F629" s="165"/>
      <c r="G629" s="166"/>
      <c r="H629" s="513" t="s">
        <v>37</v>
      </c>
      <c r="I629" s="347">
        <f ca="1">IFERROR(__xludf.DUMMYFUNCTION("IMPORTRANGE(""https://docs.google.com/spreadsheets/d/1IYY_tgx_IHuhSq3AJ5eI5OnqOPBNLWSHKh2a30DoXe8/edit?usp=sharing"",""สงขลา!I524"")"),277)</f>
        <v>277</v>
      </c>
      <c r="J629" s="347">
        <f ca="1">IFERROR(__xludf.DUMMYFUNCTION("IMPORTRANGE(""https://docs.google.com/spreadsheets/d/1IYY_tgx_IHuhSq3AJ5eI5OnqOPBNLWSHKh2a30DoXe8/edit?usp=sharing"",""สงขลา!J524"")"),42)</f>
        <v>42</v>
      </c>
      <c r="K629" s="348">
        <f t="shared" ca="1" si="129"/>
        <v>15.16245487364621</v>
      </c>
      <c r="L629" s="348"/>
      <c r="M629" s="348"/>
      <c r="N629" s="348"/>
      <c r="O629" s="176"/>
      <c r="P629" s="176"/>
    </row>
    <row r="630" spans="1:16" ht="21.75" customHeight="1" x14ac:dyDescent="0.35">
      <c r="A630" s="484"/>
      <c r="B630" s="512" t="s">
        <v>234</v>
      </c>
      <c r="C630" s="163"/>
      <c r="D630" s="172"/>
      <c r="E630" s="165"/>
      <c r="F630" s="165"/>
      <c r="G630" s="166"/>
      <c r="H630" s="513" t="s">
        <v>12</v>
      </c>
      <c r="I630" s="347">
        <f ca="1">IFERROR(__xludf.DUMMYFUNCTION("IMPORTRANGE(""https://docs.google.com/spreadsheets/d/1IYY_tgx_IHuhSq3AJ5eI5OnqOPBNLWSHKh2a30DoXe8/edit?usp=sharing"",""สงขลา!I525"")"),927206.85)</f>
        <v>927206.85</v>
      </c>
      <c r="J630" s="347">
        <f ca="1">IFERROR(__xludf.DUMMYFUNCTION("IMPORTRANGE(""https://docs.google.com/spreadsheets/d/1IYY_tgx_IHuhSq3AJ5eI5OnqOPBNLWSHKh2a30DoXe8/edit?usp=sharing"",""สงขลา!J525"")"),140664.13)</f>
        <v>140664.13</v>
      </c>
      <c r="K630" s="348">
        <f t="shared" ca="1" si="129"/>
        <v>15.17073887018846</v>
      </c>
      <c r="L630" s="348"/>
      <c r="M630" s="348"/>
      <c r="N630" s="348"/>
      <c r="O630" s="176"/>
      <c r="P630" s="176"/>
    </row>
    <row r="631" spans="1:16" ht="21.75" customHeight="1" x14ac:dyDescent="0.35">
      <c r="A631" s="484"/>
      <c r="B631" s="163"/>
      <c r="C631" s="163"/>
      <c r="D631" s="172"/>
      <c r="E631" s="165"/>
      <c r="F631" s="165"/>
      <c r="G631" s="166"/>
      <c r="H631" s="513" t="s">
        <v>37</v>
      </c>
      <c r="I631" s="347">
        <f ca="1">IFERROR(__xludf.DUMMYFUNCTION("IMPORTRANGE(""https://docs.google.com/spreadsheets/d/1IYY_tgx_IHuhSq3AJ5eI5OnqOPBNLWSHKh2a30DoXe8/edit?usp=sharing"",""สงขลา!I526"")"),42)</f>
        <v>42</v>
      </c>
      <c r="J631" s="347">
        <f ca="1">IFERROR(__xludf.DUMMYFUNCTION("IMPORTRANGE(""https://docs.google.com/spreadsheets/d/1IYY_tgx_IHuhSq3AJ5eI5OnqOPBNLWSHKh2a30DoXe8/edit?usp=sharing"",""สงขลา!J526"")"),34)</f>
        <v>34</v>
      </c>
      <c r="K631" s="348">
        <f t="shared" ca="1" si="129"/>
        <v>80.952380952380949</v>
      </c>
      <c r="L631" s="348"/>
      <c r="M631" s="348"/>
      <c r="N631" s="348"/>
      <c r="O631" s="176"/>
      <c r="P631" s="176"/>
    </row>
    <row r="632" spans="1:16" ht="21.75" customHeight="1" x14ac:dyDescent="0.35">
      <c r="A632" s="484"/>
      <c r="B632" s="512" t="s">
        <v>235</v>
      </c>
      <c r="C632" s="163"/>
      <c r="D632" s="172"/>
      <c r="E632" s="165"/>
      <c r="F632" s="165"/>
      <c r="G632" s="166"/>
      <c r="H632" s="513" t="s">
        <v>12</v>
      </c>
      <c r="I632" s="347">
        <f ca="1">IFERROR(__xludf.DUMMYFUNCTION("IMPORTRANGE(""https://docs.google.com/spreadsheets/d/1IYY_tgx_IHuhSq3AJ5eI5OnqOPBNLWSHKh2a30DoXe8/edit?usp=sharing"",""สงขลา!I527"")"),0)</f>
        <v>0</v>
      </c>
      <c r="J632" s="347">
        <f ca="1">IFERROR(__xludf.DUMMYFUNCTION("IMPORTRANGE(""https://docs.google.com/spreadsheets/d/1IYY_tgx_IHuhSq3AJ5eI5OnqOPBNLWSHKh2a30DoXe8/edit?usp=sharing"",""สงขลา!J527"")"),0)</f>
        <v>0</v>
      </c>
      <c r="K632" s="348">
        <f t="shared" ca="1" si="129"/>
        <v>0</v>
      </c>
      <c r="L632" s="348"/>
      <c r="M632" s="348"/>
      <c r="N632" s="348"/>
      <c r="O632" s="176"/>
      <c r="P632" s="176"/>
    </row>
    <row r="633" spans="1:16" ht="21.75" customHeight="1" x14ac:dyDescent="0.35">
      <c r="A633" s="484"/>
      <c r="B633" s="512"/>
      <c r="C633" s="163"/>
      <c r="D633" s="172"/>
      <c r="E633" s="165"/>
      <c r="F633" s="165"/>
      <c r="G633" s="166"/>
      <c r="H633" s="513" t="s">
        <v>37</v>
      </c>
      <c r="I633" s="347">
        <f ca="1">IFERROR(__xludf.DUMMYFUNCTION("IMPORTRANGE(""https://docs.google.com/spreadsheets/d/1IYY_tgx_IHuhSq3AJ5eI5OnqOPBNLWSHKh2a30DoXe8/edit?usp=sharing"",""สงขลา!I528"")"),0)</f>
        <v>0</v>
      </c>
      <c r="J633" s="347">
        <f ca="1">IFERROR(__xludf.DUMMYFUNCTION("IMPORTRANGE(""https://docs.google.com/spreadsheets/d/1IYY_tgx_IHuhSq3AJ5eI5OnqOPBNLWSHKh2a30DoXe8/edit?usp=sharing"",""สงขลา!J528"")"),0)</f>
        <v>0</v>
      </c>
      <c r="K633" s="348">
        <f t="shared" ca="1" si="129"/>
        <v>0</v>
      </c>
      <c r="L633" s="348"/>
      <c r="M633" s="348"/>
      <c r="N633" s="348"/>
      <c r="O633" s="176"/>
      <c r="P633" s="176"/>
    </row>
    <row r="634" spans="1:16" ht="21.75" customHeight="1" x14ac:dyDescent="0.35">
      <c r="A634" s="484"/>
      <c r="B634" s="512" t="s">
        <v>236</v>
      </c>
      <c r="C634" s="163"/>
      <c r="D634" s="172"/>
      <c r="E634" s="165"/>
      <c r="F634" s="165"/>
      <c r="G634" s="166"/>
      <c r="H634" s="513" t="s">
        <v>12</v>
      </c>
      <c r="I634" s="347">
        <f ca="1">IFERROR(__xludf.DUMMYFUNCTION("IMPORTRANGE(""https://docs.google.com/spreadsheets/d/1IYY_tgx_IHuhSq3AJ5eI5OnqOPBNLWSHKh2a30DoXe8/edit?usp=sharing"",""สงขลา!I529"")"),1500000)</f>
        <v>1500000</v>
      </c>
      <c r="J634" s="347">
        <f ca="1">IFERROR(__xludf.DUMMYFUNCTION("IMPORTRANGE(""https://docs.google.com/spreadsheets/d/1IYY_tgx_IHuhSq3AJ5eI5OnqOPBNLWSHKh2a30DoXe8/edit?usp=sharing"",""สงขลา!J529"")"),950000)</f>
        <v>950000</v>
      </c>
      <c r="K634" s="348">
        <f t="shared" ca="1" si="129"/>
        <v>63.333333333333336</v>
      </c>
      <c r="L634" s="348"/>
      <c r="M634" s="348"/>
      <c r="N634" s="348"/>
      <c r="O634" s="176"/>
      <c r="P634" s="176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IFERROR(__xludf.DUMMYFUNCTION("IMPORTRANGE(""https://docs.google.com/spreadsheets/d/1IYY_tgx_IHuhSq3AJ5eI5OnqOPBNLWSHKh2a30DoXe8/edit?usp=sharing"",""สงขลา!I530"")"),30)</f>
        <v>30</v>
      </c>
      <c r="J635" s="517">
        <f ca="1">IFERROR(__xludf.DUMMYFUNCTION("IMPORTRANGE(""https://docs.google.com/spreadsheets/d/1IYY_tgx_IHuhSq3AJ5eI5OnqOPBNLWSHKh2a30DoXe8/edit?usp=sharing"",""สงขลา!J530"")"),19)</f>
        <v>19</v>
      </c>
      <c r="K635" s="492">
        <f t="shared" ca="1" si="129"/>
        <v>63.333333333333336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3" sqref="G23"/>
      <selection pane="bottomLeft" activeCell="A3" sqref="A3:P3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2.54296875" bestFit="1" customWidth="1"/>
    <col min="10" max="10" width="15.81640625" customWidth="1"/>
    <col min="11" max="11" width="11" bestFit="1" customWidth="1"/>
    <col min="12" max="14" width="17.81640625" customWidth="1"/>
    <col min="15" max="15" width="18.7265625" bestFit="1" customWidth="1"/>
    <col min="16" max="16" width="20.54296875" customWidth="1"/>
  </cols>
  <sheetData>
    <row r="1" spans="1:16" ht="18" customHeight="1" x14ac:dyDescent="0.35">
      <c r="A1" s="527" t="s">
        <v>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</row>
    <row r="2" spans="1:16" ht="18" customHeight="1" x14ac:dyDescent="0.35">
      <c r="A2" s="527" t="s">
        <v>264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</row>
    <row r="3" spans="1:16" ht="18" customHeight="1" x14ac:dyDescent="0.35">
      <c r="A3" s="527" t="s">
        <v>268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5" t="s">
        <v>2</v>
      </c>
      <c r="B5" s="536"/>
      <c r="C5" s="536"/>
      <c r="D5" s="536"/>
      <c r="E5" s="536"/>
      <c r="F5" s="536"/>
      <c r="G5" s="537"/>
      <c r="H5" s="528" t="s">
        <v>3</v>
      </c>
      <c r="I5" s="530" t="s">
        <v>4</v>
      </c>
      <c r="J5" s="531"/>
      <c r="K5" s="532"/>
      <c r="L5" s="533" t="s">
        <v>5</v>
      </c>
      <c r="M5" s="532"/>
      <c r="N5" s="534" t="s">
        <v>6</v>
      </c>
      <c r="O5" s="531"/>
      <c r="P5" s="532"/>
    </row>
    <row r="6" spans="1:16" ht="21.75" customHeight="1" x14ac:dyDescent="0.35">
      <c r="A6" s="538"/>
      <c r="B6" s="539"/>
      <c r="C6" s="539"/>
      <c r="D6" s="539"/>
      <c r="E6" s="539"/>
      <c r="F6" s="539"/>
      <c r="G6" s="540"/>
      <c r="H6" s="52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1" t="s">
        <v>15</v>
      </c>
      <c r="B7" s="531"/>
      <c r="C7" s="531"/>
      <c r="D7" s="531"/>
      <c r="E7" s="531"/>
      <c r="F7" s="531"/>
      <c r="G7" s="53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2" t="s">
        <v>17</v>
      </c>
      <c r="E8" s="543"/>
      <c r="F8" s="543"/>
      <c r="G8" s="543"/>
      <c r="H8" s="20" t="s">
        <v>12</v>
      </c>
      <c r="I8" s="21"/>
      <c r="J8" s="21"/>
      <c r="K8" s="22"/>
      <c r="L8" s="23">
        <f t="shared" ref="L8:N8" ca="1" si="0">L9+L10</f>
        <v>2427986</v>
      </c>
      <c r="M8" s="23">
        <f t="shared" ca="1" si="0"/>
        <v>1115980</v>
      </c>
      <c r="N8" s="23">
        <f t="shared" ca="1" si="0"/>
        <v>1131293</v>
      </c>
      <c r="O8" s="22">
        <f t="shared" ref="O8:O16" ca="1" si="1">IF(L8&gt;0,N8*100/L8,0)</f>
        <v>46.593884808232005</v>
      </c>
      <c r="P8" s="22">
        <f t="shared" ref="P8:P16" ca="1" si="2">IF(M8&gt;0,N8*100/M8,0)</f>
        <v>101.37215720711841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2427986</v>
      </c>
      <c r="M10" s="30">
        <f t="shared" ca="1" si="4"/>
        <v>1115980</v>
      </c>
      <c r="N10" s="30">
        <f t="shared" ca="1" si="4"/>
        <v>1131293</v>
      </c>
      <c r="O10" s="29">
        <f t="shared" ca="1" si="1"/>
        <v>46.593884808232005</v>
      </c>
      <c r="P10" s="29">
        <f t="shared" ca="1" si="2"/>
        <v>101.37215720711841</v>
      </c>
    </row>
    <row r="11" spans="1:16" ht="21.75" customHeight="1" x14ac:dyDescent="0.45">
      <c r="A11" s="31"/>
      <c r="B11" s="32"/>
      <c r="C11" s="33" t="s">
        <v>16</v>
      </c>
      <c r="D11" s="544" t="s">
        <v>20</v>
      </c>
      <c r="E11" s="545"/>
      <c r="F11" s="54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2258986</v>
      </c>
      <c r="M12" s="38">
        <f t="shared" ca="1" si="6"/>
        <v>946980</v>
      </c>
      <c r="N12" s="38">
        <f t="shared" ca="1" si="6"/>
        <v>962293</v>
      </c>
      <c r="O12" s="38">
        <f t="shared" ca="1" si="1"/>
        <v>42.598449038639458</v>
      </c>
      <c r="P12" s="38">
        <f t="shared" ca="1" si="2"/>
        <v>101.61703520665695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1344600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914386</v>
      </c>
      <c r="M14" s="38">
        <f t="shared" si="8"/>
        <v>0</v>
      </c>
      <c r="N14" s="38">
        <f t="shared" ca="1" si="8"/>
        <v>195656</v>
      </c>
      <c r="O14" s="41">
        <f t="shared" ca="1" si="1"/>
        <v>21.397527958652034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44" t="s">
        <v>23</v>
      </c>
      <c r="E15" s="54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169000</v>
      </c>
      <c r="M16" s="38">
        <f t="shared" ca="1" si="10"/>
        <v>169000</v>
      </c>
      <c r="N16" s="38">
        <f t="shared" ca="1" si="10"/>
        <v>169000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1" t="s">
        <v>24</v>
      </c>
      <c r="B17" s="531"/>
      <c r="C17" s="531"/>
      <c r="D17" s="531"/>
      <c r="E17" s="531"/>
      <c r="F17" s="531"/>
      <c r="G17" s="53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2" t="s">
        <v>17</v>
      </c>
      <c r="E18" s="543"/>
      <c r="F18" s="543"/>
      <c r="G18" s="543"/>
      <c r="H18" s="20" t="s">
        <v>12</v>
      </c>
      <c r="I18" s="21"/>
      <c r="J18" s="21"/>
      <c r="K18" s="22"/>
      <c r="L18" s="23">
        <f t="shared" ref="L18:N18" ca="1" si="11">L19+L20</f>
        <v>1926810</v>
      </c>
      <c r="M18" s="23">
        <f t="shared" ca="1" si="11"/>
        <v>1115980</v>
      </c>
      <c r="N18" s="23">
        <f t="shared" ca="1" si="11"/>
        <v>935637</v>
      </c>
      <c r="O18" s="22">
        <f t="shared" ref="O18:O20" ca="1" si="12">IF(L18&gt;0,N18*100/L18,0)</f>
        <v>48.558861537982466</v>
      </c>
      <c r="P18" s="22">
        <f t="shared" ref="P18:P26" ca="1" si="13">IF(M18&gt;0,N18*100/M18,0)</f>
        <v>83.839943368160718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1926810</v>
      </c>
      <c r="M20" s="30">
        <f t="shared" ca="1" si="15"/>
        <v>1115980</v>
      </c>
      <c r="N20" s="30">
        <f t="shared" ca="1" si="15"/>
        <v>935637</v>
      </c>
      <c r="O20" s="29">
        <f t="shared" ca="1" si="12"/>
        <v>48.558861537982466</v>
      </c>
      <c r="P20" s="29">
        <f t="shared" ca="1" si="13"/>
        <v>83.839943368160718</v>
      </c>
    </row>
    <row r="21" spans="1:16" ht="21.75" customHeight="1" x14ac:dyDescent="0.45">
      <c r="A21" s="31"/>
      <c r="B21" s="32"/>
      <c r="C21" s="33" t="s">
        <v>16</v>
      </c>
      <c r="D21" s="544" t="s">
        <v>20</v>
      </c>
      <c r="E21" s="545"/>
      <c r="F21" s="54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1757810</v>
      </c>
      <c r="M22" s="42">
        <f t="shared" ca="1" si="18"/>
        <v>946980</v>
      </c>
      <c r="N22" s="41">
        <f t="shared" ca="1" si="18"/>
        <v>766637</v>
      </c>
      <c r="O22" s="41">
        <f t="shared" ca="1" si="17"/>
        <v>43.613189138757889</v>
      </c>
      <c r="P22" s="41">
        <f t="shared" ca="1" si="13"/>
        <v>80.955986398867978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1344600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413210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44" t="s">
        <v>23</v>
      </c>
      <c r="E25" s="54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169000</v>
      </c>
      <c r="M26" s="50">
        <f t="shared" ca="1" si="22"/>
        <v>169000</v>
      </c>
      <c r="N26" s="50">
        <f t="shared" ca="1" si="22"/>
        <v>169000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1" t="s">
        <v>25</v>
      </c>
      <c r="B27" s="531"/>
      <c r="C27" s="531"/>
      <c r="D27" s="531"/>
      <c r="E27" s="531"/>
      <c r="F27" s="531"/>
      <c r="G27" s="53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2" t="s">
        <v>17</v>
      </c>
      <c r="E28" s="543"/>
      <c r="F28" s="543"/>
      <c r="G28" s="543"/>
      <c r="H28" s="20" t="s">
        <v>12</v>
      </c>
      <c r="I28" s="21"/>
      <c r="J28" s="21"/>
      <c r="K28" s="22"/>
      <c r="L28" s="23">
        <f t="shared" ref="L28:N28" ca="1" si="23">L29+L30</f>
        <v>501176</v>
      </c>
      <c r="M28" s="23">
        <f t="shared" si="23"/>
        <v>0</v>
      </c>
      <c r="N28" s="23">
        <f t="shared" ca="1" si="23"/>
        <v>195656</v>
      </c>
      <c r="O28" s="22">
        <f t="shared" ref="O28:O30" ca="1" si="24">IF(L28&gt;0,N28*100/L28,0)</f>
        <v>39.03937937969895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501176</v>
      </c>
      <c r="M30" s="30">
        <f t="shared" si="27"/>
        <v>0</v>
      </c>
      <c r="N30" s="30">
        <f t="shared" ca="1" si="27"/>
        <v>195656</v>
      </c>
      <c r="O30" s="29">
        <f t="shared" ca="1" si="24"/>
        <v>39.03937937969895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44" t="s">
        <v>20</v>
      </c>
      <c r="E31" s="545"/>
      <c r="F31" s="54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501176</v>
      </c>
      <c r="M32" s="41">
        <f t="shared" si="30"/>
        <v>0</v>
      </c>
      <c r="N32" s="41">
        <f t="shared" ca="1" si="30"/>
        <v>195656</v>
      </c>
      <c r="O32" s="41">
        <f t="shared" ca="1" si="29"/>
        <v>39.03937937969895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501176</v>
      </c>
      <c r="M34" s="41">
        <f t="shared" si="32"/>
        <v>0</v>
      </c>
      <c r="N34" s="41">
        <f t="shared" ca="1" si="32"/>
        <v>195656</v>
      </c>
      <c r="O34" s="41">
        <f t="shared" ca="1" si="29"/>
        <v>39.03937937969895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44" t="s">
        <v>23</v>
      </c>
      <c r="E35" s="54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1926810</v>
      </c>
      <c r="M37" s="55">
        <f t="shared" ca="1" si="33"/>
        <v>1115980</v>
      </c>
      <c r="N37" s="55">
        <f t="shared" ca="1" si="33"/>
        <v>935637</v>
      </c>
      <c r="O37" s="56">
        <f t="shared" ca="1" si="29"/>
        <v>48.558861537982466</v>
      </c>
      <c r="P37" s="56">
        <f t="shared" ca="1" si="25"/>
        <v>83.839943368160718</v>
      </c>
    </row>
    <row r="38" spans="1:16" ht="21.75" customHeight="1" x14ac:dyDescent="0.45">
      <c r="A38" s="546" t="s">
        <v>27</v>
      </c>
      <c r="B38" s="531"/>
      <c r="C38" s="531"/>
      <c r="D38" s="531"/>
      <c r="E38" s="531"/>
      <c r="F38" s="531"/>
      <c r="G38" s="53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7" t="s">
        <v>28</v>
      </c>
      <c r="C39" s="543"/>
      <c r="D39" s="543"/>
      <c r="E39" s="543"/>
      <c r="F39" s="543"/>
      <c r="G39" s="54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48" t="s">
        <v>17</v>
      </c>
      <c r="E41" s="545"/>
      <c r="F41" s="545"/>
      <c r="G41" s="545"/>
      <c r="H41" s="76" t="s">
        <v>12</v>
      </c>
      <c r="I41" s="77"/>
      <c r="J41" s="77"/>
      <c r="K41" s="78"/>
      <c r="L41" s="79">
        <f t="shared" ref="L41:N41" ca="1" si="34">L42+L43</f>
        <v>306800</v>
      </c>
      <c r="M41" s="79">
        <f t="shared" ca="1" si="34"/>
        <v>153400</v>
      </c>
      <c r="N41" s="79">
        <f t="shared" ca="1" si="34"/>
        <v>128435</v>
      </c>
      <c r="O41" s="78">
        <f t="shared" ref="O41:O43" ca="1" si="35">IF(L41&gt;0,N41*100/L41,0)</f>
        <v>41.862777053455019</v>
      </c>
      <c r="P41" s="78">
        <f t="shared" ref="P41:P43" ca="1" si="36">IF(M41&gt;0,N41*100/M41,0)</f>
        <v>83.725554106910039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306800</v>
      </c>
      <c r="M43" s="79">
        <f t="shared" ca="1" si="38"/>
        <v>153400</v>
      </c>
      <c r="N43" s="79">
        <f t="shared" ca="1" si="38"/>
        <v>128435</v>
      </c>
      <c r="O43" s="78">
        <f t="shared" ca="1" si="35"/>
        <v>41.862777053455019</v>
      </c>
      <c r="P43" s="78">
        <f t="shared" ca="1" si="36"/>
        <v>83.725554106910039</v>
      </c>
    </row>
    <row r="44" spans="1:16" ht="21.75" customHeight="1" x14ac:dyDescent="0.45">
      <c r="A44" s="80"/>
      <c r="B44" s="81"/>
      <c r="C44" s="82" t="s">
        <v>16</v>
      </c>
      <c r="D44" s="549" t="s">
        <v>20</v>
      </c>
      <c r="E44" s="545"/>
      <c r="F44" s="54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306800</v>
      </c>
      <c r="M45" s="91">
        <f ca="1">IFERROR(__xludf.DUMMYFUNCTION("IMPORTRANGE(""https://docs.google.com/spreadsheets/d/1Yj_ptqi66GCucihVvJfMjLAmec39IyEx_6qawtMGysU/edit?usp=sharing"",""สบก!Q93"")"),153400)</f>
        <v>153400</v>
      </c>
      <c r="N45" s="91">
        <f ca="1">IFERROR(__xludf.DUMMYFUNCTION("IMPORTRANGE(""https://docs.google.com/spreadsheets/d/1Yj_ptqi66GCucihVvJfMjLAmec39IyEx_6qawtMGysU/edit?usp=sharing"",""สบก!R93"")"),128435)</f>
        <v>128435</v>
      </c>
      <c r="O45" s="92">
        <f ca="1">IF(L45&gt;0,N45*100/L45,0)</f>
        <v>41.862777053455019</v>
      </c>
      <c r="P45" s="92">
        <f ca="1">IF(M45&gt;0,N45*100/M45,0)</f>
        <v>83.725554106910039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IFERROR(__xludf.DUMMYFUNCTION("IMPORTRANGE(""https://docs.google.com/spreadsheets/d/1Yj_ptqi66GCucihVvJfMjLAmec39IyEx_6qawtMGysU/edit?usp=sharing"",""สบก!M93"")"),306800)</f>
        <v>306800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IFERROR(__xludf.DUMMYFUNCTION("IMPORTRANGE(""https://docs.google.com/spreadsheets/d/1Yj_ptqi66GCucihVvJfMjLAmec39IyEx_6qawtMGysU/edit?usp=sharing"",""สบก!N93"")"),0)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49" t="s">
        <v>23</v>
      </c>
      <c r="E48" s="54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IFERROR(__xludf.DUMMYFUNCTION("IMPORTRANGE(""https://docs.google.com/spreadsheets/d/1Yj_ptqi66GCucihVvJfMjLAmec39IyEx_6qawtMGysU/edit?usp=sharing"",""สบก!O93"")"),0)</f>
        <v>0</v>
      </c>
      <c r="M49" s="101"/>
      <c r="N49" s="91">
        <f ca="1">IFERROR(__xludf.DUMMYFUNCTION("IMPORTRANGE(""https://docs.google.com/spreadsheets/d/1Yj_ptqi66GCucihVvJfMjLAmec39IyEx_6qawtMGysU/edit?usp=sharing"",""สบก!S93"")"),0)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0" t="s">
        <v>32</v>
      </c>
      <c r="C52" s="545"/>
      <c r="D52" s="545"/>
      <c r="E52" s="545"/>
      <c r="F52" s="545"/>
      <c r="G52" s="54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1" t="s">
        <v>17</v>
      </c>
      <c r="E53" s="545"/>
      <c r="F53" s="545"/>
      <c r="G53" s="545"/>
      <c r="H53" s="122" t="s">
        <v>12</v>
      </c>
      <c r="I53" s="123"/>
      <c r="J53" s="123"/>
      <c r="K53" s="124"/>
      <c r="L53" s="125">
        <f t="shared" ref="L53:N53" ca="1" si="39">L54+L55</f>
        <v>375000</v>
      </c>
      <c r="M53" s="125">
        <f t="shared" ca="1" si="39"/>
        <v>192420</v>
      </c>
      <c r="N53" s="125">
        <f t="shared" ca="1" si="39"/>
        <v>137492</v>
      </c>
      <c r="O53" s="124">
        <f t="shared" ref="O53:O55" ca="1" si="40">IF(L53&gt;0,N53*100/L53,0)</f>
        <v>36.664533333333331</v>
      </c>
      <c r="P53" s="124">
        <f t="shared" ref="P53:P55" ca="1" si="41">IF(M53&gt;0,N53*100/M53,0)</f>
        <v>71.454110799293218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375000</v>
      </c>
      <c r="M55" s="125">
        <f t="shared" ca="1" si="43"/>
        <v>192420</v>
      </c>
      <c r="N55" s="125">
        <f t="shared" ca="1" si="43"/>
        <v>137492</v>
      </c>
      <c r="O55" s="124">
        <f t="shared" ca="1" si="40"/>
        <v>36.664533333333331</v>
      </c>
      <c r="P55" s="124">
        <f t="shared" ca="1" si="41"/>
        <v>71.454110799293218</v>
      </c>
    </row>
    <row r="56" spans="1:16" ht="21.75" customHeight="1" x14ac:dyDescent="0.45">
      <c r="A56" s="80"/>
      <c r="B56" s="81"/>
      <c r="C56" s="82" t="s">
        <v>16</v>
      </c>
      <c r="D56" s="549" t="s">
        <v>20</v>
      </c>
      <c r="E56" s="545"/>
      <c r="F56" s="54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375000</v>
      </c>
      <c r="M57" s="91">
        <f ca="1">IFERROR(__xludf.DUMMYFUNCTION("IMPORTRANGE(""https://docs.google.com/spreadsheets/d/1Yj_ptqi66GCucihVvJfMjLAmec39IyEx_6qawtMGysU/edit?usp=sharing"",""สบก!Z93"")"),192420)</f>
        <v>192420</v>
      </c>
      <c r="N57" s="91">
        <f ca="1">IFERROR(__xludf.DUMMYFUNCTION("IMPORTRANGE(""https://docs.google.com/spreadsheets/d/1Yj_ptqi66GCucihVvJfMjLAmec39IyEx_6qawtMGysU/edit?usp=sharing"",""สบก!AA93"")"),137492)</f>
        <v>137492</v>
      </c>
      <c r="O57" s="92">
        <f ca="1">IF(L57&gt;0,N57*100/L57,0)</f>
        <v>36.664533333333331</v>
      </c>
      <c r="P57" s="92">
        <f ca="1">IF(M57&gt;0,N57*100/M57,0)</f>
        <v>71.454110799293218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IFERROR(__xludf.DUMMYFUNCTION("IMPORTRANGE(""https://docs.google.com/spreadsheets/d/1Yj_ptqi66GCucihVvJfMjLAmec39IyEx_6qawtMGysU/edit?usp=sharing"",""สบก!V93"")"),375000)</f>
        <v>375000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IFERROR(__xludf.DUMMYFUNCTION("IMPORTRANGE(""https://docs.google.com/spreadsheets/d/1Yj_ptqi66GCucihVvJfMjLAmec39IyEx_6qawtMGysU/edit?usp=sharing"",""สบก!W93"")"),0)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49" t="s">
        <v>23</v>
      </c>
      <c r="E60" s="54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IFERROR(__xludf.DUMMYFUNCTION("IMPORTRANGE(""https://docs.google.com/spreadsheets/d/1Yj_ptqi66GCucihVvJfMjLAmec39IyEx_6qawtMGysU/edit?usp=sharing"",""สบก!X93"")"),0)</f>
        <v>0</v>
      </c>
      <c r="M61" s="101"/>
      <c r="N61" s="91">
        <f ca="1">IFERROR(__xludf.DUMMYFUNCTION("IMPORTRANGE(""https://docs.google.com/spreadsheets/d/1Yj_ptqi66GCucihVvJfMjLAmec39IyEx_6qawtMGysU/edit?usp=sharing"",""สบก!AB93"")"),0)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IFERROR(__xludf.DUMMYFUNCTION("IMPORTRANGE(""https://docs.google.com/spreadsheets/d/1IYY_tgx_IHuhSq3AJ5eI5OnqOPBNLWSHKh2a30DoXe8/edit?usp=sharing"",""สตูล!I9"")"),0)</f>
        <v>0</v>
      </c>
      <c r="J64" s="146">
        <f ca="1">IFERROR(__xludf.DUMMYFUNCTION("IMPORTRANGE(""https://docs.google.com/spreadsheets/d/1IYY_tgx_IHuhSq3AJ5eI5OnqOPBNLWSHKh2a30DoXe8/edit?usp=sharing"",""สตูล!J9"")"),0)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IFERROR(__xludf.DUMMYFUNCTION("IMPORTRANGE(""https://docs.google.com/spreadsheets/d/1IYY_tgx_IHuhSq3AJ5eI5OnqOPBNLWSHKh2a30DoXe8/edit?usp=sharing"",""สตูล!I10"")"),0)</f>
        <v>0</v>
      </c>
      <c r="J65" s="146">
        <f ca="1">IFERROR(__xludf.DUMMYFUNCTION("IMPORTRANGE(""https://docs.google.com/spreadsheets/d/1IYY_tgx_IHuhSq3AJ5eI5OnqOPBNLWSHKh2a30DoXe8/edit?usp=sharing"",""สตูล!J10"")"),0)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52" t="s">
        <v>17</v>
      </c>
      <c r="E66" s="543"/>
      <c r="F66" s="543"/>
      <c r="G66" s="54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5">
      <c r="A69" s="162"/>
      <c r="B69" s="163"/>
      <c r="C69" s="163" t="s">
        <v>16</v>
      </c>
      <c r="D69" s="164" t="s">
        <v>38</v>
      </c>
      <c r="E69" s="165"/>
      <c r="F69" s="165"/>
      <c r="G69" s="166" t="s">
        <v>39</v>
      </c>
      <c r="H69" s="167" t="s">
        <v>12</v>
      </c>
      <c r="I69" s="168" t="s">
        <v>40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 x14ac:dyDescent="0.35">
      <c r="A70" s="162"/>
      <c r="B70" s="163"/>
      <c r="C70" s="163"/>
      <c r="D70" s="172"/>
      <c r="E70" s="165"/>
      <c r="F70" s="165" t="s">
        <v>40</v>
      </c>
      <c r="G70" s="166" t="s">
        <v>41</v>
      </c>
      <c r="H70" s="167" t="s">
        <v>12</v>
      </c>
      <c r="I70" s="168"/>
      <c r="J70" s="168"/>
      <c r="K70" s="169"/>
      <c r="L70" s="173">
        <f ca="1">L71+L72</f>
        <v>0</v>
      </c>
      <c r="M70" s="174">
        <f ca="1">IFERROR(__xludf.DUMMYFUNCTION("IMPORTRANGE(""https://docs.google.com/spreadsheets/d/1Yj_ptqi66GCucihVvJfMjLAmec39IyEx_6qawtMGysU/edit?usp=sharing"",""สบก!AI93"")"),0)</f>
        <v>0</v>
      </c>
      <c r="N70" s="175">
        <f ca="1">IFERROR(__xludf.DUMMYFUNCTION("IMPORTRANGE(""https://docs.google.com/spreadsheets/d/1Yj_ptqi66GCucihVvJfMjLAmec39IyEx_6qawtMGysU/edit?usp=sharing"",""สบก!AJ93"")"),0)</f>
        <v>0</v>
      </c>
      <c r="O70" s="176">
        <f ca="1">IF(L70&gt;0,N70*100/L70,0)</f>
        <v>0</v>
      </c>
      <c r="P70" s="176">
        <f ca="1">IF(M70&gt;0,N70*100/M70,0)</f>
        <v>0</v>
      </c>
    </row>
    <row r="71" spans="1:16" ht="21.75" customHeight="1" x14ac:dyDescent="0.35">
      <c r="A71" s="162"/>
      <c r="B71" s="163"/>
      <c r="C71" s="163"/>
      <c r="D71" s="172"/>
      <c r="E71" s="165"/>
      <c r="F71" s="165"/>
      <c r="G71" s="177" t="s">
        <v>42</v>
      </c>
      <c r="H71" s="167" t="s">
        <v>12</v>
      </c>
      <c r="I71" s="168"/>
      <c r="J71" s="168"/>
      <c r="K71" s="169"/>
      <c r="L71" s="174">
        <f ca="1">IFERROR(__xludf.DUMMYFUNCTION("IMPORTRANGE(""https://docs.google.com/spreadsheets/d/1Yj_ptqi66GCucihVvJfMjLAmec39IyEx_6qawtMGysU/edit?usp=sharing"",""สบก!AE93"")"),0)</f>
        <v>0</v>
      </c>
      <c r="M71" s="173"/>
      <c r="N71" s="173"/>
      <c r="O71" s="176"/>
      <c r="P71" s="176"/>
    </row>
    <row r="72" spans="1:16" ht="21.75" customHeight="1" x14ac:dyDescent="0.35">
      <c r="A72" s="162"/>
      <c r="B72" s="163"/>
      <c r="C72" s="163"/>
      <c r="D72" s="172"/>
      <c r="E72" s="165"/>
      <c r="F72" s="165"/>
      <c r="G72" s="177" t="s">
        <v>43</v>
      </c>
      <c r="H72" s="167" t="s">
        <v>12</v>
      </c>
      <c r="I72" s="168"/>
      <c r="J72" s="168"/>
      <c r="K72" s="169"/>
      <c r="L72" s="174">
        <f ca="1">IFERROR(__xludf.DUMMYFUNCTION("IMPORTRANGE(""https://docs.google.com/spreadsheets/d/1Yj_ptqi66GCucihVvJfMjLAmec39IyEx_6qawtMGysU/edit?usp=sharing"",""สบก!AF93"")"),0)</f>
        <v>0</v>
      </c>
      <c r="M72" s="173"/>
      <c r="N72" s="173"/>
      <c r="O72" s="176"/>
      <c r="P72" s="176"/>
    </row>
    <row r="73" spans="1:16" ht="21.75" customHeight="1" x14ac:dyDescent="0.45">
      <c r="A73" s="178"/>
      <c r="B73" s="81"/>
      <c r="C73" s="82" t="s">
        <v>16</v>
      </c>
      <c r="D73" s="549" t="s">
        <v>23</v>
      </c>
      <c r="E73" s="545"/>
      <c r="F73" s="89"/>
      <c r="G73" s="83" t="s">
        <v>18</v>
      </c>
      <c r="H73" s="179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80"/>
      <c r="B74" s="95"/>
      <c r="C74" s="95"/>
      <c r="D74" s="181"/>
      <c r="E74" s="96"/>
      <c r="F74" s="96"/>
      <c r="G74" s="97" t="s">
        <v>19</v>
      </c>
      <c r="H74" s="182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IFERROR(__xludf.DUMMYFUNCTION("IMPORTRANGE(""https://docs.google.com/spreadsheets/d/1Yj_ptqi66GCucihVvJfMjLAmec39IyEx_6qawtMGysU/edit?usp=sharing"",""สบก!AG93"")"),0)</f>
        <v>0</v>
      </c>
      <c r="M74" s="101"/>
      <c r="N74" s="91">
        <f ca="1">IFERROR(__xludf.DUMMYFUNCTION("IMPORTRANGE(""https://docs.google.com/spreadsheets/d/1Yj_ptqi66GCucihVvJfMjLAmec39IyEx_6qawtMGysU/edit?usp=sharing"",""สบก!AK93"")"),0)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3"/>
      <c r="B75" s="184"/>
      <c r="C75" s="163" t="s">
        <v>16</v>
      </c>
      <c r="D75" s="185" t="s">
        <v>44</v>
      </c>
      <c r="E75" s="186"/>
      <c r="F75" s="186"/>
      <c r="G75" s="187"/>
      <c r="H75" s="188"/>
      <c r="I75" s="168"/>
      <c r="J75" s="168"/>
      <c r="K75" s="169"/>
      <c r="L75" s="189"/>
      <c r="M75" s="189"/>
      <c r="N75" s="189"/>
      <c r="O75" s="189"/>
      <c r="P75" s="189"/>
    </row>
    <row r="76" spans="1:16" ht="21.75" customHeight="1" x14ac:dyDescent="0.35">
      <c r="A76" s="183"/>
      <c r="B76" s="184"/>
      <c r="C76" s="184"/>
      <c r="D76" s="190">
        <v>1</v>
      </c>
      <c r="E76" s="191" t="s">
        <v>45</v>
      </c>
      <c r="F76" s="192"/>
      <c r="G76" s="193"/>
      <c r="H76" s="194"/>
      <c r="I76" s="195"/>
      <c r="J76" s="196">
        <f ca="1">IFERROR(__xludf.DUMMYFUNCTION("IMPORTRANGE(""https://docs.google.com/spreadsheets/d/1IYY_tgx_IHuhSq3AJ5eI5OnqOPBNLWSHKh2a30DoXe8/edit?usp=sharing"",""สตูล!J16"")"),0)</f>
        <v>0</v>
      </c>
      <c r="K76" s="169"/>
      <c r="L76" s="189"/>
      <c r="M76" s="189"/>
      <c r="N76" s="189"/>
      <c r="O76" s="189"/>
      <c r="P76" s="189"/>
    </row>
    <row r="77" spans="1:16" ht="21.75" customHeight="1" x14ac:dyDescent="0.35">
      <c r="A77" s="183"/>
      <c r="B77" s="184"/>
      <c r="C77" s="184"/>
      <c r="D77" s="197">
        <v>2</v>
      </c>
      <c r="E77" s="198" t="s">
        <v>46</v>
      </c>
      <c r="F77" s="199"/>
      <c r="G77" s="200"/>
      <c r="H77" s="194"/>
      <c r="I77" s="195"/>
      <c r="J77" s="196">
        <f ca="1">IFERROR(__xludf.DUMMYFUNCTION("IMPORTRANGE(""https://docs.google.com/spreadsheets/d/1IYY_tgx_IHuhSq3AJ5eI5OnqOPBNLWSHKh2a30DoXe8/edit?usp=sharing"",""สตูล!J17"")"),0)</f>
        <v>0</v>
      </c>
      <c r="K77" s="169"/>
      <c r="L77" s="189" t="s">
        <v>40</v>
      </c>
      <c r="M77" s="189"/>
      <c r="N77" s="189" t="s">
        <v>40</v>
      </c>
      <c r="O77" s="189"/>
      <c r="P77" s="189"/>
    </row>
    <row r="78" spans="1:16" ht="21.75" customHeight="1" x14ac:dyDescent="0.35">
      <c r="A78" s="183"/>
      <c r="B78" s="184"/>
      <c r="C78" s="184"/>
      <c r="D78" s="201"/>
      <c r="E78" s="202" t="s">
        <v>47</v>
      </c>
      <c r="F78" s="203"/>
      <c r="G78" s="204"/>
      <c r="H78" s="194"/>
      <c r="I78" s="195"/>
      <c r="J78" s="196">
        <f ca="1">IFERROR(__xludf.DUMMYFUNCTION("IMPORTRANGE(""https://docs.google.com/spreadsheets/d/1IYY_tgx_IHuhSq3AJ5eI5OnqOPBNLWSHKh2a30DoXe8/edit?usp=sharing"",""สตูล!J18"")"),0)</f>
        <v>0</v>
      </c>
      <c r="K78" s="169"/>
      <c r="L78" s="189"/>
      <c r="M78" s="189"/>
      <c r="N78" s="189"/>
      <c r="O78" s="189"/>
      <c r="P78" s="189"/>
    </row>
    <row r="79" spans="1:16" ht="21.75" customHeight="1" x14ac:dyDescent="0.35">
      <c r="A79" s="183"/>
      <c r="B79" s="184"/>
      <c r="C79" s="184"/>
      <c r="D79" s="201"/>
      <c r="E79" s="202" t="s">
        <v>48</v>
      </c>
      <c r="F79" s="203"/>
      <c r="G79" s="204"/>
      <c r="H79" s="194"/>
      <c r="I79" s="195"/>
      <c r="J79" s="205">
        <f ca="1">IFERROR(__xludf.DUMMYFUNCTION("IMPORTRANGE(""https://docs.google.com/spreadsheets/d/1IYY_tgx_IHuhSq3AJ5eI5OnqOPBNLWSHKh2a30DoXe8/edit?usp=sharing"",""สตูล!J19"")"),0)</f>
        <v>0</v>
      </c>
      <c r="K79" s="169"/>
      <c r="L79" s="189"/>
      <c r="M79" s="189"/>
      <c r="N79" s="189"/>
      <c r="O79" s="189"/>
      <c r="P79" s="189"/>
    </row>
    <row r="80" spans="1:16" ht="21.75" customHeight="1" x14ac:dyDescent="0.35">
      <c r="A80" s="183"/>
      <c r="B80" s="184"/>
      <c r="C80" s="184"/>
      <c r="D80" s="201"/>
      <c r="E80" s="206"/>
      <c r="F80" s="202" t="s">
        <v>49</v>
      </c>
      <c r="G80" s="203"/>
      <c r="H80" s="207" t="s">
        <v>36</v>
      </c>
      <c r="I80" s="208">
        <f ca="1">IFERROR(__xludf.DUMMYFUNCTION("IMPORTRANGE(""https://docs.google.com/spreadsheets/d/1IYY_tgx_IHuhSq3AJ5eI5OnqOPBNLWSHKh2a30DoXe8/edit?usp=sharing"",""สตูล!I20"")"),0)</f>
        <v>0</v>
      </c>
      <c r="J80" s="208">
        <f ca="1">IFERROR(__xludf.DUMMYFUNCTION("IMPORTRANGE(""https://docs.google.com/spreadsheets/d/1IYY_tgx_IHuhSq3AJ5eI5OnqOPBNLWSHKh2a30DoXe8/edit?usp=sharing"",""สตูล!J20"")"),0)</f>
        <v>0</v>
      </c>
      <c r="K80" s="209">
        <f t="shared" ref="K80:K88" ca="1" si="50">IF(I80&gt;0,J80*100/I80,0)</f>
        <v>0</v>
      </c>
      <c r="L80" s="189"/>
      <c r="M80" s="189"/>
      <c r="N80" s="189"/>
      <c r="O80" s="189"/>
      <c r="P80" s="189"/>
    </row>
    <row r="81" spans="1:16" ht="21.75" customHeight="1" x14ac:dyDescent="0.35">
      <c r="A81" s="183"/>
      <c r="B81" s="184"/>
      <c r="C81" s="184"/>
      <c r="D81" s="201"/>
      <c r="E81" s="206"/>
      <c r="F81" s="203"/>
      <c r="G81" s="204"/>
      <c r="H81" s="207" t="s">
        <v>37</v>
      </c>
      <c r="I81" s="208">
        <f ca="1">IFERROR(__xludf.DUMMYFUNCTION("IMPORTRANGE(""https://docs.google.com/spreadsheets/d/1IYY_tgx_IHuhSq3AJ5eI5OnqOPBNLWSHKh2a30DoXe8/edit?usp=sharing"",""สตูล!I21"")"),0)</f>
        <v>0</v>
      </c>
      <c r="J81" s="208">
        <f ca="1">IFERROR(__xludf.DUMMYFUNCTION("IMPORTRANGE(""https://docs.google.com/spreadsheets/d/1IYY_tgx_IHuhSq3AJ5eI5OnqOPBNLWSHKh2a30DoXe8/edit?usp=sharing"",""สตูล!J21"")"),0)</f>
        <v>0</v>
      </c>
      <c r="K81" s="209">
        <f t="shared" ca="1" si="50"/>
        <v>0</v>
      </c>
      <c r="L81" s="189"/>
      <c r="M81" s="189"/>
      <c r="N81" s="189"/>
      <c r="O81" s="189"/>
      <c r="P81" s="189"/>
    </row>
    <row r="82" spans="1:16" ht="21.75" customHeight="1" x14ac:dyDescent="0.35">
      <c r="A82" s="183"/>
      <c r="B82" s="184"/>
      <c r="C82" s="184"/>
      <c r="D82" s="201"/>
      <c r="E82" s="206"/>
      <c r="F82" s="203"/>
      <c r="G82" s="203" t="s">
        <v>50</v>
      </c>
      <c r="H82" s="188" t="s">
        <v>36</v>
      </c>
      <c r="I82" s="210">
        <f ca="1">IFERROR(__xludf.DUMMYFUNCTION("IMPORTRANGE(""https://docs.google.com/spreadsheets/d/1IYY_tgx_IHuhSq3AJ5eI5OnqOPBNLWSHKh2a30DoXe8/edit?usp=sharing"",""สตูล!I22"")"),0)</f>
        <v>0</v>
      </c>
      <c r="J82" s="211">
        <f ca="1">IFERROR(__xludf.DUMMYFUNCTION("IMPORTRANGE(""https://docs.google.com/spreadsheets/d/1IYY_tgx_IHuhSq3AJ5eI5OnqOPBNLWSHKh2a30DoXe8/edit?usp=sharing"",""สตูล!J22"")"),0)</f>
        <v>0</v>
      </c>
      <c r="K82" s="169">
        <f t="shared" ca="1" si="50"/>
        <v>0</v>
      </c>
      <c r="L82" s="189"/>
      <c r="M82" s="189"/>
      <c r="N82" s="189"/>
      <c r="O82" s="189"/>
      <c r="P82" s="189"/>
    </row>
    <row r="83" spans="1:16" ht="21.75" customHeight="1" x14ac:dyDescent="0.35">
      <c r="A83" s="183"/>
      <c r="B83" s="184"/>
      <c r="C83" s="184"/>
      <c r="D83" s="201"/>
      <c r="E83" s="206"/>
      <c r="F83" s="203"/>
      <c r="G83" s="204"/>
      <c r="H83" s="188" t="s">
        <v>37</v>
      </c>
      <c r="I83" s="210">
        <f ca="1">IFERROR(__xludf.DUMMYFUNCTION("IMPORTRANGE(""https://docs.google.com/spreadsheets/d/1IYY_tgx_IHuhSq3AJ5eI5OnqOPBNLWSHKh2a30DoXe8/edit?usp=sharing"",""สตูล!I23"")"),0)</f>
        <v>0</v>
      </c>
      <c r="J83" s="211">
        <f ca="1">IFERROR(__xludf.DUMMYFUNCTION("IMPORTRANGE(""https://docs.google.com/spreadsheets/d/1IYY_tgx_IHuhSq3AJ5eI5OnqOPBNLWSHKh2a30DoXe8/edit?usp=sharing"",""สตูล!J23"")"),0)</f>
        <v>0</v>
      </c>
      <c r="K83" s="169">
        <f t="shared" ca="1" si="50"/>
        <v>0</v>
      </c>
      <c r="L83" s="189"/>
      <c r="M83" s="189"/>
      <c r="N83" s="189"/>
      <c r="O83" s="189"/>
      <c r="P83" s="189"/>
    </row>
    <row r="84" spans="1:16" ht="21.75" customHeight="1" x14ac:dyDescent="0.35">
      <c r="A84" s="183"/>
      <c r="B84" s="184"/>
      <c r="C84" s="184"/>
      <c r="D84" s="201"/>
      <c r="E84" s="206"/>
      <c r="F84" s="203"/>
      <c r="G84" s="203" t="s">
        <v>51</v>
      </c>
      <c r="H84" s="188" t="s">
        <v>36</v>
      </c>
      <c r="I84" s="210">
        <f ca="1">IFERROR(__xludf.DUMMYFUNCTION("IMPORTRANGE(""https://docs.google.com/spreadsheets/d/1IYY_tgx_IHuhSq3AJ5eI5OnqOPBNLWSHKh2a30DoXe8/edit?usp=sharing"",""สตูล!I24"")"),0)</f>
        <v>0</v>
      </c>
      <c r="J84" s="196">
        <f ca="1">IFERROR(__xludf.DUMMYFUNCTION("IMPORTRANGE(""https://docs.google.com/spreadsheets/d/1IYY_tgx_IHuhSq3AJ5eI5OnqOPBNLWSHKh2a30DoXe8/edit?usp=sharing"",""สตูล!J24"")"),0)</f>
        <v>0</v>
      </c>
      <c r="K84" s="169">
        <f t="shared" ca="1" si="50"/>
        <v>0</v>
      </c>
      <c r="L84" s="189"/>
      <c r="M84" s="189"/>
      <c r="N84" s="189"/>
      <c r="O84" s="189"/>
      <c r="P84" s="189"/>
    </row>
    <row r="85" spans="1:16" ht="21.75" customHeight="1" x14ac:dyDescent="0.35">
      <c r="A85" s="183"/>
      <c r="B85" s="184"/>
      <c r="C85" s="184"/>
      <c r="D85" s="201"/>
      <c r="E85" s="206"/>
      <c r="F85" s="203"/>
      <c r="G85" s="204"/>
      <c r="H85" s="188" t="s">
        <v>37</v>
      </c>
      <c r="I85" s="210">
        <f ca="1">IFERROR(__xludf.DUMMYFUNCTION("IMPORTRANGE(""https://docs.google.com/spreadsheets/d/1IYY_tgx_IHuhSq3AJ5eI5OnqOPBNLWSHKh2a30DoXe8/edit?usp=sharing"",""สตูล!I25"")"),0)</f>
        <v>0</v>
      </c>
      <c r="J85" s="196">
        <f ca="1">IFERROR(__xludf.DUMMYFUNCTION("IMPORTRANGE(""https://docs.google.com/spreadsheets/d/1IYY_tgx_IHuhSq3AJ5eI5OnqOPBNLWSHKh2a30DoXe8/edit?usp=sharing"",""สตูล!J25"")"),0)</f>
        <v>0</v>
      </c>
      <c r="K85" s="169">
        <f t="shared" ca="1" si="50"/>
        <v>0</v>
      </c>
      <c r="L85" s="189"/>
      <c r="M85" s="189"/>
      <c r="N85" s="189"/>
      <c r="O85" s="189"/>
      <c r="P85" s="189"/>
    </row>
    <row r="86" spans="1:16" ht="21.75" customHeight="1" x14ac:dyDescent="0.35">
      <c r="A86" s="183"/>
      <c r="B86" s="184"/>
      <c r="C86" s="184"/>
      <c r="D86" s="201"/>
      <c r="E86" s="206"/>
      <c r="F86" s="203"/>
      <c r="G86" s="203" t="s">
        <v>52</v>
      </c>
      <c r="H86" s="188" t="s">
        <v>36</v>
      </c>
      <c r="I86" s="210">
        <f ca="1">IFERROR(__xludf.DUMMYFUNCTION("IMPORTRANGE(""https://docs.google.com/spreadsheets/d/1IYY_tgx_IHuhSq3AJ5eI5OnqOPBNLWSHKh2a30DoXe8/edit?usp=sharing"",""สตูล!I26"")"),0)</f>
        <v>0</v>
      </c>
      <c r="J86" s="211">
        <f ca="1">IFERROR(__xludf.DUMMYFUNCTION("IMPORTRANGE(""https://docs.google.com/spreadsheets/d/1IYY_tgx_IHuhSq3AJ5eI5OnqOPBNLWSHKh2a30DoXe8/edit?usp=sharing"",""สตูล!J26"")"),0)</f>
        <v>0</v>
      </c>
      <c r="K86" s="169">
        <f t="shared" ca="1" si="50"/>
        <v>0</v>
      </c>
      <c r="L86" s="189"/>
      <c r="M86" s="189"/>
      <c r="N86" s="189"/>
      <c r="O86" s="189"/>
      <c r="P86" s="189"/>
    </row>
    <row r="87" spans="1:16" ht="21.75" customHeight="1" x14ac:dyDescent="0.35">
      <c r="A87" s="183"/>
      <c r="B87" s="184"/>
      <c r="C87" s="184"/>
      <c r="D87" s="201"/>
      <c r="E87" s="206"/>
      <c r="F87" s="203"/>
      <c r="G87" s="204"/>
      <c r="H87" s="188" t="s">
        <v>37</v>
      </c>
      <c r="I87" s="210">
        <f ca="1">IFERROR(__xludf.DUMMYFUNCTION("IMPORTRANGE(""https://docs.google.com/spreadsheets/d/1IYY_tgx_IHuhSq3AJ5eI5OnqOPBNLWSHKh2a30DoXe8/edit?usp=sharing"",""สตูล!I27"")"),0)</f>
        <v>0</v>
      </c>
      <c r="J87" s="211">
        <f ca="1">IFERROR(__xludf.DUMMYFUNCTION("IMPORTRANGE(""https://docs.google.com/spreadsheets/d/1IYY_tgx_IHuhSq3AJ5eI5OnqOPBNLWSHKh2a30DoXe8/edit?usp=sharing"",""สตูล!J27"")"),0)</f>
        <v>0</v>
      </c>
      <c r="K87" s="169">
        <f t="shared" ca="1" si="50"/>
        <v>0</v>
      </c>
      <c r="L87" s="189"/>
      <c r="M87" s="189"/>
      <c r="N87" s="189"/>
      <c r="O87" s="189"/>
      <c r="P87" s="189"/>
    </row>
    <row r="88" spans="1:16" ht="21.75" customHeight="1" x14ac:dyDescent="0.35">
      <c r="A88" s="183"/>
      <c r="B88" s="184"/>
      <c r="C88" s="184"/>
      <c r="D88" s="201"/>
      <c r="E88" s="206"/>
      <c r="F88" s="212" t="s">
        <v>53</v>
      </c>
      <c r="G88" s="203"/>
      <c r="H88" s="188" t="s">
        <v>37</v>
      </c>
      <c r="I88" s="210">
        <f ca="1">IFERROR(__xludf.DUMMYFUNCTION("IMPORTRANGE(""https://docs.google.com/spreadsheets/d/1IYY_tgx_IHuhSq3AJ5eI5OnqOPBNLWSHKh2a30DoXe8/edit?usp=sharing"",""สตูล!I28"")"),0)</f>
        <v>0</v>
      </c>
      <c r="J88" s="211">
        <f ca="1">IFERROR(__xludf.DUMMYFUNCTION("IMPORTRANGE(""https://docs.google.com/spreadsheets/d/1IYY_tgx_IHuhSq3AJ5eI5OnqOPBNLWSHKh2a30DoXe8/edit?usp=sharing"",""สตูล!J28"")"),0)</f>
        <v>0</v>
      </c>
      <c r="K88" s="169">
        <f t="shared" ca="1" si="50"/>
        <v>0</v>
      </c>
      <c r="L88" s="189"/>
      <c r="M88" s="189"/>
      <c r="N88" s="189"/>
      <c r="O88" s="189"/>
      <c r="P88" s="189"/>
    </row>
    <row r="89" spans="1:16" ht="21.75" customHeight="1" x14ac:dyDescent="0.35">
      <c r="A89" s="183"/>
      <c r="B89" s="184"/>
      <c r="C89" s="184"/>
      <c r="D89" s="201"/>
      <c r="E89" s="202" t="s">
        <v>54</v>
      </c>
      <c r="F89" s="203"/>
      <c r="G89" s="204"/>
      <c r="H89" s="194"/>
      <c r="I89" s="195"/>
      <c r="J89" s="205">
        <f ca="1">IFERROR(__xludf.DUMMYFUNCTION("IMPORTRANGE(""https://docs.google.com/spreadsheets/d/1IYY_tgx_IHuhSq3AJ5eI5OnqOPBNLWSHKh2a30DoXe8/edit?usp=sharing"",""สตูล!J29"")"),0)</f>
        <v>0</v>
      </c>
      <c r="K89" s="169"/>
      <c r="L89" s="189"/>
      <c r="M89" s="189"/>
      <c r="N89" s="189"/>
      <c r="O89" s="189"/>
      <c r="P89" s="189"/>
    </row>
    <row r="90" spans="1:16" ht="21.75" customHeight="1" x14ac:dyDescent="0.35">
      <c r="A90" s="183"/>
      <c r="B90" s="184"/>
      <c r="C90" s="184"/>
      <c r="D90" s="213">
        <v>3</v>
      </c>
      <c r="E90" s="214" t="s">
        <v>55</v>
      </c>
      <c r="F90" s="215"/>
      <c r="G90" s="216"/>
      <c r="H90" s="194"/>
      <c r="I90" s="195"/>
      <c r="J90" s="217">
        <f ca="1">IFERROR(__xludf.DUMMYFUNCTION("IMPORTRANGE(""https://docs.google.com/spreadsheets/d/1IYY_tgx_IHuhSq3AJ5eI5OnqOPBNLWSHKh2a30DoXe8/edit?usp=sharing"",""สตูล!J30"")"),0)</f>
        <v>0</v>
      </c>
      <c r="K90" s="169"/>
      <c r="L90" s="189"/>
      <c r="M90" s="189"/>
      <c r="N90" s="189"/>
      <c r="O90" s="189"/>
      <c r="P90" s="189"/>
    </row>
    <row r="91" spans="1:16" ht="21.75" customHeight="1" x14ac:dyDescent="0.35">
      <c r="A91" s="218" t="s">
        <v>56</v>
      </c>
      <c r="B91" s="219"/>
      <c r="C91" s="220"/>
      <c r="D91" s="219"/>
      <c r="E91" s="221"/>
      <c r="F91" s="221"/>
      <c r="G91" s="222"/>
      <c r="H91" s="223"/>
      <c r="I91" s="224"/>
      <c r="J91" s="224"/>
      <c r="K91" s="225"/>
      <c r="L91" s="226"/>
      <c r="M91" s="226"/>
      <c r="N91" s="226"/>
      <c r="O91" s="227"/>
      <c r="P91" s="227"/>
    </row>
    <row r="92" spans="1:16" ht="21.75" customHeight="1" x14ac:dyDescent="0.35">
      <c r="A92" s="142"/>
      <c r="B92" s="143" t="s">
        <v>57</v>
      </c>
      <c r="C92" s="143"/>
      <c r="D92" s="144"/>
      <c r="E92" s="143"/>
      <c r="F92" s="143"/>
      <c r="G92" s="228"/>
      <c r="H92" s="145" t="s">
        <v>37</v>
      </c>
      <c r="I92" s="146">
        <f ca="1">IFERROR(__xludf.DUMMYFUNCTION("IMPORTRANGE(""https://docs.google.com/spreadsheets/d/1IYY_tgx_IHuhSq3AJ5eI5OnqOPBNLWSHKh2a30DoXe8/edit?usp=sharing"",""สตูล!I32"")"),0)</f>
        <v>0</v>
      </c>
      <c r="J92" s="146">
        <f ca="1">IFERROR(__xludf.DUMMYFUNCTION("IMPORTRANGE(""https://docs.google.com/spreadsheets/d/1IYY_tgx_IHuhSq3AJ5eI5OnqOPBNLWSHKh2a30DoXe8/edit?usp=sharing"",""สตูล!J32"")"),0)</f>
        <v>0</v>
      </c>
      <c r="K92" s="147">
        <f t="shared" ref="K92:K93" ca="1" si="51">IF(I92&gt;0,J92*100/I92,0)</f>
        <v>0</v>
      </c>
      <c r="L92" s="229"/>
      <c r="M92" s="229"/>
      <c r="N92" s="230"/>
      <c r="O92" s="147"/>
      <c r="P92" s="147"/>
    </row>
    <row r="93" spans="1:16" ht="21.75" customHeight="1" x14ac:dyDescent="0.35">
      <c r="A93" s="142"/>
      <c r="B93" s="143"/>
      <c r="C93" s="143"/>
      <c r="D93" s="144" t="s">
        <v>58</v>
      </c>
      <c r="E93" s="143"/>
      <c r="F93" s="143"/>
      <c r="G93" s="228"/>
      <c r="H93" s="145" t="s">
        <v>59</v>
      </c>
      <c r="I93" s="146">
        <f ca="1">IFERROR(__xludf.DUMMYFUNCTION("IMPORTRANGE(""https://docs.google.com/spreadsheets/d/1IYY_tgx_IHuhSq3AJ5eI5OnqOPBNLWSHKh2a30DoXe8/edit?usp=sharing"",""สตูล!I33"")"),0)</f>
        <v>0</v>
      </c>
      <c r="J93" s="146">
        <f ca="1">IFERROR(__xludf.DUMMYFUNCTION("IMPORTRANGE(""https://docs.google.com/spreadsheets/d/1IYY_tgx_IHuhSq3AJ5eI5OnqOPBNLWSHKh2a30DoXe8/edit?usp=sharing"",""สตูล!J33"")"),0)</f>
        <v>0</v>
      </c>
      <c r="K93" s="147">
        <f t="shared" ca="1" si="51"/>
        <v>0</v>
      </c>
      <c r="L93" s="230"/>
      <c r="M93" s="230"/>
      <c r="N93" s="230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52" t="s">
        <v>17</v>
      </c>
      <c r="E94" s="543"/>
      <c r="F94" s="543"/>
      <c r="G94" s="543"/>
      <c r="H94" s="153" t="s">
        <v>12</v>
      </c>
      <c r="I94" s="168"/>
      <c r="J94" s="168"/>
      <c r="K94" s="169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8"/>
      <c r="J95" s="168"/>
      <c r="K95" s="169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8"/>
      <c r="J96" s="168"/>
      <c r="K96" s="169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5">
      <c r="A97" s="162"/>
      <c r="B97" s="163"/>
      <c r="C97" s="163" t="s">
        <v>16</v>
      </c>
      <c r="D97" s="164" t="s">
        <v>38</v>
      </c>
      <c r="E97" s="165"/>
      <c r="F97" s="165"/>
      <c r="G97" s="166" t="s">
        <v>39</v>
      </c>
      <c r="H97" s="167" t="s">
        <v>12</v>
      </c>
      <c r="I97" s="168" t="s">
        <v>40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 x14ac:dyDescent="0.35">
      <c r="A98" s="162"/>
      <c r="B98" s="163"/>
      <c r="C98" s="163"/>
      <c r="D98" s="172"/>
      <c r="E98" s="165"/>
      <c r="F98" s="165" t="s">
        <v>40</v>
      </c>
      <c r="G98" s="166" t="s">
        <v>41</v>
      </c>
      <c r="H98" s="167" t="s">
        <v>12</v>
      </c>
      <c r="I98" s="168"/>
      <c r="J98" s="168"/>
      <c r="K98" s="169"/>
      <c r="L98" s="173">
        <f ca="1">L99+L100</f>
        <v>0</v>
      </c>
      <c r="M98" s="174">
        <f ca="1">IFERROR(__xludf.DUMMYFUNCTION("IMPORTRANGE(""https://docs.google.com/spreadsheets/d/1Yj_ptqi66GCucihVvJfMjLAmec39IyEx_6qawtMGysU/edit?usp=sharing"",""สบก!AR93"")"),0)</f>
        <v>0</v>
      </c>
      <c r="N98" s="175">
        <f ca="1">IFERROR(__xludf.DUMMYFUNCTION("IMPORTRANGE(""https://docs.google.com/spreadsheets/d/1Yj_ptqi66GCucihVvJfMjLAmec39IyEx_6qawtMGysU/edit?usp=sharing"",""สบก!AS93"")"),0)</f>
        <v>0</v>
      </c>
      <c r="O98" s="176">
        <f ca="1">IF(L98&gt;0,N98*100/L98,0)</f>
        <v>0</v>
      </c>
      <c r="P98" s="176">
        <f ca="1">IF(M98&gt;0,N98*100/M98,0)</f>
        <v>0</v>
      </c>
    </row>
    <row r="99" spans="1:16" ht="21.75" customHeight="1" x14ac:dyDescent="0.35">
      <c r="A99" s="162"/>
      <c r="B99" s="163"/>
      <c r="C99" s="163"/>
      <c r="D99" s="172"/>
      <c r="E99" s="165"/>
      <c r="F99" s="165"/>
      <c r="G99" s="177" t="s">
        <v>42</v>
      </c>
      <c r="H99" s="167" t="s">
        <v>12</v>
      </c>
      <c r="I99" s="168"/>
      <c r="J99" s="168"/>
      <c r="K99" s="169"/>
      <c r="L99" s="174">
        <f ca="1">IFERROR(__xludf.DUMMYFUNCTION("IMPORTRANGE(""https://docs.google.com/spreadsheets/d/1Yj_ptqi66GCucihVvJfMjLAmec39IyEx_6qawtMGysU/edit?usp=sharing"",""สบก!AN93"")"),0)</f>
        <v>0</v>
      </c>
      <c r="M99" s="173"/>
      <c r="N99" s="173"/>
      <c r="O99" s="176"/>
      <c r="P99" s="176"/>
    </row>
    <row r="100" spans="1:16" ht="21.75" customHeight="1" x14ac:dyDescent="0.35">
      <c r="A100" s="162"/>
      <c r="B100" s="163"/>
      <c r="C100" s="163"/>
      <c r="D100" s="172"/>
      <c r="E100" s="165"/>
      <c r="F100" s="165"/>
      <c r="G100" s="177" t="s">
        <v>43</v>
      </c>
      <c r="H100" s="167" t="s">
        <v>12</v>
      </c>
      <c r="I100" s="168"/>
      <c r="J100" s="195"/>
      <c r="K100" s="231"/>
      <c r="L100" s="174">
        <f ca="1">IFERROR(__xludf.DUMMYFUNCTION("IMPORTRANGE(""https://docs.google.com/spreadsheets/d/1Yj_ptqi66GCucihVvJfMjLAmec39IyEx_6qawtMGysU/edit?usp=sharing"",""สบก!AO93"")"),0)</f>
        <v>0</v>
      </c>
      <c r="M100" s="173"/>
      <c r="N100" s="173"/>
      <c r="O100" s="176"/>
      <c r="P100" s="176"/>
    </row>
    <row r="101" spans="1:16" ht="21.75" customHeight="1" x14ac:dyDescent="0.45">
      <c r="A101" s="178"/>
      <c r="B101" s="81"/>
      <c r="C101" s="82" t="s">
        <v>16</v>
      </c>
      <c r="D101" s="549" t="s">
        <v>23</v>
      </c>
      <c r="E101" s="545"/>
      <c r="F101" s="89"/>
      <c r="G101" s="83" t="s">
        <v>18</v>
      </c>
      <c r="H101" s="179" t="s">
        <v>12</v>
      </c>
      <c r="I101" s="195"/>
      <c r="J101" s="195"/>
      <c r="K101" s="231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80"/>
      <c r="B102" s="95"/>
      <c r="C102" s="95"/>
      <c r="D102" s="181"/>
      <c r="E102" s="96"/>
      <c r="F102" s="96"/>
      <c r="G102" s="97" t="s">
        <v>19</v>
      </c>
      <c r="H102" s="182" t="s">
        <v>12</v>
      </c>
      <c r="I102" s="195"/>
      <c r="J102" s="195"/>
      <c r="K102" s="231"/>
      <c r="L102" s="91">
        <f ca="1">IFERROR(__xludf.DUMMYFUNCTION("IMPORTRANGE(""https://docs.google.com/spreadsheets/d/1Yj_ptqi66GCucihVvJfMjLAmec39IyEx_6qawtMGysU/edit?usp=sharing"",""สบก!AP93"")"),0)</f>
        <v>0</v>
      </c>
      <c r="M102" s="101"/>
      <c r="N102" s="91">
        <f ca="1">IFERROR(__xludf.DUMMYFUNCTION("IMPORTRANGE(""https://docs.google.com/spreadsheets/d/1Yj_ptqi66GCucihVvJfMjLAmec39IyEx_6qawtMGysU/edit?usp=sharing"",""สบก!AT93"")"),0)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3"/>
      <c r="B103" s="184"/>
      <c r="C103" s="163" t="s">
        <v>16</v>
      </c>
      <c r="D103" s="185" t="s">
        <v>44</v>
      </c>
      <c r="E103" s="186"/>
      <c r="F103" s="186"/>
      <c r="G103" s="187"/>
      <c r="H103" s="188"/>
      <c r="I103" s="168"/>
      <c r="J103" s="195"/>
      <c r="K103" s="231"/>
      <c r="L103" s="176"/>
      <c r="M103" s="176"/>
      <c r="N103" s="176"/>
      <c r="O103" s="189"/>
      <c r="P103" s="189"/>
    </row>
    <row r="104" spans="1:16" ht="21.75" customHeight="1" x14ac:dyDescent="0.35">
      <c r="A104" s="183"/>
      <c r="B104" s="184"/>
      <c r="C104" s="184"/>
      <c r="D104" s="190">
        <v>1</v>
      </c>
      <c r="E104" s="191" t="s">
        <v>45</v>
      </c>
      <c r="F104" s="192"/>
      <c r="G104" s="193"/>
      <c r="H104" s="194"/>
      <c r="I104" s="195"/>
      <c r="J104" s="195">
        <f ca="1">IFERROR(__xludf.DUMMYFUNCTION("IMPORTRANGE(""https://docs.google.com/spreadsheets/d/1IYY_tgx_IHuhSq3AJ5eI5OnqOPBNLWSHKh2a30DoXe8/edit?usp=sharing"",""สตูล!J39"")"),0)</f>
        <v>0</v>
      </c>
      <c r="K104" s="231"/>
      <c r="L104" s="176"/>
      <c r="M104" s="176"/>
      <c r="N104" s="176"/>
      <c r="O104" s="189"/>
      <c r="P104" s="189"/>
    </row>
    <row r="105" spans="1:16" ht="21.75" customHeight="1" x14ac:dyDescent="0.35">
      <c r="A105" s="183"/>
      <c r="B105" s="184"/>
      <c r="C105" s="184"/>
      <c r="D105" s="197">
        <v>2</v>
      </c>
      <c r="E105" s="198" t="s">
        <v>46</v>
      </c>
      <c r="F105" s="199"/>
      <c r="G105" s="200"/>
      <c r="H105" s="194"/>
      <c r="I105" s="195"/>
      <c r="J105" s="195">
        <f ca="1">IFERROR(__xludf.DUMMYFUNCTION("IMPORTRANGE(""https://docs.google.com/spreadsheets/d/1IYY_tgx_IHuhSq3AJ5eI5OnqOPBNLWSHKh2a30DoXe8/edit?usp=sharing"",""สตูล!J40"")"),0)</f>
        <v>0</v>
      </c>
      <c r="K105" s="231"/>
      <c r="L105" s="176" t="s">
        <v>40</v>
      </c>
      <c r="M105" s="176"/>
      <c r="N105" s="176" t="s">
        <v>40</v>
      </c>
      <c r="O105" s="189"/>
      <c r="P105" s="189"/>
    </row>
    <row r="106" spans="1:16" ht="21.75" customHeight="1" x14ac:dyDescent="0.35">
      <c r="A106" s="183"/>
      <c r="B106" s="184"/>
      <c r="C106" s="184"/>
      <c r="D106" s="201"/>
      <c r="E106" s="202" t="s">
        <v>47</v>
      </c>
      <c r="F106" s="203"/>
      <c r="G106" s="204"/>
      <c r="H106" s="194"/>
      <c r="I106" s="195"/>
      <c r="J106" s="195">
        <f ca="1">IFERROR(__xludf.DUMMYFUNCTION("IMPORTRANGE(""https://docs.google.com/spreadsheets/d/1IYY_tgx_IHuhSq3AJ5eI5OnqOPBNLWSHKh2a30DoXe8/edit?usp=sharing"",""สตูล!J41"")"),0)</f>
        <v>0</v>
      </c>
      <c r="K106" s="231"/>
      <c r="L106" s="176"/>
      <c r="M106" s="176"/>
      <c r="N106" s="176"/>
      <c r="O106" s="189"/>
      <c r="P106" s="189"/>
    </row>
    <row r="107" spans="1:16" ht="21.75" customHeight="1" x14ac:dyDescent="0.35">
      <c r="A107" s="183"/>
      <c r="B107" s="184"/>
      <c r="C107" s="184"/>
      <c r="D107" s="201"/>
      <c r="E107" s="202" t="s">
        <v>48</v>
      </c>
      <c r="F107" s="203"/>
      <c r="G107" s="204"/>
      <c r="H107" s="194"/>
      <c r="I107" s="195"/>
      <c r="J107" s="195">
        <f ca="1">IFERROR(__xludf.DUMMYFUNCTION("IMPORTRANGE(""https://docs.google.com/spreadsheets/d/1IYY_tgx_IHuhSq3AJ5eI5OnqOPBNLWSHKh2a30DoXe8/edit?usp=sharing"",""สตูล!J42"")"),0)</f>
        <v>0</v>
      </c>
      <c r="K107" s="231"/>
      <c r="L107" s="176"/>
      <c r="M107" s="176"/>
      <c r="N107" s="176"/>
      <c r="O107" s="189"/>
      <c r="P107" s="189"/>
    </row>
    <row r="108" spans="1:16" ht="21.75" customHeight="1" x14ac:dyDescent="0.35">
      <c r="A108" s="183"/>
      <c r="B108" s="184"/>
      <c r="C108" s="184"/>
      <c r="D108" s="201"/>
      <c r="E108" s="203"/>
      <c r="F108" s="203" t="s">
        <v>60</v>
      </c>
      <c r="G108" s="203"/>
      <c r="H108" s="188" t="s">
        <v>61</v>
      </c>
      <c r="I108" s="210">
        <f ca="1">IFERROR(__xludf.DUMMYFUNCTION("IMPORTRANGE(""https://docs.google.com/spreadsheets/d/1IYY_tgx_IHuhSq3AJ5eI5OnqOPBNLWSHKh2a30DoXe8/edit?usp=sharing"",""สตูล!I43"")"),0)</f>
        <v>0</v>
      </c>
      <c r="J108" s="211">
        <f ca="1">IFERROR(__xludf.DUMMYFUNCTION("IMPORTRANGE(""https://docs.google.com/spreadsheets/d/1IYY_tgx_IHuhSq3AJ5eI5OnqOPBNLWSHKh2a30DoXe8/edit?usp=sharing"",""สตูล!J43"")"),0)</f>
        <v>0</v>
      </c>
      <c r="K108" s="231">
        <f t="shared" ref="K108:K113" ca="1" si="57">IF(I108&gt;0,J108*100/I108,0)</f>
        <v>0</v>
      </c>
      <c r="L108" s="176"/>
      <c r="M108" s="176"/>
      <c r="N108" s="176"/>
      <c r="O108" s="189"/>
      <c r="P108" s="189"/>
    </row>
    <row r="109" spans="1:16" ht="21.75" customHeight="1" x14ac:dyDescent="0.35">
      <c r="A109" s="183"/>
      <c r="B109" s="184"/>
      <c r="C109" s="184"/>
      <c r="D109" s="201"/>
      <c r="E109" s="206"/>
      <c r="F109" s="202" t="s">
        <v>62</v>
      </c>
      <c r="G109" s="203"/>
      <c r="H109" s="188" t="s">
        <v>37</v>
      </c>
      <c r="I109" s="210">
        <f ca="1">IFERROR(__xludf.DUMMYFUNCTION("IMPORTRANGE(""https://docs.google.com/spreadsheets/d/1IYY_tgx_IHuhSq3AJ5eI5OnqOPBNLWSHKh2a30DoXe8/edit?usp=sharing"",""สตูล!I44"")"),0)</f>
        <v>0</v>
      </c>
      <c r="J109" s="211">
        <f ca="1">IFERROR(__xludf.DUMMYFUNCTION("IMPORTRANGE(""https://docs.google.com/spreadsheets/d/1IYY_tgx_IHuhSq3AJ5eI5OnqOPBNLWSHKh2a30DoXe8/edit?usp=sharing"",""สตูล!J44"")"),0)</f>
        <v>0</v>
      </c>
      <c r="K109" s="231">
        <f t="shared" ca="1" si="57"/>
        <v>0</v>
      </c>
      <c r="L109" s="176"/>
      <c r="M109" s="176"/>
      <c r="N109" s="176"/>
      <c r="O109" s="189"/>
      <c r="P109" s="189"/>
    </row>
    <row r="110" spans="1:16" ht="21.75" customHeight="1" x14ac:dyDescent="0.35">
      <c r="A110" s="183"/>
      <c r="B110" s="184"/>
      <c r="C110" s="184"/>
      <c r="D110" s="201"/>
      <c r="E110" s="206"/>
      <c r="F110" s="203"/>
      <c r="G110" s="232" t="s">
        <v>63</v>
      </c>
      <c r="H110" s="188" t="s">
        <v>37</v>
      </c>
      <c r="I110" s="210">
        <f ca="1">IFERROR(__xludf.DUMMYFUNCTION("IMPORTRANGE(""https://docs.google.com/spreadsheets/d/1IYY_tgx_IHuhSq3AJ5eI5OnqOPBNLWSHKh2a30DoXe8/edit?usp=sharing"",""สตูล!I45"")"),0)</f>
        <v>0</v>
      </c>
      <c r="J110" s="211">
        <f ca="1">IFERROR(__xludf.DUMMYFUNCTION("IMPORTRANGE(""https://docs.google.com/spreadsheets/d/1IYY_tgx_IHuhSq3AJ5eI5OnqOPBNLWSHKh2a30DoXe8/edit?usp=sharing"",""สตูล!J45"")"),0)</f>
        <v>0</v>
      </c>
      <c r="K110" s="231">
        <f t="shared" ca="1" si="57"/>
        <v>0</v>
      </c>
      <c r="L110" s="176"/>
      <c r="M110" s="176"/>
      <c r="N110" s="176"/>
      <c r="O110" s="189"/>
      <c r="P110" s="189"/>
    </row>
    <row r="111" spans="1:16" ht="21.75" customHeight="1" x14ac:dyDescent="0.35">
      <c r="A111" s="183"/>
      <c r="B111" s="184"/>
      <c r="C111" s="184"/>
      <c r="D111" s="201"/>
      <c r="E111" s="206"/>
      <c r="F111" s="203"/>
      <c r="G111" s="232" t="s">
        <v>64</v>
      </c>
      <c r="H111" s="188" t="s">
        <v>37</v>
      </c>
      <c r="I111" s="210">
        <f ca="1">IFERROR(__xludf.DUMMYFUNCTION("IMPORTRANGE(""https://docs.google.com/spreadsheets/d/1IYY_tgx_IHuhSq3AJ5eI5OnqOPBNLWSHKh2a30DoXe8/edit?usp=sharing"",""สตูล!I46"")"),0)</f>
        <v>0</v>
      </c>
      <c r="J111" s="211">
        <f ca="1">IFERROR(__xludf.DUMMYFUNCTION("IMPORTRANGE(""https://docs.google.com/spreadsheets/d/1IYY_tgx_IHuhSq3AJ5eI5OnqOPBNLWSHKh2a30DoXe8/edit?usp=sharing"",""สตูล!J46"")"),0)</f>
        <v>0</v>
      </c>
      <c r="K111" s="231">
        <f t="shared" ca="1" si="57"/>
        <v>0</v>
      </c>
      <c r="L111" s="176"/>
      <c r="M111" s="176"/>
      <c r="N111" s="176"/>
      <c r="O111" s="189"/>
      <c r="P111" s="189"/>
    </row>
    <row r="112" spans="1:16" ht="21.75" customHeight="1" x14ac:dyDescent="0.35">
      <c r="A112" s="183"/>
      <c r="B112" s="184"/>
      <c r="C112" s="184"/>
      <c r="D112" s="201"/>
      <c r="E112" s="206"/>
      <c r="F112" s="203"/>
      <c r="G112" s="233" t="s">
        <v>65</v>
      </c>
      <c r="H112" s="188" t="s">
        <v>37</v>
      </c>
      <c r="I112" s="210">
        <f ca="1">IFERROR(__xludf.DUMMYFUNCTION("IMPORTRANGE(""https://docs.google.com/spreadsheets/d/1IYY_tgx_IHuhSq3AJ5eI5OnqOPBNLWSHKh2a30DoXe8/edit?usp=sharing"",""สตูล!I47"")"),0)</f>
        <v>0</v>
      </c>
      <c r="J112" s="211">
        <f ca="1">IFERROR(__xludf.DUMMYFUNCTION("IMPORTRANGE(""https://docs.google.com/spreadsheets/d/1IYY_tgx_IHuhSq3AJ5eI5OnqOPBNLWSHKh2a30DoXe8/edit?usp=sharing"",""สตูล!J47"")"),0)</f>
        <v>0</v>
      </c>
      <c r="K112" s="231">
        <f t="shared" ca="1" si="57"/>
        <v>0</v>
      </c>
      <c r="L112" s="176"/>
      <c r="M112" s="176"/>
      <c r="N112" s="176"/>
      <c r="O112" s="189"/>
      <c r="P112" s="189"/>
    </row>
    <row r="113" spans="1:16" ht="21.75" customHeight="1" x14ac:dyDescent="0.35">
      <c r="A113" s="183"/>
      <c r="B113" s="184"/>
      <c r="C113" s="184"/>
      <c r="D113" s="201"/>
      <c r="E113" s="206"/>
      <c r="F113" s="203" t="s">
        <v>66</v>
      </c>
      <c r="G113" s="203"/>
      <c r="H113" s="188" t="s">
        <v>59</v>
      </c>
      <c r="I113" s="210">
        <f ca="1">IFERROR(__xludf.DUMMYFUNCTION("IMPORTRANGE(""https://docs.google.com/spreadsheets/d/1IYY_tgx_IHuhSq3AJ5eI5OnqOPBNLWSHKh2a30DoXe8/edit?usp=sharing"",""สตูล!I48"")"),0)</f>
        <v>0</v>
      </c>
      <c r="J113" s="211">
        <f ca="1">IFERROR(__xludf.DUMMYFUNCTION("IMPORTRANGE(""https://docs.google.com/spreadsheets/d/1IYY_tgx_IHuhSq3AJ5eI5OnqOPBNLWSHKh2a30DoXe8/edit?usp=sharing"",""สตูล!J48"")"),0)</f>
        <v>0</v>
      </c>
      <c r="K113" s="231">
        <f t="shared" ca="1" si="57"/>
        <v>0</v>
      </c>
      <c r="L113" s="176"/>
      <c r="M113" s="176"/>
      <c r="N113" s="176"/>
      <c r="O113" s="189"/>
      <c r="P113" s="189"/>
    </row>
    <row r="114" spans="1:16" ht="21.75" customHeight="1" x14ac:dyDescent="0.35">
      <c r="A114" s="183"/>
      <c r="B114" s="184"/>
      <c r="C114" s="184"/>
      <c r="D114" s="201"/>
      <c r="E114" s="202" t="s">
        <v>54</v>
      </c>
      <c r="F114" s="203"/>
      <c r="G114" s="204"/>
      <c r="H114" s="194"/>
      <c r="I114" s="195"/>
      <c r="J114" s="195">
        <f ca="1">IFERROR(__xludf.DUMMYFUNCTION("IMPORTRANGE(""https://docs.google.com/spreadsheets/d/1IYY_tgx_IHuhSq3AJ5eI5OnqOPBNLWSHKh2a30DoXe8/edit?usp=sharing"",""สตูล!J49"")"),0)</f>
        <v>0</v>
      </c>
      <c r="K114" s="231"/>
      <c r="L114" s="176"/>
      <c r="M114" s="176"/>
      <c r="N114" s="176"/>
      <c r="O114" s="189"/>
      <c r="P114" s="189"/>
    </row>
    <row r="115" spans="1:16" ht="21.75" customHeight="1" x14ac:dyDescent="0.35">
      <c r="A115" s="183"/>
      <c r="B115" s="184"/>
      <c r="C115" s="184"/>
      <c r="D115" s="213">
        <v>3</v>
      </c>
      <c r="E115" s="214" t="s">
        <v>55</v>
      </c>
      <c r="F115" s="215"/>
      <c r="G115" s="216"/>
      <c r="H115" s="194"/>
      <c r="I115" s="195"/>
      <c r="J115" s="234">
        <f ca="1">IFERROR(__xludf.DUMMYFUNCTION("IMPORTRANGE(""https://docs.google.com/spreadsheets/d/1IYY_tgx_IHuhSq3AJ5eI5OnqOPBNLWSHKh2a30DoXe8/edit?usp=sharing"",""สตูล!J50"")"),0)</f>
        <v>0</v>
      </c>
      <c r="K115" s="231"/>
      <c r="L115" s="176"/>
      <c r="M115" s="176"/>
      <c r="N115" s="176"/>
      <c r="O115" s="189"/>
      <c r="P115" s="189"/>
    </row>
    <row r="116" spans="1:16" ht="21.75" customHeight="1" x14ac:dyDescent="0.35">
      <c r="A116" s="218" t="s">
        <v>67</v>
      </c>
      <c r="B116" s="235"/>
      <c r="C116" s="236"/>
      <c r="D116" s="235"/>
      <c r="E116" s="237"/>
      <c r="F116" s="237"/>
      <c r="G116" s="238"/>
      <c r="H116" s="223"/>
      <c r="I116" s="224"/>
      <c r="J116" s="224"/>
      <c r="K116" s="225"/>
      <c r="L116" s="226"/>
      <c r="M116" s="226"/>
      <c r="N116" s="226"/>
      <c r="O116" s="227"/>
      <c r="P116" s="227"/>
    </row>
    <row r="117" spans="1:16" ht="21.75" customHeight="1" x14ac:dyDescent="0.35">
      <c r="A117" s="142"/>
      <c r="B117" s="143" t="s">
        <v>68</v>
      </c>
      <c r="C117" s="239"/>
      <c r="D117" s="144"/>
      <c r="E117" s="143"/>
      <c r="F117" s="143"/>
      <c r="G117" s="228"/>
      <c r="H117" s="145" t="s">
        <v>37</v>
      </c>
      <c r="I117" s="146">
        <f ca="1">IFERROR(__xludf.DUMMYFUNCTION("IMPORTRANGE(""https://docs.google.com/spreadsheets/d/1IYY_tgx_IHuhSq3AJ5eI5OnqOPBNLWSHKh2a30DoXe8/edit?usp=sharing"",""สตูล!I52"")"),15)</f>
        <v>15</v>
      </c>
      <c r="J117" s="146">
        <f ca="1">IFERROR(__xludf.DUMMYFUNCTION("IMPORTRANGE(""https://docs.google.com/spreadsheets/d/1IYY_tgx_IHuhSq3AJ5eI5OnqOPBNLWSHKh2a30DoXe8/edit?usp=sharing"",""สตูล!J52"")"),15)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52" t="s">
        <v>17</v>
      </c>
      <c r="E118" s="543"/>
      <c r="F118" s="543"/>
      <c r="G118" s="543"/>
      <c r="H118" s="153" t="s">
        <v>12</v>
      </c>
      <c r="I118" s="168"/>
      <c r="J118" s="168"/>
      <c r="K118" s="169"/>
      <c r="L118" s="156">
        <f t="shared" ref="L118:N118" ca="1" si="58">L119+L120</f>
        <v>64890</v>
      </c>
      <c r="M118" s="156">
        <f t="shared" ca="1" si="58"/>
        <v>52890</v>
      </c>
      <c r="N118" s="156">
        <f t="shared" ca="1" si="58"/>
        <v>11935</v>
      </c>
      <c r="O118" s="155">
        <f t="shared" ref="O118:O120" ca="1" si="59">IF(L118&gt;0,N118*100/L118,0)</f>
        <v>18.392664509169364</v>
      </c>
      <c r="P118" s="155">
        <f t="shared" ref="P118:P120" ca="1" si="60">IF(M118&gt;0,N118*100/M118,0)</f>
        <v>22.565702401210057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8"/>
      <c r="J119" s="168"/>
      <c r="K119" s="169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8"/>
      <c r="J120" s="168"/>
      <c r="K120" s="169"/>
      <c r="L120" s="161">
        <f t="shared" ref="L120:N120" ca="1" si="62">L122+L126</f>
        <v>64890</v>
      </c>
      <c r="M120" s="161">
        <f t="shared" ca="1" si="62"/>
        <v>52890</v>
      </c>
      <c r="N120" s="161">
        <f t="shared" ca="1" si="62"/>
        <v>11935</v>
      </c>
      <c r="O120" s="160">
        <f t="shared" ca="1" si="59"/>
        <v>18.392664509169364</v>
      </c>
      <c r="P120" s="160">
        <f t="shared" ca="1" si="60"/>
        <v>22.565702401210057</v>
      </c>
    </row>
    <row r="121" spans="1:16" ht="21.75" customHeight="1" x14ac:dyDescent="0.35">
      <c r="A121" s="162"/>
      <c r="B121" s="163"/>
      <c r="C121" s="163" t="s">
        <v>16</v>
      </c>
      <c r="D121" s="164" t="s">
        <v>38</v>
      </c>
      <c r="E121" s="165"/>
      <c r="F121" s="165"/>
      <c r="G121" s="166" t="s">
        <v>39</v>
      </c>
      <c r="H121" s="167" t="s">
        <v>12</v>
      </c>
      <c r="I121" s="168" t="s">
        <v>40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 x14ac:dyDescent="0.35">
      <c r="A122" s="162"/>
      <c r="B122" s="163"/>
      <c r="C122" s="163"/>
      <c r="D122" s="172"/>
      <c r="E122" s="165"/>
      <c r="F122" s="165" t="s">
        <v>40</v>
      </c>
      <c r="G122" s="166" t="s">
        <v>41</v>
      </c>
      <c r="H122" s="167" t="s">
        <v>12</v>
      </c>
      <c r="I122" s="168"/>
      <c r="J122" s="168"/>
      <c r="K122" s="169"/>
      <c r="L122" s="173">
        <f ca="1">L123+L124</f>
        <v>64890</v>
      </c>
      <c r="M122" s="174">
        <f ca="1">IFERROR(__xludf.DUMMYFUNCTION("IMPORTRANGE(""https://docs.google.com/spreadsheets/d/1Yj_ptqi66GCucihVvJfMjLAmec39IyEx_6qawtMGysU/edit?usp=sharing"",""สบก!BA93"")"),52890)</f>
        <v>52890</v>
      </c>
      <c r="N122" s="175">
        <f ca="1">IFERROR(__xludf.DUMMYFUNCTION("IMPORTRANGE(""https://docs.google.com/spreadsheets/d/1Yj_ptqi66GCucihVvJfMjLAmec39IyEx_6qawtMGysU/edit?usp=sharing"",""สบก!BB93"")"),11935)</f>
        <v>11935</v>
      </c>
      <c r="O122" s="176">
        <f ca="1">IF(L122&gt;0,N122*100/L122,0)</f>
        <v>18.392664509169364</v>
      </c>
      <c r="P122" s="176">
        <f ca="1">IF(M122&gt;0,N122*100/M122,0)</f>
        <v>22.565702401210057</v>
      </c>
    </row>
    <row r="123" spans="1:16" ht="21.75" customHeight="1" x14ac:dyDescent="0.35">
      <c r="A123" s="162"/>
      <c r="B123" s="163"/>
      <c r="C123" s="163"/>
      <c r="D123" s="172"/>
      <c r="E123" s="165"/>
      <c r="F123" s="165"/>
      <c r="G123" s="177" t="s">
        <v>42</v>
      </c>
      <c r="H123" s="167" t="s">
        <v>12</v>
      </c>
      <c r="I123" s="168"/>
      <c r="J123" s="168"/>
      <c r="K123" s="169"/>
      <c r="L123" s="174">
        <f ca="1">IFERROR(__xludf.DUMMYFUNCTION("IMPORTRANGE(""https://docs.google.com/spreadsheets/d/1Yj_ptqi66GCucihVvJfMjLAmec39IyEx_6qawtMGysU/edit?usp=sharing"",""สบก!AW93"")"),0)</f>
        <v>0</v>
      </c>
      <c r="M123" s="173"/>
      <c r="N123" s="173"/>
      <c r="O123" s="176"/>
      <c r="P123" s="176"/>
    </row>
    <row r="124" spans="1:16" ht="21.75" customHeight="1" x14ac:dyDescent="0.35">
      <c r="A124" s="162"/>
      <c r="B124" s="163"/>
      <c r="C124" s="163"/>
      <c r="D124" s="172"/>
      <c r="E124" s="165"/>
      <c r="F124" s="165"/>
      <c r="G124" s="177" t="s">
        <v>43</v>
      </c>
      <c r="H124" s="167" t="s">
        <v>12</v>
      </c>
      <c r="I124" s="168"/>
      <c r="J124" s="195"/>
      <c r="K124" s="231"/>
      <c r="L124" s="174">
        <f ca="1">IFERROR(__xludf.DUMMYFUNCTION("IMPORTRANGE(""https://docs.google.com/spreadsheets/d/1Yj_ptqi66GCucihVvJfMjLAmec39IyEx_6qawtMGysU/edit?usp=sharing"",""สบก!AX93"")"),64890)</f>
        <v>64890</v>
      </c>
      <c r="M124" s="173"/>
      <c r="N124" s="173"/>
      <c r="O124" s="176"/>
      <c r="P124" s="176"/>
    </row>
    <row r="125" spans="1:16" ht="21.75" customHeight="1" x14ac:dyDescent="0.45">
      <c r="A125" s="178"/>
      <c r="B125" s="81"/>
      <c r="C125" s="82" t="s">
        <v>16</v>
      </c>
      <c r="D125" s="549" t="s">
        <v>23</v>
      </c>
      <c r="E125" s="545"/>
      <c r="F125" s="89"/>
      <c r="G125" s="83" t="s">
        <v>18</v>
      </c>
      <c r="H125" s="179" t="s">
        <v>12</v>
      </c>
      <c r="I125" s="195"/>
      <c r="J125" s="195"/>
      <c r="K125" s="231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80"/>
      <c r="B126" s="95"/>
      <c r="C126" s="95"/>
      <c r="D126" s="181"/>
      <c r="E126" s="96"/>
      <c r="F126" s="96"/>
      <c r="G126" s="97" t="s">
        <v>19</v>
      </c>
      <c r="H126" s="182" t="s">
        <v>12</v>
      </c>
      <c r="I126" s="195"/>
      <c r="J126" s="195"/>
      <c r="K126" s="231"/>
      <c r="L126" s="91">
        <f ca="1">IFERROR(__xludf.DUMMYFUNCTION("IMPORTRANGE(""https://docs.google.com/spreadsheets/d/1Yj_ptqi66GCucihVvJfMjLAmec39IyEx_6qawtMGysU/edit?usp=sharing"",""สบก!AY93"")"),0)</f>
        <v>0</v>
      </c>
      <c r="M126" s="101"/>
      <c r="N126" s="91">
        <f ca="1">IFERROR(__xludf.DUMMYFUNCTION("IMPORTRANGE(""https://docs.google.com/spreadsheets/d/1Yj_ptqi66GCucihVvJfMjLAmec39IyEx_6qawtMGysU/edit?usp=sharing"",""สบก!BC93"")"),0)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3"/>
      <c r="B127" s="184"/>
      <c r="C127" s="163" t="s">
        <v>16</v>
      </c>
      <c r="D127" s="240" t="s">
        <v>265</v>
      </c>
      <c r="E127" s="186"/>
      <c r="F127" s="186"/>
      <c r="G127" s="187"/>
      <c r="H127" s="188"/>
      <c r="I127" s="168"/>
      <c r="J127" s="195"/>
      <c r="K127" s="231"/>
      <c r="L127" s="176"/>
      <c r="M127" s="176"/>
      <c r="N127" s="176"/>
      <c r="O127" s="189"/>
      <c r="P127" s="189"/>
    </row>
    <row r="128" spans="1:16" ht="21.75" customHeight="1" x14ac:dyDescent="0.35">
      <c r="A128" s="183"/>
      <c r="B128" s="184"/>
      <c r="C128" s="184"/>
      <c r="D128" s="190">
        <v>1</v>
      </c>
      <c r="E128" s="191" t="s">
        <v>45</v>
      </c>
      <c r="F128" s="192"/>
      <c r="G128" s="193"/>
      <c r="H128" s="194"/>
      <c r="I128" s="195"/>
      <c r="J128" s="211">
        <f ca="1">IFERROR(__xludf.DUMMYFUNCTION("IMPORTRANGE(""https://docs.google.com/spreadsheets/d/1IYY_tgx_IHuhSq3AJ5eI5OnqOPBNLWSHKh2a30DoXe8/edit?usp=sharing"",""สตูล!J58"")"),0)</f>
        <v>0</v>
      </c>
      <c r="K128" s="231"/>
      <c r="L128" s="176"/>
      <c r="M128" s="176"/>
      <c r="N128" s="176"/>
      <c r="O128" s="189"/>
      <c r="P128" s="189"/>
    </row>
    <row r="129" spans="1:16" ht="21.75" customHeight="1" x14ac:dyDescent="0.35">
      <c r="A129" s="183"/>
      <c r="B129" s="184"/>
      <c r="C129" s="184"/>
      <c r="D129" s="197">
        <v>2</v>
      </c>
      <c r="E129" s="198" t="s">
        <v>46</v>
      </c>
      <c r="F129" s="199"/>
      <c r="G129" s="200"/>
      <c r="H129" s="194"/>
      <c r="I129" s="195"/>
      <c r="J129" s="195">
        <f ca="1">IFERROR(__xludf.DUMMYFUNCTION("IMPORTRANGE(""https://docs.google.com/spreadsheets/d/1IYY_tgx_IHuhSq3AJ5eI5OnqOPBNLWSHKh2a30DoXe8/edit?usp=sharing"",""สตูล!J59"")"),1)</f>
        <v>1</v>
      </c>
      <c r="K129" s="231"/>
      <c r="L129" s="176" t="s">
        <v>40</v>
      </c>
      <c r="M129" s="176"/>
      <c r="N129" s="176" t="s">
        <v>40</v>
      </c>
      <c r="O129" s="189"/>
      <c r="P129" s="189"/>
    </row>
    <row r="130" spans="1:16" ht="21.75" customHeight="1" x14ac:dyDescent="0.35">
      <c r="A130" s="183"/>
      <c r="B130" s="184"/>
      <c r="C130" s="184"/>
      <c r="D130" s="201"/>
      <c r="E130" s="202" t="s">
        <v>47</v>
      </c>
      <c r="F130" s="203"/>
      <c r="G130" s="204"/>
      <c r="H130" s="194"/>
      <c r="I130" s="195"/>
      <c r="J130" s="195">
        <f ca="1">IFERROR(__xludf.DUMMYFUNCTION("IMPORTRANGE(""https://docs.google.com/spreadsheets/d/1IYY_tgx_IHuhSq3AJ5eI5OnqOPBNLWSHKh2a30DoXe8/edit?usp=sharing"",""สตูล!J60"")"),1)</f>
        <v>1</v>
      </c>
      <c r="K130" s="231"/>
      <c r="L130" s="176"/>
      <c r="M130" s="176"/>
      <c r="N130" s="176"/>
      <c r="O130" s="189"/>
      <c r="P130" s="189"/>
    </row>
    <row r="131" spans="1:16" ht="21.75" customHeight="1" x14ac:dyDescent="0.35">
      <c r="A131" s="183"/>
      <c r="B131" s="184"/>
      <c r="C131" s="184"/>
      <c r="D131" s="201"/>
      <c r="E131" s="202" t="s">
        <v>48</v>
      </c>
      <c r="F131" s="203"/>
      <c r="G131" s="204"/>
      <c r="H131" s="194"/>
      <c r="I131" s="195"/>
      <c r="J131" s="195">
        <f ca="1">IFERROR(__xludf.DUMMYFUNCTION("IMPORTRANGE(""https://docs.google.com/spreadsheets/d/1IYY_tgx_IHuhSq3AJ5eI5OnqOPBNLWSHKh2a30DoXe8/edit?usp=sharing"",""สตูล!J61"")"),1)</f>
        <v>1</v>
      </c>
      <c r="K131" s="231"/>
      <c r="L131" s="176"/>
      <c r="M131" s="176"/>
      <c r="N131" s="176"/>
      <c r="O131" s="189"/>
      <c r="P131" s="189"/>
    </row>
    <row r="132" spans="1:16" ht="21.75" customHeight="1" x14ac:dyDescent="0.35">
      <c r="A132" s="183"/>
      <c r="B132" s="184"/>
      <c r="C132" s="184"/>
      <c r="D132" s="201"/>
      <c r="E132" s="206"/>
      <c r="F132" s="202" t="s">
        <v>70</v>
      </c>
      <c r="G132" s="204"/>
      <c r="H132" s="188" t="s">
        <v>37</v>
      </c>
      <c r="I132" s="195">
        <f ca="1">IFERROR(__xludf.DUMMYFUNCTION("IMPORTRANGE(""https://docs.google.com/spreadsheets/d/1IYY_tgx_IHuhSq3AJ5eI5OnqOPBNLWSHKh2a30DoXe8/edit?usp=sharing"",""สตูล!I62"")"),15)</f>
        <v>15</v>
      </c>
      <c r="J132" s="211">
        <f ca="1">IFERROR(__xludf.DUMMYFUNCTION("IMPORTRANGE(""https://docs.google.com/spreadsheets/d/1IYY_tgx_IHuhSq3AJ5eI5OnqOPBNLWSHKh2a30DoXe8/edit?usp=sharing"",""สตูล!J62"")"),15)</f>
        <v>15</v>
      </c>
      <c r="K132" s="231">
        <f t="shared" ref="K132:K133" ca="1" si="63">IF(I132&gt;0,J132*100/I132,0)</f>
        <v>100</v>
      </c>
      <c r="L132" s="176"/>
      <c r="M132" s="176"/>
      <c r="N132" s="176"/>
      <c r="O132" s="189"/>
      <c r="P132" s="189"/>
    </row>
    <row r="133" spans="1:16" ht="21.75" customHeight="1" x14ac:dyDescent="0.35">
      <c r="A133" s="183"/>
      <c r="B133" s="184"/>
      <c r="C133" s="184"/>
      <c r="D133" s="201"/>
      <c r="E133" s="206"/>
      <c r="F133" s="202" t="s">
        <v>71</v>
      </c>
      <c r="G133" s="204"/>
      <c r="H133" s="188" t="s">
        <v>37</v>
      </c>
      <c r="I133" s="195">
        <f ca="1">IFERROR(__xludf.DUMMYFUNCTION("IMPORTRANGE(""https://docs.google.com/spreadsheets/d/1IYY_tgx_IHuhSq3AJ5eI5OnqOPBNLWSHKh2a30DoXe8/edit?usp=sharing"",""สตูล!I63"")"),15)</f>
        <v>15</v>
      </c>
      <c r="J133" s="211">
        <f ca="1">IFERROR(__xludf.DUMMYFUNCTION("IMPORTRANGE(""https://docs.google.com/spreadsheets/d/1IYY_tgx_IHuhSq3AJ5eI5OnqOPBNLWSHKh2a30DoXe8/edit?usp=sharing"",""สตูล!J63"")"),15)</f>
        <v>15</v>
      </c>
      <c r="K133" s="231">
        <f t="shared" ca="1" si="63"/>
        <v>100</v>
      </c>
      <c r="L133" s="176"/>
      <c r="M133" s="176"/>
      <c r="N133" s="176"/>
      <c r="O133" s="189"/>
      <c r="P133" s="189"/>
    </row>
    <row r="134" spans="1:16" ht="21.75" customHeight="1" x14ac:dyDescent="0.35">
      <c r="A134" s="183"/>
      <c r="B134" s="184"/>
      <c r="C134" s="184"/>
      <c r="D134" s="201"/>
      <c r="E134" s="202" t="s">
        <v>54</v>
      </c>
      <c r="F134" s="203"/>
      <c r="G134" s="204"/>
      <c r="H134" s="194"/>
      <c r="I134" s="195"/>
      <c r="J134" s="195">
        <f ca="1">IFERROR(__xludf.DUMMYFUNCTION("IMPORTRANGE(""https://docs.google.com/spreadsheets/d/1IYY_tgx_IHuhSq3AJ5eI5OnqOPBNLWSHKh2a30DoXe8/edit?usp=sharing"",""สตูล!J64"")"),0)</f>
        <v>0</v>
      </c>
      <c r="K134" s="231"/>
      <c r="L134" s="176"/>
      <c r="M134" s="176"/>
      <c r="N134" s="176"/>
      <c r="O134" s="189"/>
      <c r="P134" s="189"/>
    </row>
    <row r="135" spans="1:16" ht="21.75" customHeight="1" x14ac:dyDescent="0.35">
      <c r="A135" s="241"/>
      <c r="B135" s="242"/>
      <c r="C135" s="242"/>
      <c r="D135" s="243">
        <v>3</v>
      </c>
      <c r="E135" s="244" t="s">
        <v>55</v>
      </c>
      <c r="F135" s="245"/>
      <c r="G135" s="246"/>
      <c r="H135" s="247"/>
      <c r="I135" s="248"/>
      <c r="J135" s="249">
        <f ca="1">IFERROR(__xludf.DUMMYFUNCTION("IMPORTRANGE(""https://docs.google.com/spreadsheets/d/1IYY_tgx_IHuhSq3AJ5eI5OnqOPBNLWSHKh2a30DoXe8/edit?usp=sharing"",""สตูล!J65"")"),0)</f>
        <v>0</v>
      </c>
      <c r="K135" s="250"/>
      <c r="L135" s="251"/>
      <c r="M135" s="251"/>
      <c r="N135" s="251"/>
      <c r="O135" s="252"/>
      <c r="P135" s="252"/>
    </row>
    <row r="136" spans="1:16" ht="21.75" customHeight="1" x14ac:dyDescent="0.35">
      <c r="A136" s="253" t="s">
        <v>72</v>
      </c>
      <c r="B136" s="254"/>
      <c r="C136" s="254"/>
      <c r="D136" s="254"/>
      <c r="E136" s="255"/>
      <c r="F136" s="255"/>
      <c r="G136" s="256"/>
      <c r="H136" s="257"/>
      <c r="I136" s="258"/>
      <c r="J136" s="258"/>
      <c r="K136" s="259"/>
      <c r="L136" s="260"/>
      <c r="M136" s="260"/>
      <c r="N136" s="260"/>
      <c r="O136" s="260"/>
      <c r="P136" s="260"/>
    </row>
    <row r="137" spans="1:16" ht="21.75" customHeight="1" x14ac:dyDescent="0.35">
      <c r="A137" s="261" t="s">
        <v>73</v>
      </c>
      <c r="B137" s="262"/>
      <c r="C137" s="262"/>
      <c r="D137" s="263"/>
      <c r="E137" s="263"/>
      <c r="F137" s="263"/>
      <c r="G137" s="264"/>
      <c r="H137" s="265"/>
      <c r="I137" s="266"/>
      <c r="J137" s="266"/>
      <c r="K137" s="267"/>
      <c r="L137" s="267"/>
      <c r="M137" s="267"/>
      <c r="N137" s="267"/>
      <c r="O137" s="268"/>
      <c r="P137" s="268"/>
    </row>
    <row r="138" spans="1:16" ht="21.75" customHeight="1" x14ac:dyDescent="0.35">
      <c r="A138" s="269"/>
      <c r="B138" s="270" t="s">
        <v>74</v>
      </c>
      <c r="C138" s="271"/>
      <c r="D138" s="270"/>
      <c r="E138" s="270"/>
      <c r="F138" s="270"/>
      <c r="G138" s="272"/>
      <c r="H138" s="273" t="s">
        <v>37</v>
      </c>
      <c r="I138" s="274">
        <f ca="1">IFERROR(__xludf.DUMMYFUNCTION("IMPORTRANGE(""https://docs.google.com/spreadsheets/d/1IYY_tgx_IHuhSq3AJ5eI5OnqOPBNLWSHKh2a30DoXe8/edit?usp=sharing"",""สตูล!I68"")"),0)</f>
        <v>0</v>
      </c>
      <c r="J138" s="274">
        <f ca="1">IFERROR(__xludf.DUMMYFUNCTION("IMPORTRANGE(""https://docs.google.com/spreadsheets/d/1IYY_tgx_IHuhSq3AJ5eI5OnqOPBNLWSHKh2a30DoXe8/edit?usp=sharing"",""สตูล!J68"")"),0)</f>
        <v>0</v>
      </c>
      <c r="K138" s="275">
        <f ca="1">IF(I138&gt;0,J138*100/I138,0)</f>
        <v>0</v>
      </c>
      <c r="L138" s="276"/>
      <c r="M138" s="276"/>
      <c r="N138" s="276"/>
      <c r="O138" s="275"/>
      <c r="P138" s="275"/>
    </row>
    <row r="139" spans="1:16" ht="21.75" customHeight="1" x14ac:dyDescent="0.35">
      <c r="A139" s="269"/>
      <c r="B139" s="270" t="s">
        <v>75</v>
      </c>
      <c r="C139" s="271"/>
      <c r="D139" s="270"/>
      <c r="E139" s="270"/>
      <c r="F139" s="270"/>
      <c r="G139" s="272"/>
      <c r="H139" s="273"/>
      <c r="I139" s="274"/>
      <c r="J139" s="274"/>
      <c r="K139" s="275"/>
      <c r="L139" s="276"/>
      <c r="M139" s="276"/>
      <c r="N139" s="276"/>
      <c r="O139" s="275"/>
      <c r="P139" s="275"/>
    </row>
    <row r="140" spans="1:16" ht="21.75" customHeight="1" x14ac:dyDescent="0.45">
      <c r="A140" s="150"/>
      <c r="B140" s="151"/>
      <c r="C140" s="152" t="s">
        <v>16</v>
      </c>
      <c r="D140" s="552" t="s">
        <v>17</v>
      </c>
      <c r="E140" s="543"/>
      <c r="F140" s="543"/>
      <c r="G140" s="543"/>
      <c r="H140" s="153" t="s">
        <v>12</v>
      </c>
      <c r="I140" s="168"/>
      <c r="J140" s="168"/>
      <c r="K140" s="169"/>
      <c r="L140" s="156">
        <f t="shared" ref="L140:N140" ca="1" si="64">L141+L142</f>
        <v>42700</v>
      </c>
      <c r="M140" s="156">
        <f t="shared" ca="1" si="64"/>
        <v>39750</v>
      </c>
      <c r="N140" s="156">
        <f t="shared" ca="1" si="64"/>
        <v>29375</v>
      </c>
      <c r="O140" s="155">
        <f t="shared" ref="O140:O142" ca="1" si="65">IF(L140&gt;0,N140*100/L140,0)</f>
        <v>68.793911007025756</v>
      </c>
      <c r="P140" s="155">
        <f t="shared" ref="P140:P142" ca="1" si="66">IF(M140&gt;0,N140*100/M140,0)</f>
        <v>73.899371069182394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8"/>
      <c r="J141" s="168"/>
      <c r="K141" s="169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8"/>
      <c r="J142" s="168"/>
      <c r="K142" s="169"/>
      <c r="L142" s="161">
        <f t="shared" ref="L142:N142" ca="1" si="68">L144+L148</f>
        <v>42700</v>
      </c>
      <c r="M142" s="161">
        <f t="shared" ca="1" si="68"/>
        <v>39750</v>
      </c>
      <c r="N142" s="161">
        <f t="shared" ca="1" si="68"/>
        <v>29375</v>
      </c>
      <c r="O142" s="160">
        <f t="shared" ca="1" si="65"/>
        <v>68.793911007025756</v>
      </c>
      <c r="P142" s="160">
        <f t="shared" ca="1" si="66"/>
        <v>73.899371069182394</v>
      </c>
    </row>
    <row r="143" spans="1:16" ht="21.75" customHeight="1" x14ac:dyDescent="0.35">
      <c r="A143" s="162"/>
      <c r="B143" s="163"/>
      <c r="C143" s="163" t="s">
        <v>16</v>
      </c>
      <c r="D143" s="164" t="s">
        <v>38</v>
      </c>
      <c r="E143" s="165"/>
      <c r="F143" s="165"/>
      <c r="G143" s="166" t="s">
        <v>39</v>
      </c>
      <c r="H143" s="167" t="s">
        <v>12</v>
      </c>
      <c r="I143" s="168" t="s">
        <v>40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 x14ac:dyDescent="0.35">
      <c r="A144" s="162"/>
      <c r="B144" s="163"/>
      <c r="C144" s="163"/>
      <c r="D144" s="172"/>
      <c r="E144" s="165"/>
      <c r="F144" s="165" t="s">
        <v>40</v>
      </c>
      <c r="G144" s="166" t="s">
        <v>41</v>
      </c>
      <c r="H144" s="167" t="s">
        <v>12</v>
      </c>
      <c r="I144" s="168"/>
      <c r="J144" s="168"/>
      <c r="K144" s="169"/>
      <c r="L144" s="173">
        <f ca="1">L145+L146</f>
        <v>42700</v>
      </c>
      <c r="M144" s="174">
        <f ca="1">IFERROR(__xludf.DUMMYFUNCTION("IMPORTRANGE(""https://docs.google.com/spreadsheets/d/1Yj_ptqi66GCucihVvJfMjLAmec39IyEx_6qawtMGysU/edit?usp=sharing"",""สบก!BJ93"")"),39750)</f>
        <v>39750</v>
      </c>
      <c r="N144" s="175">
        <f ca="1">IFERROR(__xludf.DUMMYFUNCTION("IMPORTRANGE(""https://docs.google.com/spreadsheets/d/1Yj_ptqi66GCucihVvJfMjLAmec39IyEx_6qawtMGysU/edit?usp=sharing"",""สบก!BK93"")"),29375)</f>
        <v>29375</v>
      </c>
      <c r="O144" s="176">
        <f ca="1">IF(L144&gt;0,N144*100/L144,0)</f>
        <v>68.793911007025756</v>
      </c>
      <c r="P144" s="176">
        <f ca="1">IF(M144&gt;0,N144*100/M144,0)</f>
        <v>73.899371069182394</v>
      </c>
    </row>
    <row r="145" spans="1:16" ht="21.75" customHeight="1" x14ac:dyDescent="0.35">
      <c r="A145" s="162"/>
      <c r="B145" s="163"/>
      <c r="C145" s="163"/>
      <c r="D145" s="172"/>
      <c r="E145" s="165"/>
      <c r="F145" s="165"/>
      <c r="G145" s="177" t="s">
        <v>42</v>
      </c>
      <c r="H145" s="167" t="s">
        <v>12</v>
      </c>
      <c r="I145" s="168"/>
      <c r="J145" s="168"/>
      <c r="K145" s="169"/>
      <c r="L145" s="174">
        <f ca="1">IFERROR(__xludf.DUMMYFUNCTION("IMPORTRANGE(""https://docs.google.com/spreadsheets/d/1Yj_ptqi66GCucihVvJfMjLAmec39IyEx_6qawtMGysU/edit?usp=sharing"",""สบก!BF93"")"),0)</f>
        <v>0</v>
      </c>
      <c r="M145" s="173"/>
      <c r="N145" s="173"/>
      <c r="O145" s="176"/>
      <c r="P145" s="176"/>
    </row>
    <row r="146" spans="1:16" ht="21.75" customHeight="1" x14ac:dyDescent="0.35">
      <c r="A146" s="162"/>
      <c r="B146" s="163"/>
      <c r="C146" s="163"/>
      <c r="D146" s="172"/>
      <c r="E146" s="165"/>
      <c r="F146" s="165"/>
      <c r="G146" s="177" t="s">
        <v>43</v>
      </c>
      <c r="H146" s="167" t="s">
        <v>12</v>
      </c>
      <c r="I146" s="168"/>
      <c r="J146" s="168"/>
      <c r="K146" s="169"/>
      <c r="L146" s="174">
        <f ca="1">IFERROR(__xludf.DUMMYFUNCTION("IMPORTRANGE(""https://docs.google.com/spreadsheets/d/1Yj_ptqi66GCucihVvJfMjLAmec39IyEx_6qawtMGysU/edit?usp=sharing"",""สบก!BG93"")"),42700)</f>
        <v>42700</v>
      </c>
      <c r="M146" s="173"/>
      <c r="N146" s="173"/>
      <c r="O146" s="176"/>
      <c r="P146" s="176"/>
    </row>
    <row r="147" spans="1:16" ht="21.75" customHeight="1" x14ac:dyDescent="0.45">
      <c r="A147" s="178"/>
      <c r="B147" s="81"/>
      <c r="C147" s="82" t="s">
        <v>16</v>
      </c>
      <c r="D147" s="549" t="s">
        <v>23</v>
      </c>
      <c r="E147" s="545"/>
      <c r="F147" s="89"/>
      <c r="G147" s="83" t="s">
        <v>18</v>
      </c>
      <c r="H147" s="179" t="s">
        <v>12</v>
      </c>
      <c r="I147" s="195"/>
      <c r="J147" s="195"/>
      <c r="K147" s="231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80"/>
      <c r="B148" s="95"/>
      <c r="C148" s="95"/>
      <c r="D148" s="181"/>
      <c r="E148" s="96"/>
      <c r="F148" s="96"/>
      <c r="G148" s="97" t="s">
        <v>19</v>
      </c>
      <c r="H148" s="182" t="s">
        <v>12</v>
      </c>
      <c r="I148" s="195"/>
      <c r="J148" s="195"/>
      <c r="K148" s="231"/>
      <c r="L148" s="91">
        <f ca="1">IFERROR(__xludf.DUMMYFUNCTION("IMPORTRANGE(""https://docs.google.com/spreadsheets/d/1Yj_ptqi66GCucihVvJfMjLAmec39IyEx_6qawtMGysU/edit?usp=sharing"",""สบก!BH93"")"),0)</f>
        <v>0</v>
      </c>
      <c r="M148" s="101"/>
      <c r="N148" s="91">
        <f ca="1">IFERROR(__xludf.DUMMYFUNCTION("IMPORTRANGE(""https://docs.google.com/spreadsheets/d/1Yj_ptqi66GCucihVvJfMjLAmec39IyEx_6qawtMGysU/edit?usp=sharing"",""สบก!BL93"")"),0)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7"/>
      <c r="B149" s="278"/>
      <c r="C149" s="279" t="s">
        <v>76</v>
      </c>
      <c r="D149" s="279"/>
      <c r="E149" s="279"/>
      <c r="F149" s="279"/>
      <c r="G149" s="280"/>
      <c r="H149" s="281" t="s">
        <v>77</v>
      </c>
      <c r="I149" s="282">
        <f ca="1">IFERROR(__xludf.DUMMYFUNCTION("IMPORTRANGE(""https://docs.google.com/spreadsheets/d/1IYY_tgx_IHuhSq3AJ5eI5OnqOPBNLWSHKh2a30DoXe8/edit?usp=sharing"",""สตูล!I74"")"),4)</f>
        <v>4</v>
      </c>
      <c r="J149" s="282">
        <f ca="1">IFERROR(__xludf.DUMMYFUNCTION("IMPORTRANGE(""https://docs.google.com/spreadsheets/d/1IYY_tgx_IHuhSq3AJ5eI5OnqOPBNLWSHKh2a30DoXe8/edit?usp=sharing"",""สตูล!J74"")"),1)</f>
        <v>1</v>
      </c>
      <c r="K149" s="283">
        <f ca="1">IF(I149&gt;0,J149*100/I149,0)</f>
        <v>25</v>
      </c>
      <c r="L149" s="284"/>
      <c r="M149" s="284"/>
      <c r="N149" s="284"/>
      <c r="O149" s="284"/>
      <c r="P149" s="284"/>
    </row>
    <row r="150" spans="1:16" ht="21.75" customHeight="1" x14ac:dyDescent="0.35">
      <c r="A150" s="162"/>
      <c r="B150" s="163"/>
      <c r="C150" s="163" t="s">
        <v>16</v>
      </c>
      <c r="D150" s="164" t="s">
        <v>38</v>
      </c>
      <c r="E150" s="165"/>
      <c r="F150" s="165"/>
      <c r="G150" s="166" t="s">
        <v>39</v>
      </c>
      <c r="H150" s="167" t="s">
        <v>12</v>
      </c>
      <c r="I150" s="168" t="s">
        <v>40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 x14ac:dyDescent="0.35">
      <c r="A151" s="162"/>
      <c r="B151" s="163"/>
      <c r="C151" s="163"/>
      <c r="D151" s="172"/>
      <c r="E151" s="165"/>
      <c r="F151" s="165" t="s">
        <v>40</v>
      </c>
      <c r="G151" s="166" t="s">
        <v>41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 x14ac:dyDescent="0.35">
      <c r="A152" s="162"/>
      <c r="B152" s="163"/>
      <c r="C152" s="163"/>
      <c r="D152" s="172"/>
      <c r="E152" s="165"/>
      <c r="F152" s="165"/>
      <c r="G152" s="177" t="s">
        <v>43</v>
      </c>
      <c r="H152" s="167" t="s">
        <v>12</v>
      </c>
      <c r="I152" s="168"/>
      <c r="J152" s="168"/>
      <c r="K152" s="169"/>
      <c r="L152" s="176"/>
      <c r="M152" s="176"/>
      <c r="N152" s="173"/>
      <c r="O152" s="176"/>
      <c r="P152" s="176"/>
    </row>
    <row r="153" spans="1:16" ht="21.75" customHeight="1" x14ac:dyDescent="0.35">
      <c r="A153" s="183"/>
      <c r="B153" s="184"/>
      <c r="C153" s="163" t="s">
        <v>16</v>
      </c>
      <c r="D153" s="185" t="s">
        <v>44</v>
      </c>
      <c r="E153" s="186"/>
      <c r="F153" s="186"/>
      <c r="G153" s="187"/>
      <c r="H153" s="188"/>
      <c r="I153" s="168"/>
      <c r="J153" s="168"/>
      <c r="K153" s="169"/>
      <c r="L153" s="189"/>
      <c r="M153" s="189"/>
      <c r="N153" s="189"/>
      <c r="O153" s="189"/>
      <c r="P153" s="189"/>
    </row>
    <row r="154" spans="1:16" ht="21.75" customHeight="1" x14ac:dyDescent="0.35">
      <c r="A154" s="183"/>
      <c r="B154" s="184"/>
      <c r="C154" s="184"/>
      <c r="D154" s="190">
        <v>1</v>
      </c>
      <c r="E154" s="191" t="s">
        <v>45</v>
      </c>
      <c r="F154" s="192"/>
      <c r="G154" s="193"/>
      <c r="H154" s="194"/>
      <c r="I154" s="195"/>
      <c r="J154" s="196">
        <f ca="1">IFERROR(__xludf.DUMMYFUNCTION("IMPORTRANGE(""https://docs.google.com/spreadsheets/d/1IYY_tgx_IHuhSq3AJ5eI5OnqOPBNLWSHKh2a30DoXe8/edit?usp=sharing"",""สตูล!J79"")"),0)</f>
        <v>0</v>
      </c>
      <c r="K154" s="169"/>
      <c r="L154" s="189"/>
      <c r="M154" s="189"/>
      <c r="N154" s="189"/>
      <c r="O154" s="189"/>
      <c r="P154" s="189"/>
    </row>
    <row r="155" spans="1:16" ht="21.75" customHeight="1" x14ac:dyDescent="0.35">
      <c r="A155" s="183"/>
      <c r="B155" s="184"/>
      <c r="C155" s="184"/>
      <c r="D155" s="197">
        <v>2</v>
      </c>
      <c r="E155" s="198" t="s">
        <v>46</v>
      </c>
      <c r="F155" s="199"/>
      <c r="G155" s="200"/>
      <c r="H155" s="194"/>
      <c r="I155" s="195"/>
      <c r="J155" s="205">
        <f ca="1">IFERROR(__xludf.DUMMYFUNCTION("IMPORTRANGE(""https://docs.google.com/spreadsheets/d/1IYY_tgx_IHuhSq3AJ5eI5OnqOPBNLWSHKh2a30DoXe8/edit?usp=sharing"",""สตูล!J80"")"),1)</f>
        <v>1</v>
      </c>
      <c r="K155" s="169"/>
      <c r="L155" s="189"/>
      <c r="M155" s="189"/>
      <c r="N155" s="189"/>
      <c r="O155" s="189"/>
      <c r="P155" s="189"/>
    </row>
    <row r="156" spans="1:16" ht="21.75" customHeight="1" x14ac:dyDescent="0.35">
      <c r="A156" s="183"/>
      <c r="B156" s="184"/>
      <c r="C156" s="184"/>
      <c r="D156" s="201"/>
      <c r="E156" s="202" t="s">
        <v>47</v>
      </c>
      <c r="F156" s="203"/>
      <c r="G156" s="204"/>
      <c r="H156" s="194"/>
      <c r="I156" s="195"/>
      <c r="J156" s="205">
        <f ca="1">IFERROR(__xludf.DUMMYFUNCTION("IMPORTRANGE(""https://docs.google.com/spreadsheets/d/1IYY_tgx_IHuhSq3AJ5eI5OnqOPBNLWSHKh2a30DoXe8/edit?usp=sharing"",""สตูล!J81"")"),1)</f>
        <v>1</v>
      </c>
      <c r="K156" s="169"/>
      <c r="L156" s="189"/>
      <c r="M156" s="189"/>
      <c r="N156" s="189"/>
      <c r="O156" s="189"/>
      <c r="P156" s="189"/>
    </row>
    <row r="157" spans="1:16" ht="21.75" customHeight="1" x14ac:dyDescent="0.35">
      <c r="A157" s="183"/>
      <c r="B157" s="184"/>
      <c r="C157" s="184"/>
      <c r="D157" s="201"/>
      <c r="E157" s="202" t="s">
        <v>48</v>
      </c>
      <c r="F157" s="203"/>
      <c r="G157" s="204"/>
      <c r="H157" s="194"/>
      <c r="I157" s="195"/>
      <c r="J157" s="205">
        <f ca="1">IFERROR(__xludf.DUMMYFUNCTION("IMPORTRANGE(""https://docs.google.com/spreadsheets/d/1IYY_tgx_IHuhSq3AJ5eI5OnqOPBNLWSHKh2a30DoXe8/edit?usp=sharing"",""สตูล!J82"")"),1)</f>
        <v>1</v>
      </c>
      <c r="K157" s="169"/>
      <c r="L157" s="189"/>
      <c r="M157" s="189"/>
      <c r="N157" s="189"/>
      <c r="O157" s="189"/>
      <c r="P157" s="189"/>
    </row>
    <row r="158" spans="1:16" ht="21.75" customHeight="1" x14ac:dyDescent="0.35">
      <c r="A158" s="183"/>
      <c r="B158" s="184"/>
      <c r="C158" s="184"/>
      <c r="D158" s="201"/>
      <c r="E158" s="206"/>
      <c r="F158" s="202" t="s">
        <v>78</v>
      </c>
      <c r="G158" s="204"/>
      <c r="H158" s="188" t="s">
        <v>77</v>
      </c>
      <c r="I158" s="195">
        <f ca="1">IFERROR(__xludf.DUMMYFUNCTION("IMPORTRANGE(""https://docs.google.com/spreadsheets/d/1IYY_tgx_IHuhSq3AJ5eI5OnqOPBNLWSHKh2a30DoXe8/edit?usp=sharing"",""สตูล!I83"")"),4)</f>
        <v>4</v>
      </c>
      <c r="J158" s="196">
        <f ca="1">IFERROR(__xludf.DUMMYFUNCTION("IMPORTRANGE(""https://docs.google.com/spreadsheets/d/1IYY_tgx_IHuhSq3AJ5eI5OnqOPBNLWSHKh2a30DoXe8/edit?usp=sharing"",""สตูล!J83"")"),1)</f>
        <v>1</v>
      </c>
      <c r="K158" s="169">
        <f ca="1">IF(I158&gt;0,J158*100/I158,0)</f>
        <v>25</v>
      </c>
      <c r="L158" s="189"/>
      <c r="M158" s="189"/>
      <c r="N158" s="189"/>
      <c r="O158" s="189"/>
      <c r="P158" s="189"/>
    </row>
    <row r="159" spans="1:16" ht="21.75" customHeight="1" x14ac:dyDescent="0.35">
      <c r="A159" s="183"/>
      <c r="B159" s="184"/>
      <c r="C159" s="184"/>
      <c r="D159" s="201"/>
      <c r="E159" s="203"/>
      <c r="F159" s="285" t="s">
        <v>79</v>
      </c>
      <c r="G159" s="204"/>
      <c r="H159" s="286" t="s">
        <v>37</v>
      </c>
      <c r="I159" s="195"/>
      <c r="J159" s="211">
        <f ca="1">IFERROR(__xludf.DUMMYFUNCTION("IMPORTRANGE(""https://docs.google.com/spreadsheets/d/1IYY_tgx_IHuhSq3AJ5eI5OnqOPBNLWSHKh2a30DoXe8/edit?usp=sharing"",""สตูล!J84"")"),12)</f>
        <v>12</v>
      </c>
      <c r="K159" s="169"/>
      <c r="L159" s="189"/>
      <c r="M159" s="189"/>
      <c r="N159" s="189"/>
      <c r="O159" s="189"/>
      <c r="P159" s="189"/>
    </row>
    <row r="160" spans="1:16" ht="21.75" customHeight="1" x14ac:dyDescent="0.45">
      <c r="A160" s="183"/>
      <c r="B160" s="184"/>
      <c r="C160" s="184"/>
      <c r="D160" s="201"/>
      <c r="E160" s="203"/>
      <c r="F160" s="203"/>
      <c r="G160" s="287" t="s">
        <v>80</v>
      </c>
      <c r="H160" s="286" t="s">
        <v>37</v>
      </c>
      <c r="I160" s="195"/>
      <c r="J160" s="288">
        <f ca="1">IFERROR(__xludf.DUMMYFUNCTION("IMPORTRANGE(""https://docs.google.com/spreadsheets/d/1IYY_tgx_IHuhSq3AJ5eI5OnqOPBNLWSHKh2a30DoXe8/edit?usp=sharing"",""สตูล!J85"")"),12)</f>
        <v>12</v>
      </c>
      <c r="K160" s="169"/>
      <c r="L160" s="189"/>
      <c r="M160" s="189"/>
      <c r="N160" s="189"/>
      <c r="O160" s="189"/>
      <c r="P160" s="189"/>
    </row>
    <row r="161" spans="1:16" ht="21.75" customHeight="1" x14ac:dyDescent="0.45">
      <c r="A161" s="183"/>
      <c r="B161" s="184"/>
      <c r="C161" s="184"/>
      <c r="D161" s="201"/>
      <c r="E161" s="203"/>
      <c r="F161" s="203"/>
      <c r="G161" s="287" t="s">
        <v>81</v>
      </c>
      <c r="H161" s="286" t="s">
        <v>37</v>
      </c>
      <c r="I161" s="195"/>
      <c r="J161" s="288">
        <f ca="1">IFERROR(__xludf.DUMMYFUNCTION("IMPORTRANGE(""https://docs.google.com/spreadsheets/d/1IYY_tgx_IHuhSq3AJ5eI5OnqOPBNLWSHKh2a30DoXe8/edit?usp=sharing"",""สตูล!J86"")"),0)</f>
        <v>0</v>
      </c>
      <c r="K161" s="169"/>
      <c r="L161" s="189"/>
      <c r="M161" s="189"/>
      <c r="N161" s="189"/>
      <c r="O161" s="189"/>
      <c r="P161" s="189"/>
    </row>
    <row r="162" spans="1:16" ht="21.75" customHeight="1" x14ac:dyDescent="0.35">
      <c r="A162" s="183"/>
      <c r="B162" s="184"/>
      <c r="C162" s="184"/>
      <c r="D162" s="201"/>
      <c r="E162" s="202" t="s">
        <v>54</v>
      </c>
      <c r="F162" s="203"/>
      <c r="G162" s="204"/>
      <c r="H162" s="194"/>
      <c r="I162" s="195"/>
      <c r="J162" s="205">
        <f ca="1">IFERROR(__xludf.DUMMYFUNCTION("IMPORTRANGE(""https://docs.google.com/spreadsheets/d/1IYY_tgx_IHuhSq3AJ5eI5OnqOPBNLWSHKh2a30DoXe8/edit?usp=sharing"",""สตูล!J87"")"),0)</f>
        <v>0</v>
      </c>
      <c r="K162" s="169"/>
      <c r="L162" s="189"/>
      <c r="M162" s="189"/>
      <c r="N162" s="189"/>
      <c r="O162" s="189"/>
      <c r="P162" s="189"/>
    </row>
    <row r="163" spans="1:16" ht="21.75" customHeight="1" x14ac:dyDescent="0.35">
      <c r="A163" s="183"/>
      <c r="B163" s="184"/>
      <c r="C163" s="184"/>
      <c r="D163" s="213">
        <v>3</v>
      </c>
      <c r="E163" s="214" t="s">
        <v>55</v>
      </c>
      <c r="F163" s="215"/>
      <c r="G163" s="216"/>
      <c r="H163" s="194"/>
      <c r="I163" s="195"/>
      <c r="J163" s="217">
        <f ca="1">IFERROR(__xludf.DUMMYFUNCTION("IMPORTRANGE(""https://docs.google.com/spreadsheets/d/1IYY_tgx_IHuhSq3AJ5eI5OnqOPBNLWSHKh2a30DoXe8/edit?usp=sharing"",""สตูล!J88"")"),0)</f>
        <v>0</v>
      </c>
      <c r="K163" s="169"/>
      <c r="L163" s="189"/>
      <c r="M163" s="189"/>
      <c r="N163" s="189"/>
      <c r="O163" s="189"/>
      <c r="P163" s="189"/>
    </row>
    <row r="164" spans="1:16" ht="21.75" customHeight="1" x14ac:dyDescent="0.35">
      <c r="A164" s="277"/>
      <c r="B164" s="278"/>
      <c r="C164" s="279" t="s">
        <v>82</v>
      </c>
      <c r="D164" s="279"/>
      <c r="E164" s="279"/>
      <c r="F164" s="279"/>
      <c r="G164" s="280"/>
      <c r="H164" s="289" t="s">
        <v>83</v>
      </c>
      <c r="I164" s="290">
        <f ca="1">IFERROR(__xludf.DUMMYFUNCTION("IMPORTRANGE(""https://docs.google.com/spreadsheets/d/1IYY_tgx_IHuhSq3AJ5eI5OnqOPBNLWSHKh2a30DoXe8/edit?usp=sharing"",""สตูล!I89"")"),2)</f>
        <v>2</v>
      </c>
      <c r="J164" s="290">
        <f ca="1">IFERROR(__xludf.DUMMYFUNCTION("IMPORTRANGE(""https://docs.google.com/spreadsheets/d/1IYY_tgx_IHuhSq3AJ5eI5OnqOPBNLWSHKh2a30DoXe8/edit?usp=sharing"",""สตูล!J89"")"),0)</f>
        <v>0</v>
      </c>
      <c r="K164" s="291">
        <f ca="1">IF(I164&gt;0,J164*100/I164,0)</f>
        <v>0</v>
      </c>
      <c r="L164" s="284"/>
      <c r="M164" s="284"/>
      <c r="N164" s="284"/>
      <c r="O164" s="284"/>
      <c r="P164" s="284"/>
    </row>
    <row r="165" spans="1:16" ht="21.75" customHeight="1" x14ac:dyDescent="0.35">
      <c r="A165" s="162"/>
      <c r="B165" s="163"/>
      <c r="C165" s="163" t="s">
        <v>16</v>
      </c>
      <c r="D165" s="164" t="s">
        <v>38</v>
      </c>
      <c r="E165" s="165"/>
      <c r="F165" s="165"/>
      <c r="G165" s="166" t="s">
        <v>39</v>
      </c>
      <c r="H165" s="167" t="s">
        <v>12</v>
      </c>
      <c r="I165" s="168" t="s">
        <v>40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 x14ac:dyDescent="0.35">
      <c r="A166" s="162"/>
      <c r="B166" s="163"/>
      <c r="C166" s="163"/>
      <c r="D166" s="172"/>
      <c r="E166" s="165"/>
      <c r="F166" s="165" t="s">
        <v>40</v>
      </c>
      <c r="G166" s="166" t="s">
        <v>41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 x14ac:dyDescent="0.35">
      <c r="A167" s="162"/>
      <c r="B167" s="163"/>
      <c r="C167" s="163"/>
      <c r="D167" s="172"/>
      <c r="E167" s="165"/>
      <c r="F167" s="165"/>
      <c r="G167" s="177" t="s">
        <v>43</v>
      </c>
      <c r="H167" s="167" t="s">
        <v>12</v>
      </c>
      <c r="I167" s="168"/>
      <c r="J167" s="168"/>
      <c r="K167" s="169"/>
      <c r="L167" s="176"/>
      <c r="M167" s="176"/>
      <c r="N167" s="173"/>
      <c r="O167" s="176"/>
      <c r="P167" s="176"/>
    </row>
    <row r="168" spans="1:16" ht="21.75" customHeight="1" x14ac:dyDescent="0.35">
      <c r="A168" s="183"/>
      <c r="B168" s="184"/>
      <c r="C168" s="163" t="s">
        <v>16</v>
      </c>
      <c r="D168" s="185" t="s">
        <v>44</v>
      </c>
      <c r="E168" s="186"/>
      <c r="F168" s="186"/>
      <c r="G168" s="187"/>
      <c r="H168" s="188"/>
      <c r="I168" s="168"/>
      <c r="J168" s="168"/>
      <c r="K168" s="169"/>
      <c r="L168" s="189"/>
      <c r="M168" s="189"/>
      <c r="N168" s="189"/>
      <c r="O168" s="189"/>
      <c r="P168" s="189"/>
    </row>
    <row r="169" spans="1:16" ht="21.75" customHeight="1" x14ac:dyDescent="0.35">
      <c r="A169" s="183"/>
      <c r="B169" s="184"/>
      <c r="C169" s="184"/>
      <c r="D169" s="190">
        <v>1</v>
      </c>
      <c r="E169" s="191" t="s">
        <v>45</v>
      </c>
      <c r="F169" s="192"/>
      <c r="G169" s="193"/>
      <c r="H169" s="194"/>
      <c r="I169" s="195"/>
      <c r="J169" s="196">
        <f ca="1">IFERROR(__xludf.DUMMYFUNCTION("IMPORTRANGE(""https://docs.google.com/spreadsheets/d/1IYY_tgx_IHuhSq3AJ5eI5OnqOPBNLWSHKh2a30DoXe8/edit?usp=sharing"",""สตูล!J94"")"),0)</f>
        <v>0</v>
      </c>
      <c r="K169" s="169"/>
      <c r="L169" s="189"/>
      <c r="M169" s="189"/>
      <c r="N169" s="189"/>
      <c r="O169" s="189"/>
      <c r="P169" s="189"/>
    </row>
    <row r="170" spans="1:16" ht="21.75" customHeight="1" x14ac:dyDescent="0.35">
      <c r="A170" s="183"/>
      <c r="B170" s="184"/>
      <c r="C170" s="184"/>
      <c r="D170" s="197">
        <v>2</v>
      </c>
      <c r="E170" s="198" t="s">
        <v>46</v>
      </c>
      <c r="F170" s="199"/>
      <c r="G170" s="200"/>
      <c r="H170" s="194"/>
      <c r="I170" s="195"/>
      <c r="J170" s="205">
        <f ca="1">IFERROR(__xludf.DUMMYFUNCTION("IMPORTRANGE(""https://docs.google.com/spreadsheets/d/1IYY_tgx_IHuhSq3AJ5eI5OnqOPBNLWSHKh2a30DoXe8/edit?usp=sharing"",""สตูล!J95"")"),1)</f>
        <v>1</v>
      </c>
      <c r="K170" s="169"/>
      <c r="L170" s="189"/>
      <c r="M170" s="189"/>
      <c r="N170" s="189"/>
      <c r="O170" s="189"/>
      <c r="P170" s="189"/>
    </row>
    <row r="171" spans="1:16" ht="21.75" customHeight="1" x14ac:dyDescent="0.35">
      <c r="A171" s="183"/>
      <c r="B171" s="184"/>
      <c r="C171" s="184"/>
      <c r="D171" s="201"/>
      <c r="E171" s="202" t="s">
        <v>47</v>
      </c>
      <c r="F171" s="203"/>
      <c r="G171" s="204"/>
      <c r="H171" s="194"/>
      <c r="I171" s="195"/>
      <c r="J171" s="205">
        <f ca="1">IFERROR(__xludf.DUMMYFUNCTION("IMPORTRANGE(""https://docs.google.com/spreadsheets/d/1IYY_tgx_IHuhSq3AJ5eI5OnqOPBNLWSHKh2a30DoXe8/edit?usp=sharing"",""สตูล!J96"")"),1)</f>
        <v>1</v>
      </c>
      <c r="K171" s="169"/>
      <c r="L171" s="189"/>
      <c r="M171" s="189"/>
      <c r="N171" s="189"/>
      <c r="O171" s="189"/>
      <c r="P171" s="189"/>
    </row>
    <row r="172" spans="1:16" ht="21.75" customHeight="1" x14ac:dyDescent="0.35">
      <c r="A172" s="183"/>
      <c r="B172" s="184"/>
      <c r="C172" s="184"/>
      <c r="D172" s="201"/>
      <c r="E172" s="202" t="s">
        <v>48</v>
      </c>
      <c r="F172" s="203"/>
      <c r="G172" s="204"/>
      <c r="H172" s="194"/>
      <c r="I172" s="195"/>
      <c r="J172" s="205">
        <f ca="1">IFERROR(__xludf.DUMMYFUNCTION("IMPORTRANGE(""https://docs.google.com/spreadsheets/d/1IYY_tgx_IHuhSq3AJ5eI5OnqOPBNLWSHKh2a30DoXe8/edit?usp=sharing"",""สตูล!J97"")"),1)</f>
        <v>1</v>
      </c>
      <c r="K172" s="169"/>
      <c r="L172" s="189"/>
      <c r="M172" s="189"/>
      <c r="N172" s="189"/>
      <c r="O172" s="189"/>
      <c r="P172" s="189"/>
    </row>
    <row r="173" spans="1:16" ht="21.75" customHeight="1" x14ac:dyDescent="0.35">
      <c r="A173" s="183"/>
      <c r="B173" s="184"/>
      <c r="C173" s="184"/>
      <c r="D173" s="201"/>
      <c r="E173" s="206"/>
      <c r="F173" s="212" t="s">
        <v>84</v>
      </c>
      <c r="G173" s="204"/>
      <c r="H173" s="188" t="s">
        <v>83</v>
      </c>
      <c r="I173" s="195">
        <f ca="1">IFERROR(__xludf.DUMMYFUNCTION("IMPORTRANGE(""https://docs.google.com/spreadsheets/d/1IYY_tgx_IHuhSq3AJ5eI5OnqOPBNLWSHKh2a30DoXe8/edit?usp=sharing"",""สตูล!I98"")"),2)</f>
        <v>2</v>
      </c>
      <c r="J173" s="196">
        <f ca="1">IFERROR(__xludf.DUMMYFUNCTION("IMPORTRANGE(""https://docs.google.com/spreadsheets/d/1IYY_tgx_IHuhSq3AJ5eI5OnqOPBNLWSHKh2a30DoXe8/edit?usp=sharing"",""สตูล!J98"")"),0)</f>
        <v>0</v>
      </c>
      <c r="K173" s="169">
        <f ca="1">IF(I173&gt;0,J173*100/I173,0)</f>
        <v>0</v>
      </c>
      <c r="L173" s="176"/>
      <c r="M173" s="176"/>
      <c r="N173" s="173"/>
      <c r="O173" s="176"/>
      <c r="P173" s="176"/>
    </row>
    <row r="174" spans="1:16" ht="21.75" customHeight="1" x14ac:dyDescent="0.35">
      <c r="A174" s="183"/>
      <c r="B174" s="184"/>
      <c r="C174" s="184"/>
      <c r="D174" s="201"/>
      <c r="E174" s="202" t="s">
        <v>54</v>
      </c>
      <c r="F174" s="203"/>
      <c r="G174" s="204"/>
      <c r="H174" s="194"/>
      <c r="I174" s="195"/>
      <c r="J174" s="205">
        <f ca="1">IFERROR(__xludf.DUMMYFUNCTION("IMPORTRANGE(""https://docs.google.com/spreadsheets/d/1IYY_tgx_IHuhSq3AJ5eI5OnqOPBNLWSHKh2a30DoXe8/edit?usp=sharing"",""สตูล!J99"")"),0)</f>
        <v>0</v>
      </c>
      <c r="K174" s="169"/>
      <c r="L174" s="189"/>
      <c r="M174" s="189"/>
      <c r="N174" s="189"/>
      <c r="O174" s="189"/>
      <c r="P174" s="189"/>
    </row>
    <row r="175" spans="1:16" ht="21.75" customHeight="1" x14ac:dyDescent="0.35">
      <c r="A175" s="183"/>
      <c r="B175" s="184"/>
      <c r="C175" s="184"/>
      <c r="D175" s="213">
        <v>3</v>
      </c>
      <c r="E175" s="214" t="s">
        <v>55</v>
      </c>
      <c r="F175" s="215"/>
      <c r="G175" s="216"/>
      <c r="H175" s="194"/>
      <c r="I175" s="195"/>
      <c r="J175" s="217">
        <f ca="1">IFERROR(__xludf.DUMMYFUNCTION("IMPORTRANGE(""https://docs.google.com/spreadsheets/d/1IYY_tgx_IHuhSq3AJ5eI5OnqOPBNLWSHKh2a30DoXe8/edit?usp=sharing"",""สตูล!J100"")"),0)</f>
        <v>0</v>
      </c>
      <c r="K175" s="169"/>
      <c r="L175" s="189"/>
      <c r="M175" s="189"/>
      <c r="N175" s="189"/>
      <c r="O175" s="189"/>
      <c r="P175" s="189"/>
    </row>
    <row r="176" spans="1:16" ht="21.75" customHeight="1" x14ac:dyDescent="0.35">
      <c r="A176" s="277"/>
      <c r="B176" s="278"/>
      <c r="C176" s="279" t="s">
        <v>85</v>
      </c>
      <c r="D176" s="279"/>
      <c r="E176" s="279"/>
      <c r="F176" s="279"/>
      <c r="G176" s="280"/>
      <c r="H176" s="289" t="s">
        <v>83</v>
      </c>
      <c r="I176" s="290">
        <f ca="1">IFERROR(__xludf.DUMMYFUNCTION("IMPORTRANGE(""https://docs.google.com/spreadsheets/d/1IYY_tgx_IHuhSq3AJ5eI5OnqOPBNLWSHKh2a30DoXe8/edit?usp=sharing"",""สตูล!I101"")"),0)</f>
        <v>0</v>
      </c>
      <c r="J176" s="290">
        <f ca="1">IFERROR(__xludf.DUMMYFUNCTION("IMPORTRANGE(""https://docs.google.com/spreadsheets/d/1IYY_tgx_IHuhSq3AJ5eI5OnqOPBNLWSHKh2a30DoXe8/edit?usp=sharing"",""สตูล!J101"")"),0)</f>
        <v>0</v>
      </c>
      <c r="K176" s="291">
        <f ca="1">IF(I176&gt;0,J176*100/I176,0)</f>
        <v>0</v>
      </c>
      <c r="L176" s="284"/>
      <c r="M176" s="284"/>
      <c r="N176" s="284"/>
      <c r="O176" s="284"/>
      <c r="P176" s="284"/>
    </row>
    <row r="177" spans="1:16" ht="21.75" customHeight="1" x14ac:dyDescent="0.35">
      <c r="A177" s="162"/>
      <c r="B177" s="163"/>
      <c r="C177" s="163" t="s">
        <v>16</v>
      </c>
      <c r="D177" s="164" t="s">
        <v>38</v>
      </c>
      <c r="E177" s="165"/>
      <c r="F177" s="165"/>
      <c r="G177" s="166" t="s">
        <v>39</v>
      </c>
      <c r="H177" s="167" t="s">
        <v>12</v>
      </c>
      <c r="I177" s="168" t="s">
        <v>40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 x14ac:dyDescent="0.35">
      <c r="A178" s="162"/>
      <c r="B178" s="163"/>
      <c r="C178" s="163"/>
      <c r="D178" s="172"/>
      <c r="E178" s="165"/>
      <c r="F178" s="165" t="s">
        <v>40</v>
      </c>
      <c r="G178" s="166" t="s">
        <v>41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 x14ac:dyDescent="0.35">
      <c r="A179" s="162"/>
      <c r="B179" s="163"/>
      <c r="C179" s="163"/>
      <c r="D179" s="172"/>
      <c r="E179" s="165"/>
      <c r="F179" s="165"/>
      <c r="G179" s="177" t="s">
        <v>43</v>
      </c>
      <c r="H179" s="167" t="s">
        <v>12</v>
      </c>
      <c r="I179" s="168"/>
      <c r="J179" s="195"/>
      <c r="K179" s="231"/>
      <c r="L179" s="176"/>
      <c r="M179" s="176"/>
      <c r="N179" s="173"/>
      <c r="O179" s="176"/>
      <c r="P179" s="176"/>
    </row>
    <row r="180" spans="1:16" ht="21.75" customHeight="1" x14ac:dyDescent="0.35">
      <c r="A180" s="183"/>
      <c r="B180" s="184"/>
      <c r="C180" s="163" t="s">
        <v>16</v>
      </c>
      <c r="D180" s="185" t="s">
        <v>44</v>
      </c>
      <c r="E180" s="186"/>
      <c r="F180" s="186"/>
      <c r="G180" s="187"/>
      <c r="H180" s="188"/>
      <c r="I180" s="168"/>
      <c r="J180" s="195"/>
      <c r="K180" s="231"/>
      <c r="L180" s="176"/>
      <c r="M180" s="176"/>
      <c r="N180" s="176"/>
      <c r="O180" s="189"/>
      <c r="P180" s="189"/>
    </row>
    <row r="181" spans="1:16" ht="21.75" customHeight="1" x14ac:dyDescent="0.35">
      <c r="A181" s="183"/>
      <c r="B181" s="184"/>
      <c r="C181" s="184"/>
      <c r="D181" s="190">
        <v>1</v>
      </c>
      <c r="E181" s="191" t="s">
        <v>45</v>
      </c>
      <c r="F181" s="192"/>
      <c r="G181" s="193"/>
      <c r="H181" s="194"/>
      <c r="I181" s="195"/>
      <c r="J181" s="195">
        <f ca="1">IFERROR(__xludf.DUMMYFUNCTION("IMPORTRANGE(""https://docs.google.com/spreadsheets/d/1IYY_tgx_IHuhSq3AJ5eI5OnqOPBNLWSHKh2a30DoXe8/edit?usp=sharing"",""สตูล!J106"")"),0)</f>
        <v>0</v>
      </c>
      <c r="K181" s="231"/>
      <c r="L181" s="176"/>
      <c r="M181" s="176"/>
      <c r="N181" s="176"/>
      <c r="O181" s="189"/>
      <c r="P181" s="189"/>
    </row>
    <row r="182" spans="1:16" ht="21.75" customHeight="1" x14ac:dyDescent="0.35">
      <c r="A182" s="183"/>
      <c r="B182" s="184"/>
      <c r="C182" s="184"/>
      <c r="D182" s="197">
        <v>2</v>
      </c>
      <c r="E182" s="198" t="s">
        <v>46</v>
      </c>
      <c r="F182" s="199"/>
      <c r="G182" s="200"/>
      <c r="H182" s="194"/>
      <c r="I182" s="195"/>
      <c r="J182" s="195">
        <f ca="1">IFERROR(__xludf.DUMMYFUNCTION("IMPORTRANGE(""https://docs.google.com/spreadsheets/d/1IYY_tgx_IHuhSq3AJ5eI5OnqOPBNLWSHKh2a30DoXe8/edit?usp=sharing"",""สตูล!J107"")"),0)</f>
        <v>0</v>
      </c>
      <c r="K182" s="231"/>
      <c r="L182" s="176"/>
      <c r="M182" s="176"/>
      <c r="N182" s="176"/>
      <c r="O182" s="189"/>
      <c r="P182" s="189"/>
    </row>
    <row r="183" spans="1:16" ht="21.75" customHeight="1" x14ac:dyDescent="0.35">
      <c r="A183" s="183"/>
      <c r="B183" s="184"/>
      <c r="C183" s="184"/>
      <c r="D183" s="201"/>
      <c r="E183" s="202" t="s">
        <v>47</v>
      </c>
      <c r="F183" s="203"/>
      <c r="G183" s="204"/>
      <c r="H183" s="194"/>
      <c r="I183" s="195"/>
      <c r="J183" s="195">
        <f ca="1">IFERROR(__xludf.DUMMYFUNCTION("IMPORTRANGE(""https://docs.google.com/spreadsheets/d/1IYY_tgx_IHuhSq3AJ5eI5OnqOPBNLWSHKh2a30DoXe8/edit?usp=sharing"",""สตูล!J108"")"),0)</f>
        <v>0</v>
      </c>
      <c r="K183" s="231"/>
      <c r="L183" s="176"/>
      <c r="M183" s="176"/>
      <c r="N183" s="176"/>
      <c r="O183" s="189"/>
      <c r="P183" s="189"/>
    </row>
    <row r="184" spans="1:16" ht="21.75" customHeight="1" x14ac:dyDescent="0.35">
      <c r="A184" s="183"/>
      <c r="B184" s="184"/>
      <c r="C184" s="184"/>
      <c r="D184" s="201"/>
      <c r="E184" s="202" t="s">
        <v>48</v>
      </c>
      <c r="F184" s="203"/>
      <c r="G184" s="204"/>
      <c r="H184" s="194"/>
      <c r="I184" s="195"/>
      <c r="J184" s="195">
        <f ca="1">IFERROR(__xludf.DUMMYFUNCTION("IMPORTRANGE(""https://docs.google.com/spreadsheets/d/1IYY_tgx_IHuhSq3AJ5eI5OnqOPBNLWSHKh2a30DoXe8/edit?usp=sharing"",""สตูล!J109"")"),0)</f>
        <v>0</v>
      </c>
      <c r="K184" s="231"/>
      <c r="L184" s="176"/>
      <c r="M184" s="176"/>
      <c r="N184" s="176"/>
      <c r="O184" s="189"/>
      <c r="P184" s="189"/>
    </row>
    <row r="185" spans="1:16" ht="21.75" customHeight="1" x14ac:dyDescent="0.35">
      <c r="A185" s="183"/>
      <c r="B185" s="184"/>
      <c r="C185" s="184"/>
      <c r="D185" s="201"/>
      <c r="E185" s="206"/>
      <c r="F185" s="202" t="s">
        <v>86</v>
      </c>
      <c r="G185" s="204"/>
      <c r="H185" s="188" t="s">
        <v>83</v>
      </c>
      <c r="I185" s="195">
        <f ca="1">IFERROR(__xludf.DUMMYFUNCTION("IMPORTRANGE(""https://docs.google.com/spreadsheets/d/1IYY_tgx_IHuhSq3AJ5eI5OnqOPBNLWSHKh2a30DoXe8/edit?usp=sharing"",""สตูล!I110"")"),0)</f>
        <v>0</v>
      </c>
      <c r="J185" s="211">
        <f ca="1">IFERROR(__xludf.DUMMYFUNCTION("IMPORTRANGE(""https://docs.google.com/spreadsheets/d/1IYY_tgx_IHuhSq3AJ5eI5OnqOPBNLWSHKh2a30DoXe8/edit?usp=sharing"",""สตูล!J110"")"),0)</f>
        <v>0</v>
      </c>
      <c r="K185" s="231">
        <f t="shared" ref="K185:K186" ca="1" si="69">IF(I185&gt;0,J185*100/I185,0)</f>
        <v>0</v>
      </c>
      <c r="L185" s="176"/>
      <c r="M185" s="176"/>
      <c r="N185" s="173"/>
      <c r="O185" s="176"/>
      <c r="P185" s="176"/>
    </row>
    <row r="186" spans="1:16" ht="21.75" customHeight="1" x14ac:dyDescent="0.35">
      <c r="A186" s="183"/>
      <c r="B186" s="184"/>
      <c r="C186" s="184"/>
      <c r="D186" s="201"/>
      <c r="E186" s="206"/>
      <c r="F186" s="202" t="s">
        <v>87</v>
      </c>
      <c r="G186" s="204"/>
      <c r="H186" s="188" t="s">
        <v>83</v>
      </c>
      <c r="I186" s="195">
        <f ca="1">IFERROR(__xludf.DUMMYFUNCTION("IMPORTRANGE(""https://docs.google.com/spreadsheets/d/1IYY_tgx_IHuhSq3AJ5eI5OnqOPBNLWSHKh2a30DoXe8/edit?usp=sharing"",""สตูล!I111"")"),0)</f>
        <v>0</v>
      </c>
      <c r="J186" s="211">
        <f ca="1">IFERROR(__xludf.DUMMYFUNCTION("IMPORTRANGE(""https://docs.google.com/spreadsheets/d/1IYY_tgx_IHuhSq3AJ5eI5OnqOPBNLWSHKh2a30DoXe8/edit?usp=sharing"",""สตูล!J111"")"),0)</f>
        <v>0</v>
      </c>
      <c r="K186" s="231">
        <f t="shared" ca="1" si="69"/>
        <v>0</v>
      </c>
      <c r="L186" s="176"/>
      <c r="M186" s="176"/>
      <c r="N186" s="173"/>
      <c r="O186" s="176"/>
      <c r="P186" s="176"/>
    </row>
    <row r="187" spans="1:16" ht="21.75" customHeight="1" x14ac:dyDescent="0.35">
      <c r="A187" s="183"/>
      <c r="B187" s="184"/>
      <c r="C187" s="184"/>
      <c r="D187" s="201"/>
      <c r="E187" s="202" t="s">
        <v>54</v>
      </c>
      <c r="F187" s="203"/>
      <c r="G187" s="204"/>
      <c r="H187" s="194"/>
      <c r="I187" s="195"/>
      <c r="J187" s="195">
        <f ca="1">IFERROR(__xludf.DUMMYFUNCTION("IMPORTRANGE(""https://docs.google.com/spreadsheets/d/1IYY_tgx_IHuhSq3AJ5eI5OnqOPBNLWSHKh2a30DoXe8/edit?usp=sharing"",""สตูล!J112"")"),0)</f>
        <v>0</v>
      </c>
      <c r="K187" s="231"/>
      <c r="L187" s="176"/>
      <c r="M187" s="176"/>
      <c r="N187" s="176"/>
      <c r="O187" s="189"/>
      <c r="P187" s="189"/>
    </row>
    <row r="188" spans="1:16" ht="21.75" customHeight="1" x14ac:dyDescent="0.35">
      <c r="A188" s="183"/>
      <c r="B188" s="184"/>
      <c r="C188" s="184"/>
      <c r="D188" s="213">
        <v>3</v>
      </c>
      <c r="E188" s="214" t="s">
        <v>55</v>
      </c>
      <c r="F188" s="215"/>
      <c r="G188" s="216"/>
      <c r="H188" s="194"/>
      <c r="I188" s="195"/>
      <c r="J188" s="234">
        <f ca="1">IFERROR(__xludf.DUMMYFUNCTION("IMPORTRANGE(""https://docs.google.com/spreadsheets/d/1IYY_tgx_IHuhSq3AJ5eI5OnqOPBNLWSHKh2a30DoXe8/edit?usp=sharing"",""สตูล!J113"")"),0)</f>
        <v>0</v>
      </c>
      <c r="K188" s="231"/>
      <c r="L188" s="176"/>
      <c r="M188" s="176"/>
      <c r="N188" s="176"/>
      <c r="O188" s="189"/>
      <c r="P188" s="189"/>
    </row>
    <row r="189" spans="1:16" ht="21.75" customHeight="1" x14ac:dyDescent="0.35">
      <c r="A189" s="277"/>
      <c r="B189" s="278"/>
      <c r="C189" s="279" t="s">
        <v>88</v>
      </c>
      <c r="D189" s="279"/>
      <c r="E189" s="279"/>
      <c r="F189" s="279"/>
      <c r="G189" s="280"/>
      <c r="H189" s="292" t="s">
        <v>89</v>
      </c>
      <c r="I189" s="290">
        <f ca="1">IFERROR(__xludf.DUMMYFUNCTION("IMPORTRANGE(""https://docs.google.com/spreadsheets/d/1IYY_tgx_IHuhSq3AJ5eI5OnqOPBNLWSHKh2a30DoXe8/edit?usp=sharing"",""สตูล!I114"")"),6400)</f>
        <v>6400</v>
      </c>
      <c r="J189" s="290">
        <f ca="1">IFERROR(__xludf.DUMMYFUNCTION("IMPORTRANGE(""https://docs.google.com/spreadsheets/d/1IYY_tgx_IHuhSq3AJ5eI5OnqOPBNLWSHKh2a30DoXe8/edit?usp=sharing"",""สตูล!J114"")"),0)</f>
        <v>0</v>
      </c>
      <c r="K189" s="291">
        <f ca="1">IF(I189&gt;0,J189*100/I189,0)</f>
        <v>0</v>
      </c>
      <c r="L189" s="284"/>
      <c r="M189" s="284"/>
      <c r="N189" s="284"/>
      <c r="O189" s="284"/>
      <c r="P189" s="284"/>
    </row>
    <row r="190" spans="1:16" ht="21.75" customHeight="1" x14ac:dyDescent="0.35">
      <c r="A190" s="162"/>
      <c r="B190" s="163"/>
      <c r="C190" s="163" t="s">
        <v>16</v>
      </c>
      <c r="D190" s="164" t="s">
        <v>38</v>
      </c>
      <c r="E190" s="165"/>
      <c r="F190" s="165"/>
      <c r="G190" s="166" t="s">
        <v>39</v>
      </c>
      <c r="H190" s="167" t="s">
        <v>12</v>
      </c>
      <c r="I190" s="168" t="s">
        <v>40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 x14ac:dyDescent="0.35">
      <c r="A191" s="162"/>
      <c r="B191" s="163"/>
      <c r="C191" s="163"/>
      <c r="D191" s="172"/>
      <c r="E191" s="165"/>
      <c r="F191" s="165" t="s">
        <v>40</v>
      </c>
      <c r="G191" s="166" t="s">
        <v>41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 x14ac:dyDescent="0.35">
      <c r="A192" s="162"/>
      <c r="B192" s="163"/>
      <c r="C192" s="163"/>
      <c r="D192" s="172"/>
      <c r="E192" s="165"/>
      <c r="F192" s="165"/>
      <c r="G192" s="177" t="s">
        <v>43</v>
      </c>
      <c r="H192" s="167" t="s">
        <v>12</v>
      </c>
      <c r="I192" s="168"/>
      <c r="J192" s="168"/>
      <c r="K192" s="169"/>
      <c r="L192" s="176"/>
      <c r="M192" s="176"/>
      <c r="N192" s="173"/>
      <c r="O192" s="176"/>
      <c r="P192" s="176"/>
    </row>
    <row r="193" spans="1:16" ht="21.75" customHeight="1" x14ac:dyDescent="0.35">
      <c r="A193" s="183"/>
      <c r="B193" s="184"/>
      <c r="C193" s="163" t="s">
        <v>16</v>
      </c>
      <c r="D193" s="185" t="s">
        <v>44</v>
      </c>
      <c r="E193" s="186"/>
      <c r="F193" s="186"/>
      <c r="G193" s="187"/>
      <c r="H193" s="188"/>
      <c r="I193" s="168"/>
      <c r="J193" s="168"/>
      <c r="K193" s="169"/>
      <c r="L193" s="189"/>
      <c r="M193" s="189"/>
      <c r="N193" s="189"/>
      <c r="O193" s="189"/>
      <c r="P193" s="189"/>
    </row>
    <row r="194" spans="1:16" ht="21.75" customHeight="1" x14ac:dyDescent="0.35">
      <c r="A194" s="183"/>
      <c r="B194" s="184"/>
      <c r="C194" s="184"/>
      <c r="D194" s="190">
        <v>1</v>
      </c>
      <c r="E194" s="191" t="s">
        <v>45</v>
      </c>
      <c r="F194" s="192"/>
      <c r="G194" s="193"/>
      <c r="H194" s="194"/>
      <c r="I194" s="195"/>
      <c r="J194" s="205">
        <f ca="1">IFERROR(__xludf.DUMMYFUNCTION("IMPORTRANGE(""https://docs.google.com/spreadsheets/d/1IYY_tgx_IHuhSq3AJ5eI5OnqOPBNLWSHKh2a30DoXe8/edit?usp=sharing"",""สตูล!J119"")"),1)</f>
        <v>1</v>
      </c>
      <c r="K194" s="169"/>
      <c r="L194" s="189"/>
      <c r="M194" s="189"/>
      <c r="N194" s="189"/>
      <c r="O194" s="189"/>
      <c r="P194" s="189"/>
    </row>
    <row r="195" spans="1:16" ht="21.75" customHeight="1" x14ac:dyDescent="0.35">
      <c r="A195" s="183"/>
      <c r="B195" s="184"/>
      <c r="C195" s="184"/>
      <c r="D195" s="197">
        <v>2</v>
      </c>
      <c r="E195" s="198" t="s">
        <v>46</v>
      </c>
      <c r="F195" s="199"/>
      <c r="G195" s="200"/>
      <c r="H195" s="194"/>
      <c r="I195" s="195"/>
      <c r="J195" s="196">
        <f ca="1">IFERROR(__xludf.DUMMYFUNCTION("IMPORTRANGE(""https://docs.google.com/spreadsheets/d/1IYY_tgx_IHuhSq3AJ5eI5OnqOPBNLWSHKh2a30DoXe8/edit?usp=sharing"",""สตูล!J120"")"),0)</f>
        <v>0</v>
      </c>
      <c r="K195" s="169"/>
      <c r="L195" s="189"/>
      <c r="M195" s="189"/>
      <c r="N195" s="189"/>
      <c r="O195" s="189"/>
      <c r="P195" s="189"/>
    </row>
    <row r="196" spans="1:16" ht="21.75" customHeight="1" x14ac:dyDescent="0.35">
      <c r="A196" s="183"/>
      <c r="B196" s="184"/>
      <c r="C196" s="184"/>
      <c r="D196" s="201"/>
      <c r="E196" s="202" t="s">
        <v>47</v>
      </c>
      <c r="F196" s="203"/>
      <c r="G196" s="204"/>
      <c r="H196" s="194"/>
      <c r="I196" s="195"/>
      <c r="J196" s="196">
        <f ca="1">IFERROR(__xludf.DUMMYFUNCTION("IMPORTRANGE(""https://docs.google.com/spreadsheets/d/1IYY_tgx_IHuhSq3AJ5eI5OnqOPBNLWSHKh2a30DoXe8/edit?usp=sharing"",""สตูล!J121"")"),0)</f>
        <v>0</v>
      </c>
      <c r="K196" s="169"/>
      <c r="L196" s="189"/>
      <c r="M196" s="189"/>
      <c r="N196" s="189"/>
      <c r="O196" s="189"/>
      <c r="P196" s="189"/>
    </row>
    <row r="197" spans="1:16" ht="21.75" customHeight="1" x14ac:dyDescent="0.35">
      <c r="A197" s="183"/>
      <c r="B197" s="184"/>
      <c r="C197" s="184"/>
      <c r="D197" s="201"/>
      <c r="E197" s="202" t="s">
        <v>48</v>
      </c>
      <c r="F197" s="203"/>
      <c r="G197" s="204"/>
      <c r="H197" s="194"/>
      <c r="I197" s="195"/>
      <c r="J197" s="205">
        <f ca="1">IFERROR(__xludf.DUMMYFUNCTION("IMPORTRANGE(""https://docs.google.com/spreadsheets/d/1IYY_tgx_IHuhSq3AJ5eI5OnqOPBNLWSHKh2a30DoXe8/edit?usp=sharing"",""สตูล!J122"")"),0)</f>
        <v>0</v>
      </c>
      <c r="K197" s="169"/>
      <c r="L197" s="189"/>
      <c r="M197" s="189"/>
      <c r="N197" s="189"/>
      <c r="O197" s="189"/>
      <c r="P197" s="189"/>
    </row>
    <row r="198" spans="1:16" ht="21.75" customHeight="1" x14ac:dyDescent="0.35">
      <c r="A198" s="183"/>
      <c r="B198" s="184"/>
      <c r="C198" s="184"/>
      <c r="D198" s="201"/>
      <c r="E198" s="203"/>
      <c r="F198" s="203" t="s">
        <v>90</v>
      </c>
      <c r="G198" s="204"/>
      <c r="H198" s="188"/>
      <c r="I198" s="195"/>
      <c r="J198" s="195"/>
      <c r="K198" s="169"/>
      <c r="L198" s="189"/>
      <c r="M198" s="189"/>
      <c r="N198" s="189"/>
      <c r="O198" s="189"/>
      <c r="P198" s="189"/>
    </row>
    <row r="199" spans="1:16" ht="21.75" customHeight="1" x14ac:dyDescent="0.35">
      <c r="A199" s="183"/>
      <c r="B199" s="184"/>
      <c r="C199" s="184"/>
      <c r="D199" s="201"/>
      <c r="E199" s="206"/>
      <c r="F199" s="203"/>
      <c r="G199" s="202" t="s">
        <v>91</v>
      </c>
      <c r="H199" s="188" t="s">
        <v>89</v>
      </c>
      <c r="I199" s="195">
        <f ca="1">IFERROR(__xludf.DUMMYFUNCTION("IMPORTRANGE(""https://docs.google.com/spreadsheets/d/1IYY_tgx_IHuhSq3AJ5eI5OnqOPBNLWSHKh2a30DoXe8/edit?usp=sharing"",""สตูล!I124"")"),6400)</f>
        <v>6400</v>
      </c>
      <c r="J199" s="196">
        <f ca="1">IFERROR(__xludf.DUMMYFUNCTION("IMPORTRANGE(""https://docs.google.com/spreadsheets/d/1IYY_tgx_IHuhSq3AJ5eI5OnqOPBNLWSHKh2a30DoXe8/edit?usp=sharing"",""สตูล!J124"")"),0)</f>
        <v>0</v>
      </c>
      <c r="K199" s="169">
        <f t="shared" ref="K199:K201" ca="1" si="70">IF(I199&gt;0,J199*100/I199,0)</f>
        <v>0</v>
      </c>
      <c r="L199" s="189"/>
      <c r="M199" s="189"/>
      <c r="N199" s="189"/>
      <c r="O199" s="189"/>
      <c r="P199" s="189"/>
    </row>
    <row r="200" spans="1:16" ht="21.75" customHeight="1" x14ac:dyDescent="0.35">
      <c r="A200" s="183"/>
      <c r="B200" s="184"/>
      <c r="C200" s="184"/>
      <c r="D200" s="201"/>
      <c r="E200" s="206"/>
      <c r="F200" s="203"/>
      <c r="G200" s="202" t="s">
        <v>92</v>
      </c>
      <c r="H200" s="188" t="s">
        <v>89</v>
      </c>
      <c r="I200" s="195">
        <f ca="1">IFERROR(__xludf.DUMMYFUNCTION("IMPORTRANGE(""https://docs.google.com/spreadsheets/d/1IYY_tgx_IHuhSq3AJ5eI5OnqOPBNLWSHKh2a30DoXe8/edit?usp=sharing"",""สตูล!I125"")"),6400)</f>
        <v>6400</v>
      </c>
      <c r="J200" s="196">
        <f ca="1">IFERROR(__xludf.DUMMYFUNCTION("IMPORTRANGE(""https://docs.google.com/spreadsheets/d/1IYY_tgx_IHuhSq3AJ5eI5OnqOPBNLWSHKh2a30DoXe8/edit?usp=sharing"",""สตูล!J125"")"),0)</f>
        <v>0</v>
      </c>
      <c r="K200" s="169">
        <f t="shared" ca="1" si="70"/>
        <v>0</v>
      </c>
      <c r="L200" s="176"/>
      <c r="M200" s="176"/>
      <c r="N200" s="173"/>
      <c r="O200" s="176"/>
      <c r="P200" s="176"/>
    </row>
    <row r="201" spans="1:16" ht="21.75" customHeight="1" x14ac:dyDescent="0.35">
      <c r="A201" s="183"/>
      <c r="B201" s="184"/>
      <c r="C201" s="184"/>
      <c r="D201" s="201"/>
      <c r="E201" s="206"/>
      <c r="F201" s="203" t="s">
        <v>93</v>
      </c>
      <c r="G201" s="204"/>
      <c r="H201" s="188" t="s">
        <v>37</v>
      </c>
      <c r="I201" s="195">
        <f ca="1">IFERROR(__xludf.DUMMYFUNCTION("IMPORTRANGE(""https://docs.google.com/spreadsheets/d/1IYY_tgx_IHuhSq3AJ5eI5OnqOPBNLWSHKh2a30DoXe8/edit?usp=sharing"",""สตูล!I126"")"),0)</f>
        <v>0</v>
      </c>
      <c r="J201" s="196">
        <f ca="1">IFERROR(__xludf.DUMMYFUNCTION("IMPORTRANGE(""https://docs.google.com/spreadsheets/d/1IYY_tgx_IHuhSq3AJ5eI5OnqOPBNLWSHKh2a30DoXe8/edit?usp=sharing"",""สตูล!J126"")"),0)</f>
        <v>0</v>
      </c>
      <c r="K201" s="169">
        <f t="shared" ca="1" si="70"/>
        <v>0</v>
      </c>
      <c r="L201" s="176"/>
      <c r="M201" s="176"/>
      <c r="N201" s="173"/>
      <c r="O201" s="176"/>
      <c r="P201" s="176"/>
    </row>
    <row r="202" spans="1:16" ht="21.75" customHeight="1" x14ac:dyDescent="0.35">
      <c r="A202" s="183"/>
      <c r="B202" s="184"/>
      <c r="C202" s="184"/>
      <c r="D202" s="201"/>
      <c r="E202" s="202" t="s">
        <v>54</v>
      </c>
      <c r="F202" s="203"/>
      <c r="G202" s="204"/>
      <c r="H202" s="194"/>
      <c r="I202" s="195"/>
      <c r="J202" s="205">
        <f ca="1">IFERROR(__xludf.DUMMYFUNCTION("IMPORTRANGE(""https://docs.google.com/spreadsheets/d/1IYY_tgx_IHuhSq3AJ5eI5OnqOPBNLWSHKh2a30DoXe8/edit?usp=sharing"",""สตูล!J127"")"),0)</f>
        <v>0</v>
      </c>
      <c r="K202" s="169"/>
      <c r="L202" s="189"/>
      <c r="M202" s="189"/>
      <c r="N202" s="189"/>
      <c r="O202" s="189"/>
      <c r="P202" s="189"/>
    </row>
    <row r="203" spans="1:16" ht="21.75" customHeight="1" x14ac:dyDescent="0.35">
      <c r="A203" s="241"/>
      <c r="B203" s="242"/>
      <c r="C203" s="242"/>
      <c r="D203" s="243">
        <v>3</v>
      </c>
      <c r="E203" s="244" t="s">
        <v>55</v>
      </c>
      <c r="F203" s="245"/>
      <c r="G203" s="246"/>
      <c r="H203" s="247"/>
      <c r="I203" s="248"/>
      <c r="J203" s="293">
        <f ca="1">IFERROR(__xludf.DUMMYFUNCTION("IMPORTRANGE(""https://docs.google.com/spreadsheets/d/1IYY_tgx_IHuhSq3AJ5eI5OnqOPBNLWSHKh2a30DoXe8/edit?usp=sharing"",""สตูล!J128"")"),0)</f>
        <v>0</v>
      </c>
      <c r="K203" s="294"/>
      <c r="L203" s="252"/>
      <c r="M203" s="252"/>
      <c r="N203" s="252"/>
      <c r="O203" s="252"/>
      <c r="P203" s="252"/>
    </row>
    <row r="204" spans="1:16" ht="21.75" customHeight="1" x14ac:dyDescent="0.35">
      <c r="A204" s="277"/>
      <c r="B204" s="278"/>
      <c r="C204" s="295" t="s">
        <v>94</v>
      </c>
      <c r="D204" s="279"/>
      <c r="E204" s="279"/>
      <c r="F204" s="279"/>
      <c r="G204" s="280"/>
      <c r="H204" s="292" t="s">
        <v>37</v>
      </c>
      <c r="I204" s="290">
        <f ca="1">IFERROR(__xludf.DUMMYFUNCTION("IMPORTRANGE(""https://docs.google.com/spreadsheets/d/1IYY_tgx_IHuhSq3AJ5eI5OnqOPBNLWSHKh2a30DoXe8/edit?usp=sharing"",""สตูล!I129"")"),0)</f>
        <v>0</v>
      </c>
      <c r="J204" s="290">
        <f ca="1">IFERROR(__xludf.DUMMYFUNCTION("IMPORTRANGE(""https://docs.google.com/spreadsheets/d/1IYY_tgx_IHuhSq3AJ5eI5OnqOPBNLWSHKh2a30DoXe8/edit?usp=sharing"",""สตูล!J129"")"),0)</f>
        <v>0</v>
      </c>
      <c r="K204" s="291">
        <f ca="1">IF(I204&gt;0,J204*100/I204,0)</f>
        <v>0</v>
      </c>
      <c r="L204" s="284"/>
      <c r="M204" s="284"/>
      <c r="N204" s="284"/>
      <c r="O204" s="284"/>
      <c r="P204" s="284"/>
    </row>
    <row r="205" spans="1:16" ht="21.75" customHeight="1" x14ac:dyDescent="0.35">
      <c r="A205" s="162"/>
      <c r="B205" s="163"/>
      <c r="C205" s="163" t="s">
        <v>16</v>
      </c>
      <c r="D205" s="164" t="s">
        <v>38</v>
      </c>
      <c r="E205" s="165"/>
      <c r="F205" s="165"/>
      <c r="G205" s="166" t="s">
        <v>39</v>
      </c>
      <c r="H205" s="167" t="s">
        <v>12</v>
      </c>
      <c r="I205" s="168" t="s">
        <v>40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 x14ac:dyDescent="0.35">
      <c r="A206" s="162"/>
      <c r="B206" s="163"/>
      <c r="C206" s="163"/>
      <c r="D206" s="172"/>
      <c r="E206" s="165"/>
      <c r="F206" s="165" t="s">
        <v>40</v>
      </c>
      <c r="G206" s="166" t="s">
        <v>41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 x14ac:dyDescent="0.35">
      <c r="A207" s="162"/>
      <c r="B207" s="163"/>
      <c r="C207" s="163"/>
      <c r="D207" s="172"/>
      <c r="E207" s="165"/>
      <c r="F207" s="165"/>
      <c r="G207" s="177" t="s">
        <v>43</v>
      </c>
      <c r="H207" s="167" t="s">
        <v>12</v>
      </c>
      <c r="I207" s="168"/>
      <c r="J207" s="195"/>
      <c r="K207" s="231"/>
      <c r="L207" s="176"/>
      <c r="M207" s="176"/>
      <c r="N207" s="173"/>
      <c r="O207" s="176"/>
      <c r="P207" s="176"/>
    </row>
    <row r="208" spans="1:16" ht="21.75" customHeight="1" x14ac:dyDescent="0.35">
      <c r="A208" s="183"/>
      <c r="B208" s="184"/>
      <c r="C208" s="163" t="s">
        <v>16</v>
      </c>
      <c r="D208" s="185" t="s">
        <v>44</v>
      </c>
      <c r="E208" s="186"/>
      <c r="F208" s="186"/>
      <c r="G208" s="187"/>
      <c r="H208" s="188"/>
      <c r="I208" s="168"/>
      <c r="J208" s="195"/>
      <c r="K208" s="231"/>
      <c r="L208" s="176"/>
      <c r="M208" s="176"/>
      <c r="N208" s="176"/>
      <c r="O208" s="189"/>
      <c r="P208" s="189"/>
    </row>
    <row r="209" spans="1:16" ht="21.75" customHeight="1" x14ac:dyDescent="0.35">
      <c r="A209" s="183"/>
      <c r="B209" s="184"/>
      <c r="C209" s="184"/>
      <c r="D209" s="190">
        <v>1</v>
      </c>
      <c r="E209" s="191" t="s">
        <v>45</v>
      </c>
      <c r="F209" s="192"/>
      <c r="G209" s="193"/>
      <c r="H209" s="194"/>
      <c r="I209" s="195"/>
      <c r="J209" s="195">
        <f ca="1">IFERROR(__xludf.DUMMYFUNCTION("IMPORTRANGE(""https://docs.google.com/spreadsheets/d/1IYY_tgx_IHuhSq3AJ5eI5OnqOPBNLWSHKh2a30DoXe8/edit?usp=sharing"",""สตูล!J134"")"),0)</f>
        <v>0</v>
      </c>
      <c r="K209" s="231"/>
      <c r="L209" s="176"/>
      <c r="M209" s="176"/>
      <c r="N209" s="176"/>
      <c r="O209" s="189"/>
      <c r="P209" s="189"/>
    </row>
    <row r="210" spans="1:16" ht="21.75" customHeight="1" x14ac:dyDescent="0.35">
      <c r="A210" s="183"/>
      <c r="B210" s="184"/>
      <c r="C210" s="184"/>
      <c r="D210" s="197">
        <v>2</v>
      </c>
      <c r="E210" s="198" t="s">
        <v>46</v>
      </c>
      <c r="F210" s="199"/>
      <c r="G210" s="200"/>
      <c r="H210" s="194"/>
      <c r="I210" s="195"/>
      <c r="J210" s="195">
        <f ca="1">IFERROR(__xludf.DUMMYFUNCTION("IMPORTRANGE(""https://docs.google.com/spreadsheets/d/1IYY_tgx_IHuhSq3AJ5eI5OnqOPBNLWSHKh2a30DoXe8/edit?usp=sharing"",""สตูล!J135"")"),0)</f>
        <v>0</v>
      </c>
      <c r="K210" s="231"/>
      <c r="L210" s="176"/>
      <c r="M210" s="176"/>
      <c r="N210" s="176"/>
      <c r="O210" s="189"/>
      <c r="P210" s="189"/>
    </row>
    <row r="211" spans="1:16" ht="21.75" customHeight="1" x14ac:dyDescent="0.35">
      <c r="A211" s="183"/>
      <c r="B211" s="184"/>
      <c r="C211" s="184"/>
      <c r="D211" s="201"/>
      <c r="E211" s="202" t="s">
        <v>47</v>
      </c>
      <c r="F211" s="203"/>
      <c r="G211" s="204"/>
      <c r="H211" s="194"/>
      <c r="I211" s="195"/>
      <c r="J211" s="195">
        <f ca="1">IFERROR(__xludf.DUMMYFUNCTION("IMPORTRANGE(""https://docs.google.com/spreadsheets/d/1IYY_tgx_IHuhSq3AJ5eI5OnqOPBNLWSHKh2a30DoXe8/edit?usp=sharing"",""สตูล!J136"")"),0)</f>
        <v>0</v>
      </c>
      <c r="K211" s="231"/>
      <c r="L211" s="176"/>
      <c r="M211" s="176"/>
      <c r="N211" s="176"/>
      <c r="O211" s="189"/>
      <c r="P211" s="189"/>
    </row>
    <row r="212" spans="1:16" ht="21.75" customHeight="1" x14ac:dyDescent="0.35">
      <c r="A212" s="183"/>
      <c r="B212" s="184"/>
      <c r="C212" s="184"/>
      <c r="D212" s="201"/>
      <c r="E212" s="202" t="s">
        <v>48</v>
      </c>
      <c r="F212" s="203"/>
      <c r="G212" s="204"/>
      <c r="H212" s="194"/>
      <c r="I212" s="195"/>
      <c r="J212" s="195">
        <f ca="1">IFERROR(__xludf.DUMMYFUNCTION("IMPORTRANGE(""https://docs.google.com/spreadsheets/d/1IYY_tgx_IHuhSq3AJ5eI5OnqOPBNLWSHKh2a30DoXe8/edit?usp=sharing"",""สตูล!J137"")"),0)</f>
        <v>0</v>
      </c>
      <c r="K212" s="231"/>
      <c r="L212" s="176"/>
      <c r="M212" s="176"/>
      <c r="N212" s="176"/>
      <c r="O212" s="189"/>
      <c r="P212" s="189"/>
    </row>
    <row r="213" spans="1:16" ht="21.75" customHeight="1" x14ac:dyDescent="0.35">
      <c r="A213" s="183"/>
      <c r="B213" s="184"/>
      <c r="C213" s="184"/>
      <c r="D213" s="201"/>
      <c r="E213" s="206"/>
      <c r="F213" s="203" t="s">
        <v>95</v>
      </c>
      <c r="G213" s="204"/>
      <c r="H213" s="188" t="s">
        <v>37</v>
      </c>
      <c r="I213" s="195">
        <f ca="1">IFERROR(__xludf.DUMMYFUNCTION("IMPORTRANGE(""https://docs.google.com/spreadsheets/d/1IYY_tgx_IHuhSq3AJ5eI5OnqOPBNLWSHKh2a30DoXe8/edit?usp=sharing"",""สตูล!I138"")"),0)</f>
        <v>0</v>
      </c>
      <c r="J213" s="211">
        <f ca="1">IFERROR(__xludf.DUMMYFUNCTION("IMPORTRANGE(""https://docs.google.com/spreadsheets/d/1IYY_tgx_IHuhSq3AJ5eI5OnqOPBNLWSHKh2a30DoXe8/edit?usp=sharing"",""สตูล!J138"")"),0)</f>
        <v>0</v>
      </c>
      <c r="K213" s="231">
        <f ca="1">IF(I213&gt;0,J213*100/I213,0)</f>
        <v>0</v>
      </c>
      <c r="L213" s="176"/>
      <c r="M213" s="176"/>
      <c r="N213" s="173"/>
      <c r="O213" s="176"/>
      <c r="P213" s="176"/>
    </row>
    <row r="214" spans="1:16" ht="21.75" customHeight="1" x14ac:dyDescent="0.35">
      <c r="A214" s="183"/>
      <c r="B214" s="184"/>
      <c r="C214" s="184"/>
      <c r="D214" s="201"/>
      <c r="E214" s="206"/>
      <c r="F214" s="202" t="s">
        <v>53</v>
      </c>
      <c r="G214" s="204"/>
      <c r="H214" s="188"/>
      <c r="I214" s="195"/>
      <c r="J214" s="195"/>
      <c r="K214" s="231"/>
      <c r="L214" s="176"/>
      <c r="M214" s="176"/>
      <c r="N214" s="176"/>
      <c r="O214" s="189"/>
      <c r="P214" s="189"/>
    </row>
    <row r="215" spans="1:16" ht="21.75" customHeight="1" x14ac:dyDescent="0.35">
      <c r="A215" s="183"/>
      <c r="B215" s="184"/>
      <c r="C215" s="184"/>
      <c r="D215" s="201"/>
      <c r="E215" s="206"/>
      <c r="F215" s="203"/>
      <c r="G215" s="233" t="s">
        <v>96</v>
      </c>
      <c r="H215" s="188" t="s">
        <v>37</v>
      </c>
      <c r="I215" s="195">
        <f ca="1">IFERROR(__xludf.DUMMYFUNCTION("IMPORTRANGE(""https://docs.google.com/spreadsheets/d/1IYY_tgx_IHuhSq3AJ5eI5OnqOPBNLWSHKh2a30DoXe8/edit?usp=sharing"",""สตูล!I140"")"),0)</f>
        <v>0</v>
      </c>
      <c r="J215" s="211">
        <f ca="1">IFERROR(__xludf.DUMMYFUNCTION("IMPORTRANGE(""https://docs.google.com/spreadsheets/d/1IYY_tgx_IHuhSq3AJ5eI5OnqOPBNLWSHKh2a30DoXe8/edit?usp=sharing"",""สตูล!J140"")"),0)</f>
        <v>0</v>
      </c>
      <c r="K215" s="231">
        <f t="shared" ref="K215:K216" ca="1" si="71">IF(I215&gt;0,J215*100/I215,0)</f>
        <v>0</v>
      </c>
      <c r="L215" s="176"/>
      <c r="M215" s="176"/>
      <c r="N215" s="173"/>
      <c r="O215" s="176"/>
      <c r="P215" s="176"/>
    </row>
    <row r="216" spans="1:16" ht="21.75" customHeight="1" x14ac:dyDescent="0.35">
      <c r="A216" s="183"/>
      <c r="B216" s="184"/>
      <c r="C216" s="184"/>
      <c r="D216" s="201"/>
      <c r="E216" s="206"/>
      <c r="F216" s="203"/>
      <c r="G216" s="233" t="s">
        <v>97</v>
      </c>
      <c r="H216" s="188" t="s">
        <v>59</v>
      </c>
      <c r="I216" s="195">
        <f ca="1">IFERROR(__xludf.DUMMYFUNCTION("IMPORTRANGE(""https://docs.google.com/spreadsheets/d/1IYY_tgx_IHuhSq3AJ5eI5OnqOPBNLWSHKh2a30DoXe8/edit?usp=sharing"",""สตูล!I141"")"),0)</f>
        <v>0</v>
      </c>
      <c r="J216" s="211">
        <f ca="1">IFERROR(__xludf.DUMMYFUNCTION("IMPORTRANGE(""https://docs.google.com/spreadsheets/d/1IYY_tgx_IHuhSq3AJ5eI5OnqOPBNLWSHKh2a30DoXe8/edit?usp=sharing"",""สตูล!J141"")"),0)</f>
        <v>0</v>
      </c>
      <c r="K216" s="231">
        <f t="shared" ca="1" si="71"/>
        <v>0</v>
      </c>
      <c r="L216" s="176"/>
      <c r="M216" s="176"/>
      <c r="N216" s="173"/>
      <c r="O216" s="176"/>
      <c r="P216" s="176"/>
    </row>
    <row r="217" spans="1:16" ht="21.75" customHeight="1" x14ac:dyDescent="0.35">
      <c r="A217" s="183"/>
      <c r="B217" s="184"/>
      <c r="C217" s="184"/>
      <c r="D217" s="201"/>
      <c r="E217" s="202" t="s">
        <v>54</v>
      </c>
      <c r="F217" s="203"/>
      <c r="G217" s="204"/>
      <c r="H217" s="194"/>
      <c r="I217" s="195"/>
      <c r="J217" s="195">
        <f ca="1">IFERROR(__xludf.DUMMYFUNCTION("IMPORTRANGE(""https://docs.google.com/spreadsheets/d/1IYY_tgx_IHuhSq3AJ5eI5OnqOPBNLWSHKh2a30DoXe8/edit?usp=sharing"",""สตูล!J142"")"),0)</f>
        <v>0</v>
      </c>
      <c r="K217" s="231"/>
      <c r="L217" s="176"/>
      <c r="M217" s="176"/>
      <c r="N217" s="176"/>
      <c r="O217" s="189"/>
      <c r="P217" s="189"/>
    </row>
    <row r="218" spans="1:16" ht="21.75" customHeight="1" x14ac:dyDescent="0.35">
      <c r="A218" s="241"/>
      <c r="B218" s="242"/>
      <c r="C218" s="242"/>
      <c r="D218" s="243">
        <v>3</v>
      </c>
      <c r="E218" s="244" t="s">
        <v>55</v>
      </c>
      <c r="F218" s="245"/>
      <c r="G218" s="246"/>
      <c r="H218" s="247"/>
      <c r="I218" s="248"/>
      <c r="J218" s="249">
        <f ca="1">IFERROR(__xludf.DUMMYFUNCTION("IMPORTRANGE(""https://docs.google.com/spreadsheets/d/1IYY_tgx_IHuhSq3AJ5eI5OnqOPBNLWSHKh2a30DoXe8/edit?usp=sharing"",""สตูล!J143"")"),0)</f>
        <v>0</v>
      </c>
      <c r="K218" s="250"/>
      <c r="L218" s="251"/>
      <c r="M218" s="251"/>
      <c r="N218" s="251"/>
      <c r="O218" s="252"/>
      <c r="P218" s="252"/>
    </row>
    <row r="219" spans="1:16" ht="21.75" customHeight="1" x14ac:dyDescent="0.35">
      <c r="A219" s="269"/>
      <c r="B219" s="270" t="s">
        <v>98</v>
      </c>
      <c r="C219" s="271"/>
      <c r="D219" s="270"/>
      <c r="E219" s="270"/>
      <c r="F219" s="270"/>
      <c r="G219" s="272"/>
      <c r="H219" s="273" t="s">
        <v>37</v>
      </c>
      <c r="I219" s="274">
        <f ca="1">IFERROR(__xludf.DUMMYFUNCTION("IMPORTRANGE(""https://docs.google.com/spreadsheets/d/1IYY_tgx_IHuhSq3AJ5eI5OnqOPBNLWSHKh2a30DoXe8/edit?usp=sharing"",""สตูล!I144"")"),18)</f>
        <v>18</v>
      </c>
      <c r="J219" s="274">
        <f ca="1">IFERROR(__xludf.DUMMYFUNCTION("IMPORTRANGE(""https://docs.google.com/spreadsheets/d/1IYY_tgx_IHuhSq3AJ5eI5OnqOPBNLWSHKh2a30DoXe8/edit?usp=sharing"",""สตูล!J144"")"),18)</f>
        <v>18</v>
      </c>
      <c r="K219" s="275">
        <f ca="1">IF(I219&gt;0,J219*100/I219,0)</f>
        <v>100</v>
      </c>
      <c r="L219" s="276"/>
      <c r="M219" s="276"/>
      <c r="N219" s="276"/>
      <c r="O219" s="275"/>
      <c r="P219" s="275"/>
    </row>
    <row r="220" spans="1:16" ht="21.75" customHeight="1" x14ac:dyDescent="0.45">
      <c r="A220" s="150"/>
      <c r="B220" s="151"/>
      <c r="C220" s="152" t="s">
        <v>16</v>
      </c>
      <c r="D220" s="552" t="s">
        <v>17</v>
      </c>
      <c r="E220" s="543"/>
      <c r="F220" s="543"/>
      <c r="G220" s="543"/>
      <c r="H220" s="153" t="s">
        <v>12</v>
      </c>
      <c r="I220" s="168"/>
      <c r="J220" s="168"/>
      <c r="K220" s="169"/>
      <c r="L220" s="156">
        <f t="shared" ref="L220:N220" ca="1" si="72">L221+L222</f>
        <v>23870</v>
      </c>
      <c r="M220" s="156">
        <f t="shared" ca="1" si="72"/>
        <v>23870</v>
      </c>
      <c r="N220" s="156">
        <f t="shared" ca="1" si="72"/>
        <v>23870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8"/>
      <c r="J221" s="168"/>
      <c r="K221" s="169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8"/>
      <c r="J222" s="168"/>
      <c r="K222" s="169"/>
      <c r="L222" s="161">
        <f t="shared" ref="L222:N222" ca="1" si="76">L224+L228</f>
        <v>23870</v>
      </c>
      <c r="M222" s="161">
        <f t="shared" ca="1" si="76"/>
        <v>23870</v>
      </c>
      <c r="N222" s="161">
        <f t="shared" ca="1" si="76"/>
        <v>23870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5">
      <c r="A223" s="162"/>
      <c r="B223" s="163"/>
      <c r="C223" s="163" t="s">
        <v>16</v>
      </c>
      <c r="D223" s="164" t="s">
        <v>38</v>
      </c>
      <c r="E223" s="165"/>
      <c r="F223" s="165"/>
      <c r="G223" s="166" t="s">
        <v>39</v>
      </c>
      <c r="H223" s="167" t="s">
        <v>12</v>
      </c>
      <c r="I223" s="168" t="s">
        <v>40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 x14ac:dyDescent="0.35">
      <c r="A224" s="162"/>
      <c r="B224" s="163"/>
      <c r="C224" s="163"/>
      <c r="D224" s="172"/>
      <c r="E224" s="165"/>
      <c r="F224" s="165" t="s">
        <v>40</v>
      </c>
      <c r="G224" s="166" t="s">
        <v>41</v>
      </c>
      <c r="H224" s="167" t="s">
        <v>12</v>
      </c>
      <c r="I224" s="168"/>
      <c r="J224" s="168"/>
      <c r="K224" s="169"/>
      <c r="L224" s="173">
        <f ca="1">L225+L226</f>
        <v>23870</v>
      </c>
      <c r="M224" s="174">
        <f ca="1">IFERROR(__xludf.DUMMYFUNCTION("IMPORTRANGE(""https://docs.google.com/spreadsheets/d/1Yj_ptqi66GCucihVvJfMjLAmec39IyEx_6qawtMGysU/edit?usp=sharing"",""สบก!BS93"")"),23870)</f>
        <v>23870</v>
      </c>
      <c r="N224" s="175">
        <f ca="1">IFERROR(__xludf.DUMMYFUNCTION("IMPORTRANGE(""https://docs.google.com/spreadsheets/d/1Yj_ptqi66GCucihVvJfMjLAmec39IyEx_6qawtMGysU/edit?usp=sharing"",""สบก!BT93"")"),23870)</f>
        <v>23870</v>
      </c>
      <c r="O224" s="176">
        <f ca="1">IF(L224&gt;0,N224*100/L224,0)</f>
        <v>100</v>
      </c>
      <c r="P224" s="176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2"/>
      <c r="E225" s="165"/>
      <c r="F225" s="165"/>
      <c r="G225" s="177" t="s">
        <v>42</v>
      </c>
      <c r="H225" s="167" t="s">
        <v>12</v>
      </c>
      <c r="I225" s="168"/>
      <c r="J225" s="168"/>
      <c r="K225" s="169"/>
      <c r="L225" s="174">
        <f ca="1">IFERROR(__xludf.DUMMYFUNCTION("IMPORTRANGE(""https://docs.google.com/spreadsheets/d/1Yj_ptqi66GCucihVvJfMjLAmec39IyEx_6qawtMGysU/edit?usp=sharing"",""สบก!BO93"")"),0)</f>
        <v>0</v>
      </c>
      <c r="M225" s="173"/>
      <c r="N225" s="173"/>
      <c r="O225" s="176"/>
      <c r="P225" s="176"/>
    </row>
    <row r="226" spans="1:16" ht="21.75" customHeight="1" x14ac:dyDescent="0.35">
      <c r="A226" s="162"/>
      <c r="B226" s="163"/>
      <c r="C226" s="163"/>
      <c r="D226" s="172"/>
      <c r="E226" s="165"/>
      <c r="F226" s="165"/>
      <c r="G226" s="177" t="s">
        <v>43</v>
      </c>
      <c r="H226" s="167" t="s">
        <v>12</v>
      </c>
      <c r="I226" s="168"/>
      <c r="J226" s="168"/>
      <c r="K226" s="169"/>
      <c r="L226" s="174">
        <f ca="1">IFERROR(__xludf.DUMMYFUNCTION("IMPORTRANGE(""https://docs.google.com/spreadsheets/d/1Yj_ptqi66GCucihVvJfMjLAmec39IyEx_6qawtMGysU/edit?usp=sharing"",""สบก!BP93"")"),23870)</f>
        <v>23870</v>
      </c>
      <c r="M226" s="173"/>
      <c r="N226" s="173"/>
      <c r="O226" s="176"/>
      <c r="P226" s="176"/>
    </row>
    <row r="227" spans="1:16" ht="21.75" customHeight="1" x14ac:dyDescent="0.45">
      <c r="A227" s="178"/>
      <c r="B227" s="81"/>
      <c r="C227" s="82" t="s">
        <v>16</v>
      </c>
      <c r="D227" s="549" t="s">
        <v>23</v>
      </c>
      <c r="E227" s="545"/>
      <c r="F227" s="89"/>
      <c r="G227" s="83" t="s">
        <v>18</v>
      </c>
      <c r="H227" s="179" t="s">
        <v>12</v>
      </c>
      <c r="I227" s="208"/>
      <c r="J227" s="208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80"/>
      <c r="B228" s="95"/>
      <c r="C228" s="95"/>
      <c r="D228" s="181"/>
      <c r="E228" s="96"/>
      <c r="F228" s="96"/>
      <c r="G228" s="97" t="s">
        <v>19</v>
      </c>
      <c r="H228" s="182" t="s">
        <v>12</v>
      </c>
      <c r="I228" s="208"/>
      <c r="J228" s="208"/>
      <c r="K228" s="296"/>
      <c r="L228" s="91">
        <f ca="1">IFERROR(__xludf.DUMMYFUNCTION("IMPORTRANGE(""https://docs.google.com/spreadsheets/d/1Yj_ptqi66GCucihVvJfMjLAmec39IyEx_6qawtMGysU/edit?usp=sharing"",""สบก!BQ93"")"),0)</f>
        <v>0</v>
      </c>
      <c r="M228" s="101"/>
      <c r="N228" s="91">
        <f ca="1">IFERROR(__xludf.DUMMYFUNCTION("IMPORTRANGE(""https://docs.google.com/spreadsheets/d/1Yj_ptqi66GCucihVvJfMjLAmec39IyEx_6qawtMGysU/edit?usp=sharing"",""สบก!BU93"")"),0)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3"/>
      <c r="B229" s="297"/>
      <c r="C229" s="271" t="s">
        <v>99</v>
      </c>
      <c r="D229" s="270"/>
      <c r="E229" s="270"/>
      <c r="F229" s="270"/>
      <c r="G229" s="272"/>
      <c r="H229" s="273" t="s">
        <v>37</v>
      </c>
      <c r="I229" s="274">
        <f ca="1">IFERROR(__xludf.DUMMYFUNCTION("IMPORTRANGE(""https://docs.google.com/spreadsheets/d/1IYY_tgx_IHuhSq3AJ5eI5OnqOPBNLWSHKh2a30DoXe8/edit?usp=sharing"",""สตูล!I149"")"),18)</f>
        <v>18</v>
      </c>
      <c r="J229" s="274">
        <f ca="1">IFERROR(__xludf.DUMMYFUNCTION("IMPORTRANGE(""https://docs.google.com/spreadsheets/d/1IYY_tgx_IHuhSq3AJ5eI5OnqOPBNLWSHKh2a30DoXe8/edit?usp=sharing"",""สตูล!J149"")"),18)</f>
        <v>18</v>
      </c>
      <c r="K229" s="275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3"/>
      <c r="B230" s="184"/>
      <c r="C230" s="163" t="s">
        <v>16</v>
      </c>
      <c r="D230" s="185" t="s">
        <v>44</v>
      </c>
      <c r="E230" s="186"/>
      <c r="F230" s="186"/>
      <c r="G230" s="187"/>
      <c r="H230" s="188"/>
      <c r="I230" s="168"/>
      <c r="J230" s="168"/>
      <c r="K230" s="169"/>
      <c r="L230" s="189"/>
      <c r="M230" s="189"/>
      <c r="N230" s="189"/>
      <c r="O230" s="189"/>
      <c r="P230" s="189"/>
    </row>
    <row r="231" spans="1:16" ht="21.75" customHeight="1" x14ac:dyDescent="0.35">
      <c r="A231" s="183"/>
      <c r="B231" s="184"/>
      <c r="C231" s="184"/>
      <c r="D231" s="190">
        <v>1</v>
      </c>
      <c r="E231" s="191" t="s">
        <v>45</v>
      </c>
      <c r="F231" s="192"/>
      <c r="G231" s="193"/>
      <c r="H231" s="194"/>
      <c r="I231" s="195"/>
      <c r="J231" s="205">
        <f ca="1">IFERROR(__xludf.DUMMYFUNCTION("IMPORTRANGE(""https://docs.google.com/spreadsheets/d/1IYY_tgx_IHuhSq3AJ5eI5OnqOPBNLWSHKh2a30DoXe8/edit?usp=sharing"",""สตูล!J151"")"),0)</f>
        <v>0</v>
      </c>
      <c r="K231" s="169"/>
      <c r="L231" s="189"/>
      <c r="M231" s="189"/>
      <c r="N231" s="189"/>
      <c r="O231" s="189"/>
      <c r="P231" s="189"/>
    </row>
    <row r="232" spans="1:16" ht="21.75" customHeight="1" x14ac:dyDescent="0.35">
      <c r="A232" s="183"/>
      <c r="B232" s="184"/>
      <c r="C232" s="184"/>
      <c r="D232" s="197">
        <v>2</v>
      </c>
      <c r="E232" s="198" t="s">
        <v>46</v>
      </c>
      <c r="F232" s="199"/>
      <c r="G232" s="200"/>
      <c r="H232" s="194"/>
      <c r="I232" s="195"/>
      <c r="J232" s="196">
        <f ca="1">IFERROR(__xludf.DUMMYFUNCTION("IMPORTRANGE(""https://docs.google.com/spreadsheets/d/1IYY_tgx_IHuhSq3AJ5eI5OnqOPBNLWSHKh2a30DoXe8/edit?usp=sharing"",""สตูล!J152"")"),1)</f>
        <v>1</v>
      </c>
      <c r="K232" s="169"/>
      <c r="L232" s="189" t="s">
        <v>40</v>
      </c>
      <c r="M232" s="189"/>
      <c r="N232" s="189" t="s">
        <v>40</v>
      </c>
      <c r="O232" s="189"/>
      <c r="P232" s="189"/>
    </row>
    <row r="233" spans="1:16" ht="21.75" customHeight="1" x14ac:dyDescent="0.35">
      <c r="A233" s="183"/>
      <c r="B233" s="184"/>
      <c r="C233" s="184"/>
      <c r="D233" s="201"/>
      <c r="E233" s="202" t="s">
        <v>47</v>
      </c>
      <c r="F233" s="203"/>
      <c r="G233" s="204"/>
      <c r="H233" s="194"/>
      <c r="I233" s="195"/>
      <c r="J233" s="196">
        <f ca="1">IFERROR(__xludf.DUMMYFUNCTION("IMPORTRANGE(""https://docs.google.com/spreadsheets/d/1IYY_tgx_IHuhSq3AJ5eI5OnqOPBNLWSHKh2a30DoXe8/edit?usp=sharing"",""สตูล!J153"")"),1)</f>
        <v>1</v>
      </c>
      <c r="K233" s="169"/>
      <c r="L233" s="189"/>
      <c r="M233" s="189"/>
      <c r="N233" s="189"/>
      <c r="O233" s="189"/>
      <c r="P233" s="189"/>
    </row>
    <row r="234" spans="1:16" ht="21.75" customHeight="1" x14ac:dyDescent="0.35">
      <c r="A234" s="183"/>
      <c r="B234" s="184"/>
      <c r="C234" s="184"/>
      <c r="D234" s="201"/>
      <c r="E234" s="202" t="s">
        <v>48</v>
      </c>
      <c r="F234" s="203"/>
      <c r="G234" s="204"/>
      <c r="H234" s="194"/>
      <c r="I234" s="195"/>
      <c r="J234" s="205">
        <f ca="1">IFERROR(__xludf.DUMMYFUNCTION("IMPORTRANGE(""https://docs.google.com/spreadsheets/d/1IYY_tgx_IHuhSq3AJ5eI5OnqOPBNLWSHKh2a30DoXe8/edit?usp=sharing"",""สตูล!J154"")"),1)</f>
        <v>1</v>
      </c>
      <c r="K234" s="169"/>
      <c r="L234" s="189"/>
      <c r="M234" s="189"/>
      <c r="N234" s="189"/>
      <c r="O234" s="189"/>
      <c r="P234" s="189"/>
    </row>
    <row r="235" spans="1:16" ht="21.75" customHeight="1" x14ac:dyDescent="0.35">
      <c r="A235" s="183"/>
      <c r="B235" s="184"/>
      <c r="C235" s="184"/>
      <c r="D235" s="201"/>
      <c r="E235" s="206"/>
      <c r="F235" s="203"/>
      <c r="G235" s="299" t="s">
        <v>70</v>
      </c>
      <c r="H235" s="194" t="s">
        <v>37</v>
      </c>
      <c r="I235" s="195">
        <f ca="1">IFERROR(__xludf.DUMMYFUNCTION("IMPORTRANGE(""https://docs.google.com/spreadsheets/d/1IYY_tgx_IHuhSq3AJ5eI5OnqOPBNLWSHKh2a30DoXe8/edit?usp=sharing"",""สตูล!I155"")"),18)</f>
        <v>18</v>
      </c>
      <c r="J235" s="196">
        <f ca="1">IFERROR(__xludf.DUMMYFUNCTION("IMPORTRANGE(""https://docs.google.com/spreadsheets/d/1IYY_tgx_IHuhSq3AJ5eI5OnqOPBNLWSHKh2a30DoXe8/edit?usp=sharing"",""สตูล!J155"")"),18)</f>
        <v>18</v>
      </c>
      <c r="K235" s="169">
        <f ca="1">IF(I235&gt;0,J235*100/I235,0)</f>
        <v>100</v>
      </c>
      <c r="L235" s="189"/>
      <c r="M235" s="189"/>
      <c r="N235" s="189"/>
      <c r="O235" s="189"/>
      <c r="P235" s="189"/>
    </row>
    <row r="236" spans="1:16" ht="21.75" customHeight="1" x14ac:dyDescent="0.35">
      <c r="A236" s="183"/>
      <c r="B236" s="184"/>
      <c r="C236" s="184"/>
      <c r="D236" s="201"/>
      <c r="E236" s="202" t="s">
        <v>54</v>
      </c>
      <c r="F236" s="203"/>
      <c r="G236" s="204"/>
      <c r="H236" s="194"/>
      <c r="I236" s="195"/>
      <c r="J236" s="205">
        <f ca="1">IFERROR(__xludf.DUMMYFUNCTION("IMPORTRANGE(""https://docs.google.com/spreadsheets/d/1IYY_tgx_IHuhSq3AJ5eI5OnqOPBNLWSHKh2a30DoXe8/edit?usp=sharing"",""สตูล!J156"")"),0)</f>
        <v>0</v>
      </c>
      <c r="K236" s="169"/>
      <c r="L236" s="189"/>
      <c r="M236" s="189"/>
      <c r="N236" s="189"/>
      <c r="O236" s="189"/>
      <c r="P236" s="189"/>
    </row>
    <row r="237" spans="1:16" ht="21.75" customHeight="1" x14ac:dyDescent="0.35">
      <c r="A237" s="183"/>
      <c r="B237" s="184"/>
      <c r="C237" s="184"/>
      <c r="D237" s="213">
        <v>3</v>
      </c>
      <c r="E237" s="214" t="s">
        <v>55</v>
      </c>
      <c r="F237" s="215"/>
      <c r="G237" s="216"/>
      <c r="H237" s="194"/>
      <c r="I237" s="195"/>
      <c r="J237" s="217">
        <f ca="1">IFERROR(__xludf.DUMMYFUNCTION("IMPORTRANGE(""https://docs.google.com/spreadsheets/d/1IYY_tgx_IHuhSq3AJ5eI5OnqOPBNLWSHKh2a30DoXe8/edit?usp=sharing"",""สตูล!J157"")"),0)</f>
        <v>0</v>
      </c>
      <c r="K237" s="169"/>
      <c r="L237" s="189"/>
      <c r="M237" s="189"/>
      <c r="N237" s="189"/>
      <c r="O237" s="189"/>
      <c r="P237" s="189"/>
    </row>
    <row r="238" spans="1:16" ht="21.75" customHeight="1" x14ac:dyDescent="0.35">
      <c r="A238" s="183"/>
      <c r="B238" s="184"/>
      <c r="C238" s="271" t="s">
        <v>100</v>
      </c>
      <c r="D238" s="300"/>
      <c r="E238" s="270"/>
      <c r="F238" s="270"/>
      <c r="G238" s="272"/>
      <c r="H238" s="273" t="s">
        <v>37</v>
      </c>
      <c r="I238" s="274">
        <f ca="1">IFERROR(__xludf.DUMMYFUNCTION("IMPORTRANGE(""https://docs.google.com/spreadsheets/d/1IYY_tgx_IHuhSq3AJ5eI5OnqOPBNLWSHKh2a30DoXe8/edit?usp=sharing"",""สตูล!I158"")"),0)</f>
        <v>0</v>
      </c>
      <c r="J238" s="274">
        <f ca="1">IFERROR(__xludf.DUMMYFUNCTION("IMPORTRANGE(""https://docs.google.com/spreadsheets/d/1IYY_tgx_IHuhSq3AJ5eI5OnqOPBNLWSHKh2a30DoXe8/edit?usp=sharing"",""สตูล!J158"")"),0)</f>
        <v>0</v>
      </c>
      <c r="K238" s="275">
        <f ca="1">IF(I238&gt;0,J238*100/I238,0)</f>
        <v>0</v>
      </c>
      <c r="L238" s="189"/>
      <c r="M238" s="189"/>
      <c r="N238" s="189"/>
      <c r="O238" s="189"/>
      <c r="P238" s="189"/>
    </row>
    <row r="239" spans="1:16" ht="21.75" customHeight="1" x14ac:dyDescent="0.35">
      <c r="A239" s="183"/>
      <c r="B239" s="184"/>
      <c r="C239" s="163" t="s">
        <v>16</v>
      </c>
      <c r="D239" s="185" t="s">
        <v>44</v>
      </c>
      <c r="E239" s="186"/>
      <c r="F239" s="186"/>
      <c r="G239" s="187"/>
      <c r="H239" s="188"/>
      <c r="I239" s="168"/>
      <c r="J239" s="168"/>
      <c r="K239" s="169"/>
      <c r="L239" s="189"/>
      <c r="M239" s="189"/>
      <c r="N239" s="189"/>
      <c r="O239" s="189"/>
      <c r="P239" s="189"/>
    </row>
    <row r="240" spans="1:16" ht="21.75" customHeight="1" x14ac:dyDescent="0.35">
      <c r="A240" s="183"/>
      <c r="B240" s="184"/>
      <c r="C240" s="184"/>
      <c r="D240" s="190">
        <v>1</v>
      </c>
      <c r="E240" s="191" t="s">
        <v>45</v>
      </c>
      <c r="F240" s="192"/>
      <c r="G240" s="193"/>
      <c r="H240" s="194"/>
      <c r="I240" s="195"/>
      <c r="J240" s="195" t="str">
        <f ca="1">IFERROR(__xludf.DUMMYFUNCTION("IMPORTRANGE(""https://docs.google.com/spreadsheets/d/1IYY_tgx_IHuhSq3AJ5eI5OnqOPBNLWSHKh2a30DoXe8/edit?usp=sharing"",""สตูล!J159"")"),"")</f>
        <v/>
      </c>
      <c r="K240" s="169"/>
      <c r="L240" s="189"/>
      <c r="M240" s="189"/>
      <c r="N240" s="189"/>
      <c r="O240" s="189"/>
      <c r="P240" s="189"/>
    </row>
    <row r="241" spans="1:16" ht="21.75" customHeight="1" x14ac:dyDescent="0.35">
      <c r="A241" s="183"/>
      <c r="B241" s="184"/>
      <c r="C241" s="184"/>
      <c r="D241" s="197">
        <v>2</v>
      </c>
      <c r="E241" s="198" t="s">
        <v>46</v>
      </c>
      <c r="F241" s="199"/>
      <c r="G241" s="200"/>
      <c r="H241" s="194"/>
      <c r="I241" s="195"/>
      <c r="J241" s="195">
        <f ca="1">IFERROR(__xludf.DUMMYFUNCTION("IMPORTRANGE(""https://docs.google.com/spreadsheets/d/1IYY_tgx_IHuhSq3AJ5eI5OnqOPBNLWSHKh2a30DoXe8/edit?usp=sharing"",""สตูล!J161"")"),0)</f>
        <v>0</v>
      </c>
      <c r="K241" s="169"/>
      <c r="L241" s="189" t="s">
        <v>40</v>
      </c>
      <c r="M241" s="189"/>
      <c r="N241" s="189" t="s">
        <v>40</v>
      </c>
      <c r="O241" s="189"/>
      <c r="P241" s="189"/>
    </row>
    <row r="242" spans="1:16" ht="21.75" customHeight="1" x14ac:dyDescent="0.35">
      <c r="A242" s="183"/>
      <c r="B242" s="184"/>
      <c r="C242" s="184"/>
      <c r="D242" s="201"/>
      <c r="E242" s="202" t="s">
        <v>47</v>
      </c>
      <c r="F242" s="203"/>
      <c r="G242" s="204"/>
      <c r="H242" s="194"/>
      <c r="I242" s="195"/>
      <c r="J242" s="195">
        <f ca="1">IFERROR(__xludf.DUMMYFUNCTION("IMPORTRANGE(""https://docs.google.com/spreadsheets/d/1IYY_tgx_IHuhSq3AJ5eI5OnqOPBNLWSHKh2a30DoXe8/edit?usp=sharing"",""สตูล!J162"")"),0)</f>
        <v>0</v>
      </c>
      <c r="K242" s="169"/>
      <c r="L242" s="189"/>
      <c r="M242" s="189"/>
      <c r="N242" s="189"/>
      <c r="O242" s="189"/>
      <c r="P242" s="189"/>
    </row>
    <row r="243" spans="1:16" ht="21.75" customHeight="1" x14ac:dyDescent="0.35">
      <c r="A243" s="183"/>
      <c r="B243" s="184"/>
      <c r="C243" s="184"/>
      <c r="D243" s="201"/>
      <c r="E243" s="202" t="s">
        <v>48</v>
      </c>
      <c r="F243" s="203"/>
      <c r="G243" s="204"/>
      <c r="H243" s="194"/>
      <c r="I243" s="195"/>
      <c r="J243" s="195">
        <f ca="1">IFERROR(__xludf.DUMMYFUNCTION("IMPORTRANGE(""https://docs.google.com/spreadsheets/d/1IYY_tgx_IHuhSq3AJ5eI5OnqOPBNLWSHKh2a30DoXe8/edit?usp=sharing"",""สตูล!J163"")"),0)</f>
        <v>0</v>
      </c>
      <c r="K243" s="169"/>
      <c r="L243" s="189"/>
      <c r="M243" s="189"/>
      <c r="N243" s="189"/>
      <c r="O243" s="189"/>
      <c r="P243" s="189"/>
    </row>
    <row r="244" spans="1:16" ht="21.75" customHeight="1" x14ac:dyDescent="0.35">
      <c r="A244" s="183"/>
      <c r="B244" s="184"/>
      <c r="C244" s="184"/>
      <c r="D244" s="201"/>
      <c r="E244" s="203"/>
      <c r="F244" s="202" t="s">
        <v>101</v>
      </c>
      <c r="G244" s="203"/>
      <c r="H244" s="194" t="s">
        <v>37</v>
      </c>
      <c r="I244" s="211">
        <f ca="1">IFERROR(__xludf.DUMMYFUNCTION("IMPORTRANGE(""https://docs.google.com/spreadsheets/d/1IYY_tgx_IHuhSq3AJ5eI5OnqOPBNLWSHKh2a30DoXe8/edit?usp=sharing"",""สตูล!I164"")"),0)</f>
        <v>0</v>
      </c>
      <c r="J244" s="195">
        <f ca="1">IFERROR(__xludf.DUMMYFUNCTION("IMPORTRANGE(""https://docs.google.com/spreadsheets/d/1IYY_tgx_IHuhSq3AJ5eI5OnqOPBNLWSHKh2a30DoXe8/edit?usp=sharing"",""สตูล!J164"")"),0)</f>
        <v>0</v>
      </c>
      <c r="K244" s="169">
        <f ca="1">IF(I244&gt;0,J244*100/I244,0)</f>
        <v>0</v>
      </c>
      <c r="L244" s="189"/>
      <c r="M244" s="189"/>
      <c r="N244" s="189"/>
      <c r="O244" s="189"/>
      <c r="P244" s="189"/>
    </row>
    <row r="245" spans="1:16" ht="21.75" customHeight="1" x14ac:dyDescent="0.35">
      <c r="A245" s="183"/>
      <c r="B245" s="184"/>
      <c r="C245" s="184"/>
      <c r="D245" s="201"/>
      <c r="E245" s="202" t="s">
        <v>54</v>
      </c>
      <c r="F245" s="203"/>
      <c r="G245" s="204"/>
      <c r="H245" s="194"/>
      <c r="I245" s="195"/>
      <c r="J245" s="195">
        <f ca="1">IFERROR(__xludf.DUMMYFUNCTION("IMPORTRANGE(""https://docs.google.com/spreadsheets/d/1IYY_tgx_IHuhSq3AJ5eI5OnqOPBNLWSHKh2a30DoXe8/edit?usp=sharing"",""สตูล!J165"")"),0)</f>
        <v>0</v>
      </c>
      <c r="K245" s="169"/>
      <c r="L245" s="189"/>
      <c r="M245" s="189"/>
      <c r="N245" s="189"/>
      <c r="O245" s="189"/>
      <c r="P245" s="189"/>
    </row>
    <row r="246" spans="1:16" ht="21.75" customHeight="1" x14ac:dyDescent="0.35">
      <c r="A246" s="241"/>
      <c r="B246" s="242"/>
      <c r="C246" s="242"/>
      <c r="D246" s="243">
        <v>3</v>
      </c>
      <c r="E246" s="244" t="s">
        <v>55</v>
      </c>
      <c r="F246" s="245"/>
      <c r="G246" s="246"/>
      <c r="H246" s="247"/>
      <c r="I246" s="248"/>
      <c r="J246" s="249">
        <f ca="1">IFERROR(__xludf.DUMMYFUNCTION("IMPORTRANGE(""https://docs.google.com/spreadsheets/d/1IYY_tgx_IHuhSq3AJ5eI5OnqOPBNLWSHKh2a30DoXe8/edit?usp=sharing"",""สตูล!J166"")"),0)</f>
        <v>0</v>
      </c>
      <c r="K246" s="294"/>
      <c r="L246" s="252"/>
      <c r="M246" s="252"/>
      <c r="N246" s="252"/>
      <c r="O246" s="252"/>
      <c r="P246" s="252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IFERROR(__xludf.DUMMYFUNCTION("IMPORTRANGE(""https://docs.google.com/spreadsheets/d/1IYY_tgx_IHuhSq3AJ5eI5OnqOPBNLWSHKh2a30DoXe8/edit?usp=sharing"",""สตูล!I169"")"),0)</f>
        <v>0</v>
      </c>
      <c r="J249" s="322">
        <f ca="1">IFERROR(__xludf.DUMMYFUNCTION("IMPORTRANGE(""https://docs.google.com/spreadsheets/d/1IYY_tgx_IHuhSq3AJ5eI5OnqOPBNLWSHKh2a30DoXe8/edit?usp=sharing"",""สตูล!J169"")"),0)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52" t="s">
        <v>17</v>
      </c>
      <c r="E250" s="543"/>
      <c r="F250" s="543"/>
      <c r="G250" s="543"/>
      <c r="H250" s="153" t="s">
        <v>12</v>
      </c>
      <c r="I250" s="168"/>
      <c r="J250" s="168"/>
      <c r="K250" s="169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8"/>
      <c r="J251" s="168"/>
      <c r="K251" s="169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8"/>
      <c r="J252" s="168"/>
      <c r="K252" s="169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5">
      <c r="A253" s="162"/>
      <c r="B253" s="163"/>
      <c r="C253" s="163" t="s">
        <v>16</v>
      </c>
      <c r="D253" s="164" t="s">
        <v>38</v>
      </c>
      <c r="E253" s="165"/>
      <c r="F253" s="165"/>
      <c r="G253" s="166" t="s">
        <v>39</v>
      </c>
      <c r="H253" s="167" t="s">
        <v>12</v>
      </c>
      <c r="I253" s="168" t="s">
        <v>40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 x14ac:dyDescent="0.35">
      <c r="A254" s="162"/>
      <c r="B254" s="163"/>
      <c r="C254" s="163"/>
      <c r="D254" s="172"/>
      <c r="E254" s="165"/>
      <c r="F254" s="165" t="s">
        <v>40</v>
      </c>
      <c r="G254" s="166" t="s">
        <v>41</v>
      </c>
      <c r="H254" s="167" t="s">
        <v>12</v>
      </c>
      <c r="I254" s="168"/>
      <c r="J254" s="168"/>
      <c r="K254" s="169"/>
      <c r="L254" s="173">
        <f ca="1">L255+L256</f>
        <v>0</v>
      </c>
      <c r="M254" s="174">
        <f ca="1">IFERROR(__xludf.DUMMYFUNCTION("IMPORTRANGE(""https://docs.google.com/spreadsheets/d/1Yj_ptqi66GCucihVvJfMjLAmec39IyEx_6qawtMGysU/edit?usp=sharing"",""สบก!CB93"")"),0)</f>
        <v>0</v>
      </c>
      <c r="N254" s="175">
        <f ca="1">IFERROR(__xludf.DUMMYFUNCTION("IMPORTRANGE(""https://docs.google.com/spreadsheets/d/1Yj_ptqi66GCucihVvJfMjLAmec39IyEx_6qawtMGysU/edit?usp=sharing"",""สบก!CC93"")"),0)</f>
        <v>0</v>
      </c>
      <c r="O254" s="176">
        <f ca="1">IF(L254&gt;0,N254*100/L254,0)</f>
        <v>0</v>
      </c>
      <c r="P254" s="176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2"/>
      <c r="E255" s="165"/>
      <c r="F255" s="165"/>
      <c r="G255" s="177" t="s">
        <v>42</v>
      </c>
      <c r="H255" s="167" t="s">
        <v>12</v>
      </c>
      <c r="I255" s="168"/>
      <c r="J255" s="168"/>
      <c r="K255" s="169"/>
      <c r="L255" s="174">
        <f ca="1">IFERROR(__xludf.DUMMYFUNCTION("IMPORTRANGE(""https://docs.google.com/spreadsheets/d/1Yj_ptqi66GCucihVvJfMjLAmec39IyEx_6qawtMGysU/edit?usp=sharing"",""สบก!BX93"")"),0)</f>
        <v>0</v>
      </c>
      <c r="M255" s="173"/>
      <c r="N255" s="173"/>
      <c r="O255" s="176"/>
      <c r="P255" s="176"/>
    </row>
    <row r="256" spans="1:16" ht="21.75" customHeight="1" x14ac:dyDescent="0.35">
      <c r="A256" s="162"/>
      <c r="B256" s="163"/>
      <c r="C256" s="163"/>
      <c r="D256" s="172"/>
      <c r="E256" s="165"/>
      <c r="F256" s="165"/>
      <c r="G256" s="177" t="s">
        <v>43</v>
      </c>
      <c r="H256" s="167" t="s">
        <v>12</v>
      </c>
      <c r="I256" s="168"/>
      <c r="J256" s="168"/>
      <c r="K256" s="169"/>
      <c r="L256" s="174">
        <f ca="1">IFERROR(__xludf.DUMMYFUNCTION("IMPORTRANGE(""https://docs.google.com/spreadsheets/d/1Yj_ptqi66GCucihVvJfMjLAmec39IyEx_6qawtMGysU/edit?usp=sharing"",""สบก!BY93"")"),0)</f>
        <v>0</v>
      </c>
      <c r="M256" s="173"/>
      <c r="N256" s="173"/>
      <c r="O256" s="176"/>
      <c r="P256" s="176"/>
    </row>
    <row r="257" spans="1:16" ht="21.75" customHeight="1" x14ac:dyDescent="0.45">
      <c r="A257" s="178"/>
      <c r="B257" s="81"/>
      <c r="C257" s="82" t="s">
        <v>16</v>
      </c>
      <c r="D257" s="549" t="s">
        <v>23</v>
      </c>
      <c r="E257" s="545"/>
      <c r="F257" s="89"/>
      <c r="G257" s="83" t="s">
        <v>18</v>
      </c>
      <c r="H257" s="179" t="s">
        <v>12</v>
      </c>
      <c r="I257" s="168"/>
      <c r="J257" s="168"/>
      <c r="K257" s="169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80"/>
      <c r="B258" s="95"/>
      <c r="C258" s="95"/>
      <c r="D258" s="181"/>
      <c r="E258" s="96"/>
      <c r="F258" s="96"/>
      <c r="G258" s="97" t="s">
        <v>19</v>
      </c>
      <c r="H258" s="182" t="s">
        <v>12</v>
      </c>
      <c r="I258" s="168"/>
      <c r="J258" s="168"/>
      <c r="K258" s="169"/>
      <c r="L258" s="91">
        <f ca="1">IFERROR(__xludf.DUMMYFUNCTION("IMPORTRANGE(""https://docs.google.com/spreadsheets/d/1Yj_ptqi66GCucihVvJfMjLAmec39IyEx_6qawtMGysU/edit?usp=sharing"",""สบก!BZ93"")"),0)</f>
        <v>0</v>
      </c>
      <c r="M258" s="101"/>
      <c r="N258" s="91">
        <f ca="1">IFERROR(__xludf.DUMMYFUNCTION("IMPORTRANGE(""https://docs.google.com/spreadsheets/d/1Yj_ptqi66GCucihVvJfMjLAmec39IyEx_6qawtMGysU/edit?usp=sharing"",""สบก!CD93"")"),0)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3"/>
      <c r="B259" s="184"/>
      <c r="C259" s="163" t="s">
        <v>16</v>
      </c>
      <c r="D259" s="185" t="s">
        <v>44</v>
      </c>
      <c r="E259" s="186"/>
      <c r="F259" s="186"/>
      <c r="G259" s="187"/>
      <c r="H259" s="188"/>
      <c r="I259" s="168"/>
      <c r="J259" s="168"/>
      <c r="K259" s="169"/>
      <c r="L259" s="189"/>
      <c r="M259" s="189"/>
      <c r="N259" s="189"/>
      <c r="O259" s="189"/>
      <c r="P259" s="189"/>
    </row>
    <row r="260" spans="1:16" ht="21.75" customHeight="1" x14ac:dyDescent="0.35">
      <c r="A260" s="183"/>
      <c r="B260" s="184"/>
      <c r="C260" s="184"/>
      <c r="D260" s="190">
        <v>1</v>
      </c>
      <c r="E260" s="191" t="s">
        <v>45</v>
      </c>
      <c r="F260" s="192"/>
      <c r="G260" s="193"/>
      <c r="H260" s="194"/>
      <c r="I260" s="195"/>
      <c r="J260" s="196">
        <f ca="1">IFERROR(__xludf.DUMMYFUNCTION("IMPORTRANGE(""https://docs.google.com/spreadsheets/d/1IYY_tgx_IHuhSq3AJ5eI5OnqOPBNLWSHKh2a30DoXe8/edit?usp=sharing"",""สตูล!J175"")"),0)</f>
        <v>0</v>
      </c>
      <c r="K260" s="169"/>
      <c r="L260" s="189"/>
      <c r="M260" s="189"/>
      <c r="N260" s="189"/>
      <c r="O260" s="189"/>
      <c r="P260" s="189"/>
    </row>
    <row r="261" spans="1:16" ht="21.75" customHeight="1" x14ac:dyDescent="0.35">
      <c r="A261" s="183"/>
      <c r="B261" s="184"/>
      <c r="C261" s="184"/>
      <c r="D261" s="197">
        <v>2</v>
      </c>
      <c r="E261" s="198" t="s">
        <v>46</v>
      </c>
      <c r="F261" s="199"/>
      <c r="G261" s="200"/>
      <c r="H261" s="194"/>
      <c r="I261" s="195"/>
      <c r="J261" s="205">
        <f ca="1">IFERROR(__xludf.DUMMYFUNCTION("IMPORTRANGE(""https://docs.google.com/spreadsheets/d/1IYY_tgx_IHuhSq3AJ5eI5OnqOPBNLWSHKh2a30DoXe8/edit?usp=sharing"",""สตูล!J176"")"),0)</f>
        <v>0</v>
      </c>
      <c r="K261" s="169"/>
      <c r="L261" s="189" t="s">
        <v>40</v>
      </c>
      <c r="M261" s="189"/>
      <c r="N261" s="189" t="s">
        <v>40</v>
      </c>
      <c r="O261" s="189"/>
      <c r="P261" s="189"/>
    </row>
    <row r="262" spans="1:16" ht="21.75" customHeight="1" x14ac:dyDescent="0.35">
      <c r="A262" s="183"/>
      <c r="B262" s="184"/>
      <c r="C262" s="184"/>
      <c r="D262" s="201"/>
      <c r="E262" s="202" t="s">
        <v>47</v>
      </c>
      <c r="F262" s="203"/>
      <c r="G262" s="204"/>
      <c r="H262" s="194"/>
      <c r="I262" s="195"/>
      <c r="J262" s="205">
        <f ca="1">IFERROR(__xludf.DUMMYFUNCTION("IMPORTRANGE(""https://docs.google.com/spreadsheets/d/1IYY_tgx_IHuhSq3AJ5eI5OnqOPBNLWSHKh2a30DoXe8/edit?usp=sharing"",""สตูล!J177"")"),0)</f>
        <v>0</v>
      </c>
      <c r="K262" s="169"/>
      <c r="L262" s="189"/>
      <c r="M262" s="189"/>
      <c r="N262" s="189"/>
      <c r="O262" s="189"/>
      <c r="P262" s="189"/>
    </row>
    <row r="263" spans="1:16" ht="21.75" customHeight="1" x14ac:dyDescent="0.35">
      <c r="A263" s="183"/>
      <c r="B263" s="184"/>
      <c r="C263" s="184"/>
      <c r="D263" s="201"/>
      <c r="E263" s="202" t="s">
        <v>48</v>
      </c>
      <c r="F263" s="203"/>
      <c r="G263" s="204"/>
      <c r="H263" s="194"/>
      <c r="I263" s="195"/>
      <c r="J263" s="205">
        <f ca="1">IFERROR(__xludf.DUMMYFUNCTION("IMPORTRANGE(""https://docs.google.com/spreadsheets/d/1IYY_tgx_IHuhSq3AJ5eI5OnqOPBNLWSHKh2a30DoXe8/edit?usp=sharing"",""สตูล!J178"")"),0)</f>
        <v>0</v>
      </c>
      <c r="K263" s="169"/>
      <c r="L263" s="189"/>
      <c r="M263" s="189"/>
      <c r="N263" s="189"/>
      <c r="O263" s="189"/>
      <c r="P263" s="189"/>
    </row>
    <row r="264" spans="1:16" ht="21.75" customHeight="1" x14ac:dyDescent="0.35">
      <c r="A264" s="183"/>
      <c r="B264" s="184"/>
      <c r="C264" s="184"/>
      <c r="D264" s="201"/>
      <c r="E264" s="206"/>
      <c r="F264" s="202" t="s">
        <v>105</v>
      </c>
      <c r="G264" s="204"/>
      <c r="H264" s="188" t="s">
        <v>59</v>
      </c>
      <c r="I264" s="195">
        <f ca="1">IFERROR(__xludf.DUMMYFUNCTION("IMPORTRANGE(""https://docs.google.com/spreadsheets/d/1IYY_tgx_IHuhSq3AJ5eI5OnqOPBNLWSHKh2a30DoXe8/edit?usp=sharing"",""สตูล!I179"")"),0)</f>
        <v>0</v>
      </c>
      <c r="J264" s="196">
        <f ca="1">IFERROR(__xludf.DUMMYFUNCTION("IMPORTRANGE(""https://docs.google.com/spreadsheets/d/1IYY_tgx_IHuhSq3AJ5eI5OnqOPBNLWSHKh2a30DoXe8/edit?usp=sharing"",""สตูล!J179"")"),0)</f>
        <v>0</v>
      </c>
      <c r="K264" s="169">
        <f t="shared" ref="K264:K267" ca="1" si="82">IF(I264&gt;0,J264*100/I264,0)</f>
        <v>0</v>
      </c>
      <c r="L264" s="189"/>
      <c r="M264" s="189"/>
      <c r="N264" s="189"/>
      <c r="O264" s="189"/>
      <c r="P264" s="189"/>
    </row>
    <row r="265" spans="1:16" ht="21.75" customHeight="1" x14ac:dyDescent="0.35">
      <c r="A265" s="183"/>
      <c r="B265" s="184"/>
      <c r="C265" s="184"/>
      <c r="D265" s="201"/>
      <c r="E265" s="206"/>
      <c r="F265" s="202" t="s">
        <v>106</v>
      </c>
      <c r="G265" s="204"/>
      <c r="H265" s="188" t="s">
        <v>37</v>
      </c>
      <c r="I265" s="195">
        <f ca="1">IFERROR(__xludf.DUMMYFUNCTION("IMPORTRANGE(""https://docs.google.com/spreadsheets/d/1IYY_tgx_IHuhSq3AJ5eI5OnqOPBNLWSHKh2a30DoXe8/edit?usp=sharing"",""สตูล!I180"")"),0)</f>
        <v>0</v>
      </c>
      <c r="J265" s="196">
        <f ca="1">IFERROR(__xludf.DUMMYFUNCTION("IMPORTRANGE(""https://docs.google.com/spreadsheets/d/1IYY_tgx_IHuhSq3AJ5eI5OnqOPBNLWSHKh2a30DoXe8/edit?usp=sharing"",""สตูล!J180"")"),0)</f>
        <v>0</v>
      </c>
      <c r="K265" s="169">
        <f t="shared" ca="1" si="82"/>
        <v>0</v>
      </c>
      <c r="L265" s="189"/>
      <c r="M265" s="189"/>
      <c r="N265" s="189"/>
      <c r="O265" s="189"/>
      <c r="P265" s="189"/>
    </row>
    <row r="266" spans="1:16" ht="21.75" customHeight="1" x14ac:dyDescent="0.35">
      <c r="A266" s="183"/>
      <c r="B266" s="184"/>
      <c r="C266" s="184"/>
      <c r="D266" s="201"/>
      <c r="E266" s="206"/>
      <c r="F266" s="202" t="s">
        <v>107</v>
      </c>
      <c r="G266" s="204"/>
      <c r="H266" s="188" t="s">
        <v>37</v>
      </c>
      <c r="I266" s="195">
        <f ca="1">IFERROR(__xludf.DUMMYFUNCTION("IMPORTRANGE(""https://docs.google.com/spreadsheets/d/1IYY_tgx_IHuhSq3AJ5eI5OnqOPBNLWSHKh2a30DoXe8/edit?usp=sharing"",""สตูล!I181"")"),0)</f>
        <v>0</v>
      </c>
      <c r="J266" s="196">
        <f ca="1">IFERROR(__xludf.DUMMYFUNCTION("IMPORTRANGE(""https://docs.google.com/spreadsheets/d/1IYY_tgx_IHuhSq3AJ5eI5OnqOPBNLWSHKh2a30DoXe8/edit?usp=sharing"",""สตูล!J181"")"),0)</f>
        <v>0</v>
      </c>
      <c r="K266" s="169">
        <f t="shared" ca="1" si="82"/>
        <v>0</v>
      </c>
      <c r="L266" s="189"/>
      <c r="M266" s="189"/>
      <c r="N266" s="189"/>
      <c r="O266" s="189"/>
      <c r="P266" s="189"/>
    </row>
    <row r="267" spans="1:16" ht="21.75" customHeight="1" x14ac:dyDescent="0.35">
      <c r="A267" s="183"/>
      <c r="B267" s="184"/>
      <c r="C267" s="184"/>
      <c r="D267" s="201"/>
      <c r="E267" s="206"/>
      <c r="F267" s="202" t="s">
        <v>108</v>
      </c>
      <c r="G267" s="204"/>
      <c r="H267" s="188" t="s">
        <v>37</v>
      </c>
      <c r="I267" s="195">
        <f ca="1">IFERROR(__xludf.DUMMYFUNCTION("IMPORTRANGE(""https://docs.google.com/spreadsheets/d/1IYY_tgx_IHuhSq3AJ5eI5OnqOPBNLWSHKh2a30DoXe8/edit?usp=sharing"",""สตูล!I182"")"),0)</f>
        <v>0</v>
      </c>
      <c r="J267" s="196">
        <f ca="1">IFERROR(__xludf.DUMMYFUNCTION("IMPORTRANGE(""https://docs.google.com/spreadsheets/d/1IYY_tgx_IHuhSq3AJ5eI5OnqOPBNLWSHKh2a30DoXe8/edit?usp=sharing"",""สตูล!J182"")"),0)</f>
        <v>0</v>
      </c>
      <c r="K267" s="169">
        <f t="shared" ca="1" si="82"/>
        <v>0</v>
      </c>
      <c r="L267" s="189"/>
      <c r="M267" s="189"/>
      <c r="N267" s="189"/>
      <c r="O267" s="189"/>
      <c r="P267" s="189"/>
    </row>
    <row r="268" spans="1:16" ht="21.75" customHeight="1" x14ac:dyDescent="0.35">
      <c r="A268" s="183"/>
      <c r="B268" s="184"/>
      <c r="C268" s="184"/>
      <c r="D268" s="201"/>
      <c r="E268" s="202" t="s">
        <v>54</v>
      </c>
      <c r="F268" s="203"/>
      <c r="G268" s="204"/>
      <c r="H268" s="194"/>
      <c r="I268" s="195"/>
      <c r="J268" s="205">
        <f ca="1">IFERROR(__xludf.DUMMYFUNCTION("IMPORTRANGE(""https://docs.google.com/spreadsheets/d/1IYY_tgx_IHuhSq3AJ5eI5OnqOPBNLWSHKh2a30DoXe8/edit?usp=sharing"",""สตูล!J183"")"),0)</f>
        <v>0</v>
      </c>
      <c r="K268" s="169"/>
      <c r="L268" s="189"/>
      <c r="M268" s="189"/>
      <c r="N268" s="189"/>
      <c r="O268" s="189"/>
      <c r="P268" s="189"/>
    </row>
    <row r="269" spans="1:16" ht="21.75" customHeight="1" x14ac:dyDescent="0.35">
      <c r="A269" s="241"/>
      <c r="B269" s="242"/>
      <c r="C269" s="242"/>
      <c r="D269" s="243">
        <v>3</v>
      </c>
      <c r="E269" s="244" t="s">
        <v>55</v>
      </c>
      <c r="F269" s="245"/>
      <c r="G269" s="246"/>
      <c r="H269" s="247"/>
      <c r="I269" s="248"/>
      <c r="J269" s="293">
        <f ca="1">IFERROR(__xludf.DUMMYFUNCTION("IMPORTRANGE(""https://docs.google.com/spreadsheets/d/1IYY_tgx_IHuhSq3AJ5eI5OnqOPBNLWSHKh2a30DoXe8/edit?usp=sharing"",""สตูล!J184"")"),0)</f>
        <v>0</v>
      </c>
      <c r="K269" s="294"/>
      <c r="L269" s="252"/>
      <c r="M269" s="252"/>
      <c r="N269" s="252"/>
      <c r="O269" s="252"/>
      <c r="P269" s="252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IFERROR(__xludf.DUMMYFUNCTION("IMPORTRANGE(""https://docs.google.com/spreadsheets/d/1IYY_tgx_IHuhSq3AJ5eI5OnqOPBNLWSHKh2a30DoXe8/edit?usp=sharing"",""สตูล!I185"")"),15)</f>
        <v>15</v>
      </c>
      <c r="J270" s="322">
        <f ca="1">IFERROR(__xludf.DUMMYFUNCTION("IMPORTRANGE(""https://docs.google.com/spreadsheets/d/1IYY_tgx_IHuhSq3AJ5eI5OnqOPBNLWSHKh2a30DoXe8/edit?usp=sharing"",""สตูล!J185"")"),15)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52" t="s">
        <v>17</v>
      </c>
      <c r="E271" s="543"/>
      <c r="F271" s="543"/>
      <c r="G271" s="543"/>
      <c r="H271" s="153" t="s">
        <v>12</v>
      </c>
      <c r="I271" s="168"/>
      <c r="J271" s="168"/>
      <c r="K271" s="169"/>
      <c r="L271" s="156">
        <f t="shared" ref="L271:N271" ca="1" si="83">L272+L273</f>
        <v>187200</v>
      </c>
      <c r="M271" s="156">
        <f t="shared" ca="1" si="83"/>
        <v>98250</v>
      </c>
      <c r="N271" s="156">
        <f t="shared" ca="1" si="83"/>
        <v>77578</v>
      </c>
      <c r="O271" s="155">
        <f t="shared" ref="O271:O273" ca="1" si="84">IF(L271&gt;0,N271*100/L271,0)</f>
        <v>41.441239316239319</v>
      </c>
      <c r="P271" s="155">
        <f t="shared" ref="P271:P273" ca="1" si="85">IF(M271&gt;0,N271*100/M271,0)</f>
        <v>78.959796437659037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8"/>
      <c r="J272" s="168"/>
      <c r="K272" s="169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8"/>
      <c r="J273" s="168"/>
      <c r="K273" s="169"/>
      <c r="L273" s="161">
        <f t="shared" ref="L273:N273" ca="1" si="87">L275+L279</f>
        <v>187200</v>
      </c>
      <c r="M273" s="161">
        <f t="shared" ca="1" si="87"/>
        <v>98250</v>
      </c>
      <c r="N273" s="161">
        <f t="shared" ca="1" si="87"/>
        <v>77578</v>
      </c>
      <c r="O273" s="160">
        <f t="shared" ca="1" si="84"/>
        <v>41.441239316239319</v>
      </c>
      <c r="P273" s="160">
        <f t="shared" ca="1" si="85"/>
        <v>78.959796437659037</v>
      </c>
    </row>
    <row r="274" spans="1:16" ht="21.75" customHeight="1" x14ac:dyDescent="0.35">
      <c r="A274" s="162"/>
      <c r="B274" s="163"/>
      <c r="C274" s="163" t="s">
        <v>16</v>
      </c>
      <c r="D274" s="164" t="s">
        <v>38</v>
      </c>
      <c r="E274" s="165"/>
      <c r="F274" s="165"/>
      <c r="G274" s="166" t="s">
        <v>39</v>
      </c>
      <c r="H274" s="167" t="s">
        <v>12</v>
      </c>
      <c r="I274" s="168" t="s">
        <v>40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 x14ac:dyDescent="0.35">
      <c r="A275" s="162"/>
      <c r="B275" s="163"/>
      <c r="C275" s="163"/>
      <c r="D275" s="172"/>
      <c r="E275" s="165"/>
      <c r="F275" s="165" t="s">
        <v>40</v>
      </c>
      <c r="G275" s="166" t="s">
        <v>41</v>
      </c>
      <c r="H275" s="167" t="s">
        <v>12</v>
      </c>
      <c r="I275" s="168"/>
      <c r="J275" s="168"/>
      <c r="K275" s="169"/>
      <c r="L275" s="173">
        <f ca="1">L276+L277</f>
        <v>187200</v>
      </c>
      <c r="M275" s="174">
        <f ca="1">IFERROR(__xludf.DUMMYFUNCTION("IMPORTRANGE(""https://docs.google.com/spreadsheets/d/1Yj_ptqi66GCucihVvJfMjLAmec39IyEx_6qawtMGysU/edit?usp=sharing"",""สบก!CK93"")"),98250)</f>
        <v>98250</v>
      </c>
      <c r="N275" s="175">
        <f ca="1">IFERROR(__xludf.DUMMYFUNCTION("IMPORTRANGE(""https://docs.google.com/spreadsheets/d/1Yj_ptqi66GCucihVvJfMjLAmec39IyEx_6qawtMGysU/edit?usp=sharing"",""สบก!CL93"")"),77578)</f>
        <v>77578</v>
      </c>
      <c r="O275" s="176">
        <f ca="1">IF(L275&gt;0,N275*100/L275,0)</f>
        <v>41.441239316239319</v>
      </c>
      <c r="P275" s="176">
        <f ca="1">IF(M275&gt;0,N275*100/M275,0)</f>
        <v>78.959796437659037</v>
      </c>
    </row>
    <row r="276" spans="1:16" ht="21.75" customHeight="1" x14ac:dyDescent="0.35">
      <c r="A276" s="162"/>
      <c r="B276" s="163"/>
      <c r="C276" s="163"/>
      <c r="D276" s="172"/>
      <c r="E276" s="165"/>
      <c r="F276" s="165"/>
      <c r="G276" s="177" t="s">
        <v>42</v>
      </c>
      <c r="H276" s="167" t="s">
        <v>12</v>
      </c>
      <c r="I276" s="168"/>
      <c r="J276" s="168"/>
      <c r="K276" s="169"/>
      <c r="L276" s="174">
        <f ca="1">IFERROR(__xludf.DUMMYFUNCTION("IMPORTRANGE(""https://docs.google.com/spreadsheets/d/1Yj_ptqi66GCucihVvJfMjLAmec39IyEx_6qawtMGysU/edit?usp=sharing"",""สบก!CG93"")"),132000)</f>
        <v>132000</v>
      </c>
      <c r="M276" s="173"/>
      <c r="N276" s="173"/>
      <c r="O276" s="176"/>
      <c r="P276" s="176"/>
    </row>
    <row r="277" spans="1:16" ht="21.75" customHeight="1" x14ac:dyDescent="0.35">
      <c r="A277" s="162"/>
      <c r="B277" s="163"/>
      <c r="C277" s="163"/>
      <c r="D277" s="172"/>
      <c r="E277" s="165"/>
      <c r="F277" s="165"/>
      <c r="G277" s="177" t="s">
        <v>43</v>
      </c>
      <c r="H277" s="167" t="s">
        <v>12</v>
      </c>
      <c r="I277" s="168"/>
      <c r="J277" s="168"/>
      <c r="K277" s="169"/>
      <c r="L277" s="174">
        <f ca="1">IFERROR(__xludf.DUMMYFUNCTION("IMPORTRANGE(""https://docs.google.com/spreadsheets/d/1Yj_ptqi66GCucihVvJfMjLAmec39IyEx_6qawtMGysU/edit?usp=sharing"",""สบก!CH93"")"),55200)</f>
        <v>55200</v>
      </c>
      <c r="M277" s="173"/>
      <c r="N277" s="173"/>
      <c r="O277" s="176"/>
      <c r="P277" s="176"/>
    </row>
    <row r="278" spans="1:16" ht="21.75" customHeight="1" x14ac:dyDescent="0.45">
      <c r="A278" s="178"/>
      <c r="B278" s="81"/>
      <c r="C278" s="82" t="s">
        <v>16</v>
      </c>
      <c r="D278" s="549" t="s">
        <v>23</v>
      </c>
      <c r="E278" s="545"/>
      <c r="F278" s="89"/>
      <c r="G278" s="83" t="s">
        <v>18</v>
      </c>
      <c r="H278" s="179" t="s">
        <v>12</v>
      </c>
      <c r="I278" s="168"/>
      <c r="J278" s="168"/>
      <c r="K278" s="169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80"/>
      <c r="B279" s="95"/>
      <c r="C279" s="95"/>
      <c r="D279" s="181"/>
      <c r="E279" s="96"/>
      <c r="F279" s="96"/>
      <c r="G279" s="97" t="s">
        <v>19</v>
      </c>
      <c r="H279" s="182" t="s">
        <v>12</v>
      </c>
      <c r="I279" s="168"/>
      <c r="J279" s="168"/>
      <c r="K279" s="169"/>
      <c r="L279" s="91">
        <f ca="1">IFERROR(__xludf.DUMMYFUNCTION("IMPORTRANGE(""https://docs.google.com/spreadsheets/d/1Yj_ptqi66GCucihVvJfMjLAmec39IyEx_6qawtMGysU/edit?usp=sharing"",""สบก!CI93"")"),0)</f>
        <v>0</v>
      </c>
      <c r="M279" s="101"/>
      <c r="N279" s="91">
        <f ca="1">IFERROR(__xludf.DUMMYFUNCTION("IMPORTRANGE(""https://docs.google.com/spreadsheets/d/1Yj_ptqi66GCucihVvJfMjLAmec39IyEx_6qawtMGysU/edit?usp=sharing"",""สบก!CM93"")"),0)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3"/>
      <c r="B280" s="184"/>
      <c r="C280" s="163" t="s">
        <v>16</v>
      </c>
      <c r="D280" s="185" t="s">
        <v>44</v>
      </c>
      <c r="E280" s="186"/>
      <c r="F280" s="186"/>
      <c r="G280" s="187"/>
      <c r="H280" s="188"/>
      <c r="I280" s="168"/>
      <c r="J280" s="168"/>
      <c r="K280" s="169"/>
      <c r="L280" s="189"/>
      <c r="M280" s="189"/>
      <c r="N280" s="189"/>
      <c r="O280" s="189"/>
      <c r="P280" s="189"/>
    </row>
    <row r="281" spans="1:16" ht="21.75" customHeight="1" x14ac:dyDescent="0.35">
      <c r="A281" s="183"/>
      <c r="B281" s="184"/>
      <c r="C281" s="184"/>
      <c r="D281" s="190">
        <v>1</v>
      </c>
      <c r="E281" s="191" t="s">
        <v>45</v>
      </c>
      <c r="F281" s="192"/>
      <c r="G281" s="193"/>
      <c r="H281" s="194"/>
      <c r="I281" s="195"/>
      <c r="J281" s="196">
        <f ca="1">IFERROR(__xludf.DUMMYFUNCTION("IMPORTRANGE(""https://docs.google.com/spreadsheets/d/1IYY_tgx_IHuhSq3AJ5eI5OnqOPBNLWSHKh2a30DoXe8/edit?usp=sharing"",""สตูล!J191"")"),0)</f>
        <v>0</v>
      </c>
      <c r="K281" s="169"/>
      <c r="L281" s="189"/>
      <c r="M281" s="189"/>
      <c r="N281" s="189"/>
      <c r="O281" s="189"/>
      <c r="P281" s="189"/>
    </row>
    <row r="282" spans="1:16" ht="21.75" customHeight="1" x14ac:dyDescent="0.35">
      <c r="A282" s="183"/>
      <c r="B282" s="184"/>
      <c r="C282" s="184"/>
      <c r="D282" s="197">
        <v>2</v>
      </c>
      <c r="E282" s="198" t="s">
        <v>46</v>
      </c>
      <c r="F282" s="199"/>
      <c r="G282" s="200"/>
      <c r="H282" s="194"/>
      <c r="I282" s="195"/>
      <c r="J282" s="205">
        <f ca="1">IFERROR(__xludf.DUMMYFUNCTION("IMPORTRANGE(""https://docs.google.com/spreadsheets/d/1IYY_tgx_IHuhSq3AJ5eI5OnqOPBNLWSHKh2a30DoXe8/edit?usp=sharing"",""สตูล!J192"")"),1)</f>
        <v>1</v>
      </c>
      <c r="K282" s="169"/>
      <c r="L282" s="189"/>
      <c r="M282" s="189"/>
      <c r="N282" s="189"/>
      <c r="O282" s="189"/>
      <c r="P282" s="189"/>
    </row>
    <row r="283" spans="1:16" ht="21.75" customHeight="1" x14ac:dyDescent="0.35">
      <c r="A283" s="183"/>
      <c r="B283" s="184"/>
      <c r="C283" s="184"/>
      <c r="D283" s="201"/>
      <c r="E283" s="202" t="s">
        <v>47</v>
      </c>
      <c r="F283" s="203"/>
      <c r="G283" s="204"/>
      <c r="H283" s="194"/>
      <c r="I283" s="195"/>
      <c r="J283" s="205">
        <f ca="1">IFERROR(__xludf.DUMMYFUNCTION("IMPORTRANGE(""https://docs.google.com/spreadsheets/d/1IYY_tgx_IHuhSq3AJ5eI5OnqOPBNLWSHKh2a30DoXe8/edit?usp=sharing"",""สตูล!J193"")"),1)</f>
        <v>1</v>
      </c>
      <c r="K283" s="169"/>
      <c r="L283" s="189"/>
      <c r="M283" s="189"/>
      <c r="N283" s="189"/>
      <c r="O283" s="189"/>
      <c r="P283" s="189"/>
    </row>
    <row r="284" spans="1:16" ht="21.75" customHeight="1" x14ac:dyDescent="0.35">
      <c r="A284" s="183"/>
      <c r="B284" s="184"/>
      <c r="C284" s="184"/>
      <c r="D284" s="201"/>
      <c r="E284" s="202" t="s">
        <v>48</v>
      </c>
      <c r="F284" s="203"/>
      <c r="G284" s="204"/>
      <c r="H284" s="194"/>
      <c r="I284" s="195"/>
      <c r="J284" s="205">
        <f ca="1">IFERROR(__xludf.DUMMYFUNCTION("IMPORTRANGE(""https://docs.google.com/spreadsheets/d/1IYY_tgx_IHuhSq3AJ5eI5OnqOPBNLWSHKh2a30DoXe8/edit?usp=sharing"",""สตูล!J194"")"),1)</f>
        <v>1</v>
      </c>
      <c r="K284" s="169"/>
      <c r="L284" s="189"/>
      <c r="M284" s="189"/>
      <c r="N284" s="189"/>
      <c r="O284" s="189"/>
      <c r="P284" s="189"/>
    </row>
    <row r="285" spans="1:16" ht="21.75" customHeight="1" x14ac:dyDescent="0.35">
      <c r="A285" s="183"/>
      <c r="B285" s="184"/>
      <c r="C285" s="184"/>
      <c r="D285" s="201"/>
      <c r="E285" s="203"/>
      <c r="F285" s="202" t="s">
        <v>110</v>
      </c>
      <c r="G285" s="204"/>
      <c r="H285" s="194" t="s">
        <v>37</v>
      </c>
      <c r="I285" s="195">
        <f ca="1">IFERROR(__xludf.DUMMYFUNCTION("IMPORTRANGE(""https://docs.google.com/spreadsheets/d/1IYY_tgx_IHuhSq3AJ5eI5OnqOPBNLWSHKh2a30DoXe8/edit?usp=sharing"",""สตูล!I195"")"),15)</f>
        <v>15</v>
      </c>
      <c r="J285" s="196">
        <f ca="1">IFERROR(__xludf.DUMMYFUNCTION("IMPORTRANGE(""https://docs.google.com/spreadsheets/d/1IYY_tgx_IHuhSq3AJ5eI5OnqOPBNLWSHKh2a30DoXe8/edit?usp=sharing"",""สตูล!J195"")"),15)</f>
        <v>15</v>
      </c>
      <c r="K285" s="169">
        <f ca="1">IF(I285&gt;0,J285*100/I285,0)</f>
        <v>100</v>
      </c>
      <c r="L285" s="189"/>
      <c r="M285" s="189"/>
      <c r="N285" s="189"/>
      <c r="O285" s="189"/>
      <c r="P285" s="189"/>
    </row>
    <row r="286" spans="1:16" ht="21.75" customHeight="1" x14ac:dyDescent="0.35">
      <c r="A286" s="183"/>
      <c r="B286" s="184"/>
      <c r="C286" s="184"/>
      <c r="D286" s="201"/>
      <c r="E286" s="202" t="s">
        <v>54</v>
      </c>
      <c r="F286" s="203"/>
      <c r="G286" s="204"/>
      <c r="H286" s="194"/>
      <c r="I286" s="195"/>
      <c r="J286" s="205">
        <f ca="1">IFERROR(__xludf.DUMMYFUNCTION("IMPORTRANGE(""https://docs.google.com/spreadsheets/d/1IYY_tgx_IHuhSq3AJ5eI5OnqOPBNLWSHKh2a30DoXe8/edit?usp=sharing"",""สตูล!J196"")"),0)</f>
        <v>0</v>
      </c>
      <c r="K286" s="169"/>
      <c r="L286" s="189"/>
      <c r="M286" s="189"/>
      <c r="N286" s="189"/>
      <c r="O286" s="189"/>
      <c r="P286" s="189"/>
    </row>
    <row r="287" spans="1:16" ht="21.75" customHeight="1" x14ac:dyDescent="0.35">
      <c r="A287" s="183"/>
      <c r="B287" s="184"/>
      <c r="C287" s="184"/>
      <c r="D287" s="213">
        <v>3</v>
      </c>
      <c r="E287" s="214" t="s">
        <v>55</v>
      </c>
      <c r="F287" s="215"/>
      <c r="G287" s="216"/>
      <c r="H287" s="194"/>
      <c r="I287" s="195"/>
      <c r="J287" s="217">
        <f ca="1">IFERROR(__xludf.DUMMYFUNCTION("IMPORTRANGE(""https://docs.google.com/spreadsheets/d/1IYY_tgx_IHuhSq3AJ5eI5OnqOPBNLWSHKh2a30DoXe8/edit?usp=sharing"",""สตูล!J197"")"),0)</f>
        <v>0</v>
      </c>
      <c r="K287" s="169"/>
      <c r="L287" s="189"/>
      <c r="M287" s="189"/>
      <c r="N287" s="189"/>
      <c r="O287" s="189"/>
      <c r="P287" s="189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IFERROR(__xludf.DUMMYFUNCTION("IMPORTRANGE(""https://docs.google.com/spreadsheets/d/1IYY_tgx_IHuhSq3AJ5eI5OnqOPBNLWSHKh2a30DoXe8/edit?usp=sharing"",""สตูล!I199"")"),0)</f>
        <v>0</v>
      </c>
      <c r="J289" s="322">
        <f ca="1">IFERROR(__xludf.DUMMYFUNCTION("IMPORTRANGE(""https://docs.google.com/spreadsheets/d/1IYY_tgx_IHuhSq3AJ5eI5OnqOPBNLWSHKh2a30DoXe8/edit?usp=sharing"",""สตูล!J199"")"),0)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52" t="s">
        <v>17</v>
      </c>
      <c r="E290" s="543"/>
      <c r="F290" s="543"/>
      <c r="G290" s="543"/>
      <c r="H290" s="153" t="s">
        <v>12</v>
      </c>
      <c r="I290" s="195"/>
      <c r="J290" s="195"/>
      <c r="K290" s="231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5"/>
      <c r="J291" s="195"/>
      <c r="K291" s="231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5"/>
      <c r="J292" s="195"/>
      <c r="K292" s="231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5">
      <c r="A293" s="162"/>
      <c r="B293" s="163"/>
      <c r="C293" s="163" t="s">
        <v>16</v>
      </c>
      <c r="D293" s="164" t="s">
        <v>38</v>
      </c>
      <c r="E293" s="165"/>
      <c r="F293" s="165"/>
      <c r="G293" s="166" t="s">
        <v>39</v>
      </c>
      <c r="H293" s="167" t="s">
        <v>12</v>
      </c>
      <c r="I293" s="195" t="s">
        <v>40</v>
      </c>
      <c r="J293" s="195"/>
      <c r="K293" s="231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 x14ac:dyDescent="0.35">
      <c r="A294" s="162"/>
      <c r="B294" s="163"/>
      <c r="C294" s="163"/>
      <c r="D294" s="172"/>
      <c r="E294" s="165"/>
      <c r="F294" s="165" t="s">
        <v>40</v>
      </c>
      <c r="G294" s="166" t="s">
        <v>41</v>
      </c>
      <c r="H294" s="167" t="s">
        <v>12</v>
      </c>
      <c r="I294" s="195"/>
      <c r="J294" s="195"/>
      <c r="K294" s="231"/>
      <c r="L294" s="173">
        <f ca="1">L295+L296</f>
        <v>0</v>
      </c>
      <c r="M294" s="174">
        <f ca="1">IFERROR(__xludf.DUMMYFUNCTION("IMPORTRANGE(""https://docs.google.com/spreadsheets/d/1Yj_ptqi66GCucihVvJfMjLAmec39IyEx_6qawtMGysU/edit?usp=sharing"",""สบก!CT93"")"),0)</f>
        <v>0</v>
      </c>
      <c r="N294" s="175">
        <f ca="1">IFERROR(__xludf.DUMMYFUNCTION("IMPORTRANGE(""https://docs.google.com/spreadsheets/d/1Yj_ptqi66GCucihVvJfMjLAmec39IyEx_6qawtMGysU/edit?usp=sharing"",""สบก!CU93"")"),0)</f>
        <v>0</v>
      </c>
      <c r="O294" s="176">
        <f ca="1">IF(L294&gt;0,N294*100/L294,0)</f>
        <v>0</v>
      </c>
      <c r="P294" s="176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2"/>
      <c r="E295" s="165"/>
      <c r="F295" s="165"/>
      <c r="G295" s="177" t="s">
        <v>42</v>
      </c>
      <c r="H295" s="167" t="s">
        <v>12</v>
      </c>
      <c r="I295" s="195"/>
      <c r="J295" s="195"/>
      <c r="K295" s="231"/>
      <c r="L295" s="174">
        <f ca="1">IFERROR(__xludf.DUMMYFUNCTION("IMPORTRANGE(""https://docs.google.com/spreadsheets/d/1Yj_ptqi66GCucihVvJfMjLAmec39IyEx_6qawtMGysU/edit?usp=sharing"",""สบก!CP93"")"),0)</f>
        <v>0</v>
      </c>
      <c r="M295" s="173"/>
      <c r="N295" s="173"/>
      <c r="O295" s="176"/>
      <c r="P295" s="176"/>
    </row>
    <row r="296" spans="1:16" ht="21.75" customHeight="1" x14ac:dyDescent="0.35">
      <c r="A296" s="162"/>
      <c r="B296" s="163"/>
      <c r="C296" s="163"/>
      <c r="D296" s="172"/>
      <c r="E296" s="165"/>
      <c r="F296" s="165"/>
      <c r="G296" s="177" t="s">
        <v>43</v>
      </c>
      <c r="H296" s="167" t="s">
        <v>12</v>
      </c>
      <c r="I296" s="195"/>
      <c r="J296" s="195"/>
      <c r="K296" s="231"/>
      <c r="L296" s="174">
        <f ca="1">IFERROR(__xludf.DUMMYFUNCTION("IMPORTRANGE(""https://docs.google.com/spreadsheets/d/1Yj_ptqi66GCucihVvJfMjLAmec39IyEx_6qawtMGysU/edit?usp=sharing"",""สบก!CQ93"")"),0)</f>
        <v>0</v>
      </c>
      <c r="M296" s="173"/>
      <c r="N296" s="173"/>
      <c r="O296" s="176"/>
      <c r="P296" s="176"/>
    </row>
    <row r="297" spans="1:16" ht="21.75" customHeight="1" x14ac:dyDescent="0.45">
      <c r="A297" s="178"/>
      <c r="B297" s="81"/>
      <c r="C297" s="82" t="s">
        <v>16</v>
      </c>
      <c r="D297" s="549" t="s">
        <v>23</v>
      </c>
      <c r="E297" s="545"/>
      <c r="F297" s="89"/>
      <c r="G297" s="83" t="s">
        <v>18</v>
      </c>
      <c r="H297" s="179" t="s">
        <v>12</v>
      </c>
      <c r="I297" s="195"/>
      <c r="J297" s="195"/>
      <c r="K297" s="231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80"/>
      <c r="B298" s="95"/>
      <c r="C298" s="95"/>
      <c r="D298" s="181"/>
      <c r="E298" s="96"/>
      <c r="F298" s="96"/>
      <c r="G298" s="97" t="s">
        <v>19</v>
      </c>
      <c r="H298" s="182" t="s">
        <v>12</v>
      </c>
      <c r="I298" s="195"/>
      <c r="J298" s="195"/>
      <c r="K298" s="231"/>
      <c r="L298" s="91">
        <f ca="1">IFERROR(__xludf.DUMMYFUNCTION("IMPORTRANGE(""https://docs.google.com/spreadsheets/d/1Yj_ptqi66GCucihVvJfMjLAmec39IyEx_6qawtMGysU/edit?usp=sharing"",""สบก!CR93"")"),0)</f>
        <v>0</v>
      </c>
      <c r="M298" s="101"/>
      <c r="N298" s="91">
        <f ca="1">IFERROR(__xludf.DUMMYFUNCTION("IMPORTRANGE(""https://docs.google.com/spreadsheets/d/1Yj_ptqi66GCucihVvJfMjLAmec39IyEx_6qawtMGysU/edit?usp=sharing"",""สบก!CV93"")"),0)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3"/>
      <c r="B299" s="184"/>
      <c r="C299" s="163" t="s">
        <v>16</v>
      </c>
      <c r="D299" s="185" t="s">
        <v>44</v>
      </c>
      <c r="E299" s="186"/>
      <c r="F299" s="186"/>
      <c r="G299" s="187"/>
      <c r="H299" s="188"/>
      <c r="I299" s="195"/>
      <c r="J299" s="195"/>
      <c r="K299" s="231"/>
      <c r="L299" s="176"/>
      <c r="M299" s="176"/>
      <c r="N299" s="176"/>
      <c r="O299" s="189"/>
      <c r="P299" s="189"/>
    </row>
    <row r="300" spans="1:16" ht="21.75" customHeight="1" x14ac:dyDescent="0.35">
      <c r="A300" s="183"/>
      <c r="B300" s="184"/>
      <c r="C300" s="184"/>
      <c r="D300" s="190">
        <v>1</v>
      </c>
      <c r="E300" s="191" t="s">
        <v>45</v>
      </c>
      <c r="F300" s="192"/>
      <c r="G300" s="193"/>
      <c r="H300" s="194"/>
      <c r="I300" s="195"/>
      <c r="J300" s="195">
        <f ca="1">IFERROR(__xludf.DUMMYFUNCTION("IMPORTRANGE(""https://docs.google.com/spreadsheets/d/1IYY_tgx_IHuhSq3AJ5eI5OnqOPBNLWSHKh2a30DoXe8/edit?usp=sharing"",""สตูล!J205"")"),0)</f>
        <v>0</v>
      </c>
      <c r="K300" s="231"/>
      <c r="L300" s="176"/>
      <c r="M300" s="176"/>
      <c r="N300" s="176"/>
      <c r="O300" s="189"/>
      <c r="P300" s="189"/>
    </row>
    <row r="301" spans="1:16" ht="21.75" customHeight="1" x14ac:dyDescent="0.35">
      <c r="A301" s="183"/>
      <c r="B301" s="184"/>
      <c r="C301" s="184"/>
      <c r="D301" s="197">
        <v>2</v>
      </c>
      <c r="E301" s="198" t="s">
        <v>46</v>
      </c>
      <c r="F301" s="199"/>
      <c r="G301" s="200"/>
      <c r="H301" s="194"/>
      <c r="I301" s="195"/>
      <c r="J301" s="195">
        <f ca="1">IFERROR(__xludf.DUMMYFUNCTION("IMPORTRANGE(""https://docs.google.com/spreadsheets/d/1IYY_tgx_IHuhSq3AJ5eI5OnqOPBNLWSHKh2a30DoXe8/edit?usp=sharing"",""สตูล!J206"")"),0)</f>
        <v>0</v>
      </c>
      <c r="K301" s="231"/>
      <c r="L301" s="176" t="s">
        <v>40</v>
      </c>
      <c r="M301" s="176"/>
      <c r="N301" s="176" t="s">
        <v>40</v>
      </c>
      <c r="O301" s="189"/>
      <c r="P301" s="189"/>
    </row>
    <row r="302" spans="1:16" ht="21.75" customHeight="1" x14ac:dyDescent="0.35">
      <c r="A302" s="183"/>
      <c r="B302" s="184"/>
      <c r="C302" s="184"/>
      <c r="D302" s="201"/>
      <c r="E302" s="202" t="s">
        <v>47</v>
      </c>
      <c r="F302" s="203"/>
      <c r="G302" s="204"/>
      <c r="H302" s="194"/>
      <c r="I302" s="195"/>
      <c r="J302" s="195">
        <f ca="1">IFERROR(__xludf.DUMMYFUNCTION("IMPORTRANGE(""https://docs.google.com/spreadsheets/d/1IYY_tgx_IHuhSq3AJ5eI5OnqOPBNLWSHKh2a30DoXe8/edit?usp=sharing"",""สตูล!J207"")"),0)</f>
        <v>0</v>
      </c>
      <c r="K302" s="231"/>
      <c r="L302" s="176"/>
      <c r="M302" s="176"/>
      <c r="N302" s="176"/>
      <c r="O302" s="189"/>
      <c r="P302" s="189"/>
    </row>
    <row r="303" spans="1:16" ht="21.75" customHeight="1" x14ac:dyDescent="0.35">
      <c r="A303" s="183"/>
      <c r="B303" s="184"/>
      <c r="C303" s="184"/>
      <c r="D303" s="201"/>
      <c r="E303" s="202" t="s">
        <v>48</v>
      </c>
      <c r="F303" s="203"/>
      <c r="G303" s="204"/>
      <c r="H303" s="194"/>
      <c r="I303" s="195"/>
      <c r="J303" s="195">
        <f ca="1">IFERROR(__xludf.DUMMYFUNCTION("IMPORTRANGE(""https://docs.google.com/spreadsheets/d/1IYY_tgx_IHuhSq3AJ5eI5OnqOPBNLWSHKh2a30DoXe8/edit?usp=sharing"",""สตูล!J208"")"),0)</f>
        <v>0</v>
      </c>
      <c r="K303" s="231"/>
      <c r="L303" s="176"/>
      <c r="M303" s="176"/>
      <c r="N303" s="176"/>
      <c r="O303" s="189"/>
      <c r="P303" s="189"/>
    </row>
    <row r="304" spans="1:16" ht="21.75" customHeight="1" x14ac:dyDescent="0.35">
      <c r="A304" s="183"/>
      <c r="B304" s="184"/>
      <c r="C304" s="184"/>
      <c r="D304" s="201"/>
      <c r="E304" s="206"/>
      <c r="F304" s="202" t="s">
        <v>113</v>
      </c>
      <c r="G304" s="204"/>
      <c r="H304" s="188" t="s">
        <v>37</v>
      </c>
      <c r="I304" s="195">
        <f ca="1">IFERROR(__xludf.DUMMYFUNCTION("IMPORTRANGE(""https://docs.google.com/spreadsheets/d/1IYY_tgx_IHuhSq3AJ5eI5OnqOPBNLWSHKh2a30DoXe8/edit?usp=sharing"",""สตูล!I209"")"),0)</f>
        <v>0</v>
      </c>
      <c r="J304" s="211">
        <f ca="1">IFERROR(__xludf.DUMMYFUNCTION("IMPORTRANGE(""https://docs.google.com/spreadsheets/d/1IYY_tgx_IHuhSq3AJ5eI5OnqOPBNLWSHKh2a30DoXe8/edit?usp=sharing"",""สตูล!J209"")"),0)</f>
        <v>0</v>
      </c>
      <c r="K304" s="231">
        <f ca="1">IF(I304&gt;0,J304*100/I304,0)</f>
        <v>0</v>
      </c>
      <c r="L304" s="176"/>
      <c r="M304" s="176"/>
      <c r="N304" s="176"/>
      <c r="O304" s="189"/>
      <c r="P304" s="189"/>
    </row>
    <row r="305" spans="1:16" ht="21.75" customHeight="1" x14ac:dyDescent="0.35">
      <c r="A305" s="183"/>
      <c r="B305" s="184"/>
      <c r="C305" s="184"/>
      <c r="D305" s="201"/>
      <c r="E305" s="206"/>
      <c r="F305" s="202" t="s">
        <v>114</v>
      </c>
      <c r="G305" s="204"/>
      <c r="H305" s="188"/>
      <c r="I305" s="195"/>
      <c r="J305" s="195"/>
      <c r="K305" s="231"/>
      <c r="L305" s="176"/>
      <c r="M305" s="176"/>
      <c r="N305" s="176"/>
      <c r="O305" s="189"/>
      <c r="P305" s="189"/>
    </row>
    <row r="306" spans="1:16" ht="21.75" customHeight="1" x14ac:dyDescent="0.35">
      <c r="A306" s="183"/>
      <c r="B306" s="184"/>
      <c r="C306" s="184"/>
      <c r="D306" s="201"/>
      <c r="E306" s="206"/>
      <c r="F306" s="203" t="s">
        <v>53</v>
      </c>
      <c r="G306" s="204"/>
      <c r="H306" s="188" t="s">
        <v>37</v>
      </c>
      <c r="I306" s="195">
        <f ca="1">IFERROR(__xludf.DUMMYFUNCTION("IMPORTRANGE(""https://docs.google.com/spreadsheets/d/1IYY_tgx_IHuhSq3AJ5eI5OnqOPBNLWSHKh2a30DoXe8/edit?usp=sharing"",""สตูล!I211"")"),0)</f>
        <v>0</v>
      </c>
      <c r="J306" s="211">
        <f ca="1">IFERROR(__xludf.DUMMYFUNCTION("IMPORTRANGE(""https://docs.google.com/spreadsheets/d/1IYY_tgx_IHuhSq3AJ5eI5OnqOPBNLWSHKh2a30DoXe8/edit?usp=sharing"",""สตูล!J211"")"),0)</f>
        <v>0</v>
      </c>
      <c r="K306" s="231">
        <f ca="1">IF(I306&gt;0,J306*100/I306,0)</f>
        <v>0</v>
      </c>
      <c r="L306" s="176"/>
      <c r="M306" s="176"/>
      <c r="N306" s="176"/>
      <c r="O306" s="189"/>
      <c r="P306" s="189"/>
    </row>
    <row r="307" spans="1:16" ht="21.75" customHeight="1" x14ac:dyDescent="0.35">
      <c r="A307" s="183"/>
      <c r="B307" s="184"/>
      <c r="C307" s="184"/>
      <c r="D307" s="201"/>
      <c r="E307" s="202" t="s">
        <v>54</v>
      </c>
      <c r="F307" s="203"/>
      <c r="G307" s="204"/>
      <c r="H307" s="194"/>
      <c r="I307" s="195"/>
      <c r="J307" s="195">
        <f ca="1">IFERROR(__xludf.DUMMYFUNCTION("IMPORTRANGE(""https://docs.google.com/spreadsheets/d/1IYY_tgx_IHuhSq3AJ5eI5OnqOPBNLWSHKh2a30DoXe8/edit?usp=sharing"",""สตูล!J212"")"),0)</f>
        <v>0</v>
      </c>
      <c r="K307" s="231"/>
      <c r="L307" s="176"/>
      <c r="M307" s="176"/>
      <c r="N307" s="176"/>
      <c r="O307" s="189"/>
      <c r="P307" s="189"/>
    </row>
    <row r="308" spans="1:16" ht="21.75" customHeight="1" x14ac:dyDescent="0.35">
      <c r="A308" s="183"/>
      <c r="B308" s="184"/>
      <c r="C308" s="184"/>
      <c r="D308" s="213">
        <v>3</v>
      </c>
      <c r="E308" s="214" t="s">
        <v>55</v>
      </c>
      <c r="F308" s="215"/>
      <c r="G308" s="216"/>
      <c r="H308" s="194"/>
      <c r="I308" s="195"/>
      <c r="J308" s="332">
        <f ca="1">IFERROR(__xludf.DUMMYFUNCTION("IMPORTRANGE(""https://docs.google.com/spreadsheets/d/1IYY_tgx_IHuhSq3AJ5eI5OnqOPBNLWSHKh2a30DoXe8/edit?usp=sharing"",""สตูล!J213"")"),0)</f>
        <v>0</v>
      </c>
      <c r="K308" s="231"/>
      <c r="L308" s="176"/>
      <c r="M308" s="176"/>
      <c r="N308" s="176"/>
      <c r="O308" s="189"/>
      <c r="P308" s="189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IFERROR(__xludf.DUMMYFUNCTION("IMPORTRANGE(""https://docs.google.com/spreadsheets/d/1IYY_tgx_IHuhSq3AJ5eI5OnqOPBNLWSHKh2a30DoXe8/edit?usp=sharing"",""สตูล!I214"")"),0)</f>
        <v>0</v>
      </c>
      <c r="J309" s="339">
        <f ca="1">IFERROR(__xludf.DUMMYFUNCTION("IMPORTRANGE(""https://docs.google.com/spreadsheets/d/1IYY_tgx_IHuhSq3AJ5eI5OnqOPBNLWSHKh2a30DoXe8/edit?usp=sharing"",""สตูล!J214"")"),0)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52" t="s">
        <v>17</v>
      </c>
      <c r="E310" s="543"/>
      <c r="F310" s="543"/>
      <c r="G310" s="54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5">
      <c r="A313" s="162"/>
      <c r="B313" s="163"/>
      <c r="C313" s="163" t="s">
        <v>16</v>
      </c>
      <c r="D313" s="164" t="s">
        <v>38</v>
      </c>
      <c r="E313" s="165"/>
      <c r="F313" s="165"/>
      <c r="G313" s="166" t="s">
        <v>39</v>
      </c>
      <c r="H313" s="167" t="s">
        <v>12</v>
      </c>
      <c r="I313" s="168" t="s">
        <v>40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 x14ac:dyDescent="0.35">
      <c r="A314" s="162"/>
      <c r="B314" s="163"/>
      <c r="C314" s="163"/>
      <c r="D314" s="172"/>
      <c r="E314" s="165"/>
      <c r="F314" s="165" t="s">
        <v>40</v>
      </c>
      <c r="G314" s="166" t="s">
        <v>41</v>
      </c>
      <c r="H314" s="167" t="s">
        <v>12</v>
      </c>
      <c r="I314" s="168"/>
      <c r="J314" s="168"/>
      <c r="K314" s="169"/>
      <c r="L314" s="173">
        <f ca="1">L315+L316</f>
        <v>0</v>
      </c>
      <c r="M314" s="174">
        <f ca="1">IFERROR(__xludf.DUMMYFUNCTION("IMPORTRANGE(""https://docs.google.com/spreadsheets/d/1Yj_ptqi66GCucihVvJfMjLAmec39IyEx_6qawtMGysU/edit?usp=sharing"",""สบก!DC93"")"),0)</f>
        <v>0</v>
      </c>
      <c r="N314" s="175">
        <f ca="1">IFERROR(__xludf.DUMMYFUNCTION("IMPORTRANGE(""https://docs.google.com/spreadsheets/d/1Yj_ptqi66GCucihVvJfMjLAmec39IyEx_6qawtMGysU/edit?usp=sharing"",""สบก!DD93"")"),0)</f>
        <v>0</v>
      </c>
      <c r="O314" s="176">
        <f ca="1">IF(L314&gt;0,N314*100/L314,0)</f>
        <v>0</v>
      </c>
      <c r="P314" s="176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2"/>
      <c r="E315" s="165"/>
      <c r="F315" s="165"/>
      <c r="G315" s="177" t="s">
        <v>42</v>
      </c>
      <c r="H315" s="167" t="s">
        <v>12</v>
      </c>
      <c r="I315" s="168"/>
      <c r="J315" s="168"/>
      <c r="K315" s="169"/>
      <c r="L315" s="174">
        <f ca="1">IFERROR(__xludf.DUMMYFUNCTION("IMPORTRANGE(""https://docs.google.com/spreadsheets/d/1Yj_ptqi66GCucihVvJfMjLAmec39IyEx_6qawtMGysU/edit?usp=sharing"",""สบก!CY93"")"),0)</f>
        <v>0</v>
      </c>
      <c r="M315" s="173"/>
      <c r="N315" s="173"/>
      <c r="O315" s="176"/>
      <c r="P315" s="176"/>
    </row>
    <row r="316" spans="1:16" ht="21.75" customHeight="1" x14ac:dyDescent="0.35">
      <c r="A316" s="162"/>
      <c r="B316" s="163"/>
      <c r="C316" s="163"/>
      <c r="D316" s="172"/>
      <c r="E316" s="165"/>
      <c r="F316" s="165"/>
      <c r="G316" s="177" t="s">
        <v>43</v>
      </c>
      <c r="H316" s="167" t="s">
        <v>12</v>
      </c>
      <c r="I316" s="168"/>
      <c r="J316" s="195"/>
      <c r="K316" s="231"/>
      <c r="L316" s="174">
        <f ca="1">IFERROR(__xludf.DUMMYFUNCTION("IMPORTRANGE(""https://docs.google.com/spreadsheets/d/1Yj_ptqi66GCucihVvJfMjLAmec39IyEx_6qawtMGysU/edit?usp=sharing"",""สบก!CZ93"")"),0)</f>
        <v>0</v>
      </c>
      <c r="M316" s="173"/>
      <c r="N316" s="173"/>
      <c r="O316" s="176"/>
      <c r="P316" s="176"/>
    </row>
    <row r="317" spans="1:16" ht="21.75" customHeight="1" x14ac:dyDescent="0.45">
      <c r="A317" s="178"/>
      <c r="B317" s="81"/>
      <c r="C317" s="82" t="s">
        <v>16</v>
      </c>
      <c r="D317" s="549" t="s">
        <v>23</v>
      </c>
      <c r="E317" s="545"/>
      <c r="F317" s="89"/>
      <c r="G317" s="83" t="s">
        <v>18</v>
      </c>
      <c r="H317" s="179" t="s">
        <v>12</v>
      </c>
      <c r="I317" s="168"/>
      <c r="J317" s="195"/>
      <c r="K317" s="231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80"/>
      <c r="B318" s="95"/>
      <c r="C318" s="95"/>
      <c r="D318" s="181"/>
      <c r="E318" s="96"/>
      <c r="F318" s="96"/>
      <c r="G318" s="97" t="s">
        <v>19</v>
      </c>
      <c r="H318" s="182" t="s">
        <v>12</v>
      </c>
      <c r="I318" s="168"/>
      <c r="J318" s="195"/>
      <c r="K318" s="231"/>
      <c r="L318" s="91">
        <f ca="1">IFERROR(__xludf.DUMMYFUNCTION("IMPORTRANGE(""https://docs.google.com/spreadsheets/d/1Yj_ptqi66GCucihVvJfMjLAmec39IyEx_6qawtMGysU/edit?usp=sharing"",""สบก!DA93"")"),0)</f>
        <v>0</v>
      </c>
      <c r="M318" s="101"/>
      <c r="N318" s="91">
        <f ca="1">IFERROR(__xludf.DUMMYFUNCTION("IMPORTRANGE(""https://docs.google.com/spreadsheets/d/1Yj_ptqi66GCucihVvJfMjLAmec39IyEx_6qawtMGysU/edit?usp=sharing"",""สบก!DE93"")"),0)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3"/>
      <c r="B319" s="184"/>
      <c r="C319" s="163" t="s">
        <v>16</v>
      </c>
      <c r="D319" s="185" t="s">
        <v>44</v>
      </c>
      <c r="E319" s="186"/>
      <c r="F319" s="186"/>
      <c r="G319" s="187"/>
      <c r="H319" s="188"/>
      <c r="I319" s="168"/>
      <c r="J319" s="195"/>
      <c r="K319" s="231"/>
      <c r="L319" s="176"/>
      <c r="M319" s="176"/>
      <c r="N319" s="176"/>
      <c r="O319" s="189"/>
      <c r="P319" s="189"/>
    </row>
    <row r="320" spans="1:16" ht="21.75" customHeight="1" x14ac:dyDescent="0.35">
      <c r="A320" s="183"/>
      <c r="B320" s="184"/>
      <c r="C320" s="184"/>
      <c r="D320" s="190">
        <v>1</v>
      </c>
      <c r="E320" s="191" t="s">
        <v>45</v>
      </c>
      <c r="F320" s="192"/>
      <c r="G320" s="193"/>
      <c r="H320" s="194"/>
      <c r="I320" s="195"/>
      <c r="J320" s="195">
        <f ca="1">IFERROR(__xludf.DUMMYFUNCTION("IMPORTRANGE(""https://docs.google.com/spreadsheets/d/1IYY_tgx_IHuhSq3AJ5eI5OnqOPBNLWSHKh2a30DoXe8/edit?usp=sharing"",""สตูล!J220"")"),0)</f>
        <v>0</v>
      </c>
      <c r="K320" s="231"/>
      <c r="L320" s="176"/>
      <c r="M320" s="176"/>
      <c r="N320" s="176"/>
      <c r="O320" s="189"/>
      <c r="P320" s="189"/>
    </row>
    <row r="321" spans="1:16" ht="21.75" customHeight="1" x14ac:dyDescent="0.35">
      <c r="A321" s="183"/>
      <c r="B321" s="184"/>
      <c r="C321" s="184"/>
      <c r="D321" s="197">
        <v>2</v>
      </c>
      <c r="E321" s="198" t="s">
        <v>46</v>
      </c>
      <c r="F321" s="199"/>
      <c r="G321" s="200"/>
      <c r="H321" s="194"/>
      <c r="I321" s="195"/>
      <c r="J321" s="195">
        <f ca="1">IFERROR(__xludf.DUMMYFUNCTION("IMPORTRANGE(""https://docs.google.com/spreadsheets/d/1IYY_tgx_IHuhSq3AJ5eI5OnqOPBNLWSHKh2a30DoXe8/edit?usp=sharing"",""สตูล!J221"")"),0)</f>
        <v>0</v>
      </c>
      <c r="K321" s="231"/>
      <c r="L321" s="176" t="s">
        <v>40</v>
      </c>
      <c r="M321" s="176"/>
      <c r="N321" s="176" t="s">
        <v>40</v>
      </c>
      <c r="O321" s="189"/>
      <c r="P321" s="189"/>
    </row>
    <row r="322" spans="1:16" ht="21.75" customHeight="1" x14ac:dyDescent="0.35">
      <c r="A322" s="183"/>
      <c r="B322" s="184"/>
      <c r="C322" s="184"/>
      <c r="D322" s="201"/>
      <c r="E322" s="202" t="s">
        <v>47</v>
      </c>
      <c r="F322" s="203"/>
      <c r="G322" s="204"/>
      <c r="H322" s="194"/>
      <c r="I322" s="195"/>
      <c r="J322" s="195">
        <f ca="1">IFERROR(__xludf.DUMMYFUNCTION("IMPORTRANGE(""https://docs.google.com/spreadsheets/d/1IYY_tgx_IHuhSq3AJ5eI5OnqOPBNLWSHKh2a30DoXe8/edit?usp=sharing"",""สตูล!J222"")"),0)</f>
        <v>0</v>
      </c>
      <c r="K322" s="231"/>
      <c r="L322" s="176"/>
      <c r="M322" s="176"/>
      <c r="N322" s="176"/>
      <c r="O322" s="189"/>
      <c r="P322" s="189"/>
    </row>
    <row r="323" spans="1:16" ht="21.75" customHeight="1" x14ac:dyDescent="0.35">
      <c r="A323" s="183"/>
      <c r="B323" s="184"/>
      <c r="C323" s="184"/>
      <c r="D323" s="201"/>
      <c r="E323" s="202" t="s">
        <v>48</v>
      </c>
      <c r="F323" s="203"/>
      <c r="G323" s="204"/>
      <c r="H323" s="194"/>
      <c r="I323" s="195"/>
      <c r="J323" s="195">
        <f ca="1">IFERROR(__xludf.DUMMYFUNCTION("IMPORTRANGE(""https://docs.google.com/spreadsheets/d/1IYY_tgx_IHuhSq3AJ5eI5OnqOPBNLWSHKh2a30DoXe8/edit?usp=sharing"",""สตูล!J223"")"),0)</f>
        <v>0</v>
      </c>
      <c r="K323" s="231"/>
      <c r="L323" s="176"/>
      <c r="M323" s="176"/>
      <c r="N323" s="176"/>
      <c r="O323" s="189"/>
      <c r="P323" s="189"/>
    </row>
    <row r="324" spans="1:16" ht="21.75" customHeight="1" x14ac:dyDescent="0.35">
      <c r="A324" s="183"/>
      <c r="B324" s="184"/>
      <c r="C324" s="184"/>
      <c r="D324" s="201"/>
      <c r="E324" s="206"/>
      <c r="F324" s="202" t="s">
        <v>117</v>
      </c>
      <c r="G324" s="204"/>
      <c r="H324" s="194" t="s">
        <v>116</v>
      </c>
      <c r="I324" s="195">
        <f ca="1">IFERROR(__xludf.DUMMYFUNCTION("IMPORTRANGE(""https://docs.google.com/spreadsheets/d/1IYY_tgx_IHuhSq3AJ5eI5OnqOPBNLWSHKh2a30DoXe8/edit?usp=sharing"",""สตูล!I224"")"),0)</f>
        <v>0</v>
      </c>
      <c r="J324" s="211">
        <f ca="1">IFERROR(__xludf.DUMMYFUNCTION("IMPORTRANGE(""https://docs.google.com/spreadsheets/d/1IYY_tgx_IHuhSq3AJ5eI5OnqOPBNLWSHKh2a30DoXe8/edit?usp=sharing"",""สตูล!J224"")"),0)</f>
        <v>0</v>
      </c>
      <c r="K324" s="231">
        <f ca="1">IF(I324&gt;0,J324*100/I324,0)</f>
        <v>0</v>
      </c>
      <c r="L324" s="176"/>
      <c r="M324" s="176"/>
      <c r="N324" s="176"/>
      <c r="O324" s="189"/>
      <c r="P324" s="189"/>
    </row>
    <row r="325" spans="1:16" ht="21.75" customHeight="1" x14ac:dyDescent="0.35">
      <c r="A325" s="183"/>
      <c r="B325" s="184"/>
      <c r="C325" s="184"/>
      <c r="D325" s="201"/>
      <c r="E325" s="202" t="s">
        <v>54</v>
      </c>
      <c r="F325" s="203"/>
      <c r="G325" s="204"/>
      <c r="H325" s="194"/>
      <c r="I325" s="195"/>
      <c r="J325" s="195">
        <f ca="1">IFERROR(__xludf.DUMMYFUNCTION("IMPORTRANGE(""https://docs.google.com/spreadsheets/d/1IYY_tgx_IHuhSq3AJ5eI5OnqOPBNLWSHKh2a30DoXe8/edit?usp=sharing"",""สตูล!J225"")"),0)</f>
        <v>0</v>
      </c>
      <c r="K325" s="231"/>
      <c r="L325" s="176"/>
      <c r="M325" s="176"/>
      <c r="N325" s="176"/>
      <c r="O325" s="189"/>
      <c r="P325" s="189"/>
    </row>
    <row r="326" spans="1:16" ht="21.75" customHeight="1" x14ac:dyDescent="0.35">
      <c r="A326" s="183"/>
      <c r="B326" s="184"/>
      <c r="C326" s="184"/>
      <c r="D326" s="213">
        <v>3</v>
      </c>
      <c r="E326" s="214" t="s">
        <v>55</v>
      </c>
      <c r="F326" s="215"/>
      <c r="G326" s="216"/>
      <c r="H326" s="194"/>
      <c r="I326" s="195"/>
      <c r="J326" s="234">
        <f ca="1">IFERROR(__xludf.DUMMYFUNCTION("IMPORTRANGE(""https://docs.google.com/spreadsheets/d/1IYY_tgx_IHuhSq3AJ5eI5OnqOPBNLWSHKh2a30DoXe8/edit?usp=sharing"",""สตูล!J226"")"),0)</f>
        <v>0</v>
      </c>
      <c r="K326" s="231"/>
      <c r="L326" s="176"/>
      <c r="M326" s="176"/>
      <c r="N326" s="176"/>
      <c r="O326" s="189"/>
      <c r="P326" s="189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IFERROR(__xludf.DUMMYFUNCTION("IMPORTRANGE(""https://docs.google.com/spreadsheets/d/1IYY_tgx_IHuhSq3AJ5eI5OnqOPBNLWSHKh2a30DoXe8/edit?usp=sharing"",""สตูล!I228"")"),50)</f>
        <v>50</v>
      </c>
      <c r="J328" s="345">
        <f ca="1">IFERROR(__xludf.DUMMYFUNCTION("IMPORTRANGE(""https://docs.google.com/spreadsheets/d/1IYY_tgx_IHuhSq3AJ5eI5OnqOPBNLWSHKh2a30DoXe8/edit?usp=sharing"",""สตูล!J228"")"),19)</f>
        <v>19</v>
      </c>
      <c r="K328" s="323">
        <f ca="1">IF(I328&gt;0,J328*100/I328,0)</f>
        <v>38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52" t="s">
        <v>17</v>
      </c>
      <c r="E329" s="543"/>
      <c r="F329" s="543"/>
      <c r="G329" s="543"/>
      <c r="H329" s="153" t="s">
        <v>12</v>
      </c>
      <c r="I329" s="168"/>
      <c r="J329" s="168"/>
      <c r="K329" s="169"/>
      <c r="L329" s="156">
        <f t="shared" ref="L329:N329" ca="1" si="98">L330+L331</f>
        <v>926350</v>
      </c>
      <c r="M329" s="156">
        <f t="shared" ca="1" si="98"/>
        <v>555400</v>
      </c>
      <c r="N329" s="156">
        <f t="shared" ca="1" si="98"/>
        <v>526952</v>
      </c>
      <c r="O329" s="155">
        <f t="shared" ref="O329:O331" ca="1" si="99">IF(L329&gt;0,N329*100/L329,0)</f>
        <v>56.884762778647378</v>
      </c>
      <c r="P329" s="155">
        <f t="shared" ref="P329:P331" ca="1" si="100">IF(M329&gt;0,N329*100/M329,0)</f>
        <v>94.87792581922939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8"/>
      <c r="J330" s="168"/>
      <c r="K330" s="169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8"/>
      <c r="J331" s="168"/>
      <c r="K331" s="169"/>
      <c r="L331" s="161">
        <f t="shared" ref="L331:N331" ca="1" si="102">L333+L337</f>
        <v>926350</v>
      </c>
      <c r="M331" s="161">
        <f t="shared" ca="1" si="102"/>
        <v>555400</v>
      </c>
      <c r="N331" s="161">
        <f t="shared" ca="1" si="102"/>
        <v>526952</v>
      </c>
      <c r="O331" s="160">
        <f t="shared" ca="1" si="99"/>
        <v>56.884762778647378</v>
      </c>
      <c r="P331" s="160">
        <f t="shared" ca="1" si="100"/>
        <v>94.87792581922939</v>
      </c>
    </row>
    <row r="332" spans="1:16" ht="21.75" customHeight="1" x14ac:dyDescent="0.35">
      <c r="A332" s="162"/>
      <c r="B332" s="163"/>
      <c r="C332" s="163" t="s">
        <v>16</v>
      </c>
      <c r="D332" s="164" t="s">
        <v>38</v>
      </c>
      <c r="E332" s="165"/>
      <c r="F332" s="165"/>
      <c r="G332" s="166" t="s">
        <v>39</v>
      </c>
      <c r="H332" s="167" t="s">
        <v>12</v>
      </c>
      <c r="I332" s="168" t="s">
        <v>40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 x14ac:dyDescent="0.35">
      <c r="A333" s="162"/>
      <c r="B333" s="163"/>
      <c r="C333" s="163"/>
      <c r="D333" s="172"/>
      <c r="E333" s="165"/>
      <c r="F333" s="165" t="s">
        <v>40</v>
      </c>
      <c r="G333" s="166" t="s">
        <v>41</v>
      </c>
      <c r="H333" s="167" t="s">
        <v>12</v>
      </c>
      <c r="I333" s="168"/>
      <c r="J333" s="168"/>
      <c r="K333" s="169"/>
      <c r="L333" s="173">
        <f ca="1">L334+L335</f>
        <v>757350</v>
      </c>
      <c r="M333" s="174">
        <f ca="1">IFERROR(__xludf.DUMMYFUNCTION("IMPORTRANGE(""https://docs.google.com/spreadsheets/d/1Yj_ptqi66GCucihVvJfMjLAmec39IyEx_6qawtMGysU/edit?usp=sharing"",""สบก!DL93"")"),386400)</f>
        <v>386400</v>
      </c>
      <c r="N333" s="175">
        <f ca="1">IFERROR(__xludf.DUMMYFUNCTION("IMPORTRANGE(""https://docs.google.com/spreadsheets/d/1Yj_ptqi66GCucihVvJfMjLAmec39IyEx_6qawtMGysU/edit?usp=sharing"",""สบก!DM93"")"),357952)</f>
        <v>357952</v>
      </c>
      <c r="O333" s="176">
        <f ca="1">IF(L333&gt;0,N333*100/L333,0)</f>
        <v>47.263748597081928</v>
      </c>
      <c r="P333" s="176">
        <f ca="1">IF(M333&gt;0,N333*100/M333,0)</f>
        <v>92.637681159420296</v>
      </c>
    </row>
    <row r="334" spans="1:16" ht="21.75" customHeight="1" x14ac:dyDescent="0.35">
      <c r="A334" s="162"/>
      <c r="B334" s="163"/>
      <c r="C334" s="163"/>
      <c r="D334" s="172"/>
      <c r="E334" s="165"/>
      <c r="F334" s="165"/>
      <c r="G334" s="177" t="s">
        <v>42</v>
      </c>
      <c r="H334" s="167" t="s">
        <v>12</v>
      </c>
      <c r="I334" s="168"/>
      <c r="J334" s="168"/>
      <c r="K334" s="169"/>
      <c r="L334" s="174">
        <f ca="1">IFERROR(__xludf.DUMMYFUNCTION("IMPORTRANGE(""https://docs.google.com/spreadsheets/d/1Yj_ptqi66GCucihVvJfMjLAmec39IyEx_6qawtMGysU/edit?usp=sharing"",""สบก!DH93"")"),530800)</f>
        <v>530800</v>
      </c>
      <c r="M334" s="173"/>
      <c r="N334" s="173"/>
      <c r="O334" s="176"/>
      <c r="P334" s="176"/>
    </row>
    <row r="335" spans="1:16" ht="21.75" customHeight="1" x14ac:dyDescent="0.35">
      <c r="A335" s="162"/>
      <c r="B335" s="163"/>
      <c r="C335" s="163"/>
      <c r="D335" s="172"/>
      <c r="E335" s="165"/>
      <c r="F335" s="165"/>
      <c r="G335" s="177" t="s">
        <v>43</v>
      </c>
      <c r="H335" s="167" t="s">
        <v>12</v>
      </c>
      <c r="I335" s="168"/>
      <c r="J335" s="168"/>
      <c r="K335" s="169"/>
      <c r="L335" s="174">
        <f ca="1">IFERROR(__xludf.DUMMYFUNCTION("IMPORTRANGE(""https://docs.google.com/spreadsheets/d/1Yj_ptqi66GCucihVvJfMjLAmec39IyEx_6qawtMGysU/edit?usp=sharing"",""สบก!DI93"")"),226550)</f>
        <v>226550</v>
      </c>
      <c r="M335" s="173"/>
      <c r="N335" s="173"/>
      <c r="O335" s="176"/>
      <c r="P335" s="176"/>
    </row>
    <row r="336" spans="1:16" ht="21.75" customHeight="1" x14ac:dyDescent="0.45">
      <c r="A336" s="178"/>
      <c r="B336" s="81"/>
      <c r="C336" s="82" t="s">
        <v>16</v>
      </c>
      <c r="D336" s="549" t="s">
        <v>23</v>
      </c>
      <c r="E336" s="545"/>
      <c r="F336" s="89"/>
      <c r="G336" s="83" t="s">
        <v>18</v>
      </c>
      <c r="H336" s="179" t="s">
        <v>12</v>
      </c>
      <c r="I336" s="168"/>
      <c r="J336" s="168"/>
      <c r="K336" s="169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80"/>
      <c r="B337" s="95"/>
      <c r="C337" s="95"/>
      <c r="D337" s="181"/>
      <c r="E337" s="96"/>
      <c r="F337" s="96"/>
      <c r="G337" s="97" t="s">
        <v>19</v>
      </c>
      <c r="H337" s="182" t="s">
        <v>12</v>
      </c>
      <c r="I337" s="168"/>
      <c r="J337" s="168"/>
      <c r="K337" s="169"/>
      <c r="L337" s="91">
        <f ca="1">IFERROR(__xludf.DUMMYFUNCTION("IMPORTRANGE(""https://docs.google.com/spreadsheets/d/1Yj_ptqi66GCucihVvJfMjLAmec39IyEx_6qawtMGysU/edit?usp=sharing"",""สบก!DJ93"")"),169000)</f>
        <v>169000</v>
      </c>
      <c r="M337" s="101">
        <f ca="1">L337</f>
        <v>169000</v>
      </c>
      <c r="N337" s="91">
        <f ca="1">IFERROR(__xludf.DUMMYFUNCTION("IMPORTRANGE(""https://docs.google.com/spreadsheets/d/1Yj_ptqi66GCucihVvJfMjLAmec39IyEx_6qawtMGysU/edit?usp=sharing"",""สบก!DN93"")"),169000)</f>
        <v>169000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3"/>
      <c r="B338" s="297"/>
      <c r="C338" s="346" t="s">
        <v>120</v>
      </c>
      <c r="D338" s="203"/>
      <c r="E338" s="203"/>
      <c r="F338" s="203"/>
      <c r="G338" s="204"/>
      <c r="H338" s="188"/>
      <c r="I338" s="347"/>
      <c r="J338" s="347"/>
      <c r="K338" s="348"/>
      <c r="L338" s="189"/>
      <c r="M338" s="189"/>
      <c r="N338" s="189"/>
      <c r="O338" s="349"/>
      <c r="P338" s="349"/>
    </row>
    <row r="339" spans="1:16" ht="21.75" customHeight="1" x14ac:dyDescent="0.35">
      <c r="A339" s="183"/>
      <c r="B339" s="297"/>
      <c r="C339" s="184"/>
      <c r="D339" s="203"/>
      <c r="E339" s="202" t="s">
        <v>121</v>
      </c>
      <c r="F339" s="203"/>
      <c r="G339" s="204"/>
      <c r="H339" s="350" t="s">
        <v>37</v>
      </c>
      <c r="I339" s="211">
        <f ca="1">IFERROR(__xludf.DUMMYFUNCTION("IMPORTRANGE(""https://docs.google.com/spreadsheets/d/1IYY_tgx_IHuhSq3AJ5eI5OnqOPBNLWSHKh2a30DoXe8/edit?usp=sharing"",""สตูล!I234"")"),0)</f>
        <v>0</v>
      </c>
      <c r="J339" s="195">
        <f ca="1">IFERROR(__xludf.DUMMYFUNCTION("IMPORTRANGE(""https://docs.google.com/spreadsheets/d/1IYY_tgx_IHuhSq3AJ5eI5OnqOPBNLWSHKh2a30DoXe8/edit?usp=sharing"",""สตูล!J234"")"),62)</f>
        <v>62</v>
      </c>
      <c r="K339" s="348">
        <f t="shared" ref="K339:K346" ca="1" si="103">IF(I339&gt;0,J339*100/I339,0)</f>
        <v>0</v>
      </c>
      <c r="L339" s="189"/>
      <c r="M339" s="189"/>
      <c r="N339" s="189"/>
      <c r="O339" s="349"/>
      <c r="P339" s="349"/>
    </row>
    <row r="340" spans="1:16" ht="21.75" customHeight="1" x14ac:dyDescent="0.35">
      <c r="A340" s="183"/>
      <c r="B340" s="297"/>
      <c r="C340" s="184"/>
      <c r="D340" s="203"/>
      <c r="E340" s="203"/>
      <c r="F340" s="203"/>
      <c r="G340" s="204"/>
      <c r="H340" s="350" t="s">
        <v>122</v>
      </c>
      <c r="I340" s="195">
        <f ca="1">IFERROR(__xludf.DUMMYFUNCTION("IMPORTRANGE(""https://docs.google.com/spreadsheets/d/1IYY_tgx_IHuhSq3AJ5eI5OnqOPBNLWSHKh2a30DoXe8/edit?usp=sharing"",""สตูล!I235"")"),480)</f>
        <v>480</v>
      </c>
      <c r="J340" s="195">
        <f ca="1">IFERROR(__xludf.DUMMYFUNCTION("IMPORTRANGE(""https://docs.google.com/spreadsheets/d/1IYY_tgx_IHuhSq3AJ5eI5OnqOPBNLWSHKh2a30DoXe8/edit?usp=sharing"",""สตูล!J235"")"),335.12)</f>
        <v>335.12</v>
      </c>
      <c r="K340" s="348">
        <f t="shared" ca="1" si="103"/>
        <v>69.816666666666663</v>
      </c>
      <c r="L340" s="189"/>
      <c r="M340" s="189"/>
      <c r="N340" s="189"/>
      <c r="O340" s="349"/>
      <c r="P340" s="349"/>
    </row>
    <row r="341" spans="1:16" ht="21.75" customHeight="1" x14ac:dyDescent="0.35">
      <c r="A341" s="183"/>
      <c r="B341" s="297"/>
      <c r="C341" s="184"/>
      <c r="D341" s="203"/>
      <c r="E341" s="202" t="s">
        <v>123</v>
      </c>
      <c r="F341" s="203"/>
      <c r="G341" s="204"/>
      <c r="H341" s="188" t="s">
        <v>37</v>
      </c>
      <c r="I341" s="195">
        <f ca="1">IFERROR(__xludf.DUMMYFUNCTION("IMPORTRANGE(""https://docs.google.com/spreadsheets/d/1IYY_tgx_IHuhSq3AJ5eI5OnqOPBNLWSHKh2a30DoXe8/edit?usp=sharing"",""สตูล!I236"")"),50)</f>
        <v>50</v>
      </c>
      <c r="J341" s="195">
        <f ca="1">IFERROR(__xludf.DUMMYFUNCTION("IMPORTRANGE(""https://docs.google.com/spreadsheets/d/1IYY_tgx_IHuhSq3AJ5eI5OnqOPBNLWSHKh2a30DoXe8/edit?usp=sharing"",""สตูล!J236"")"),62)</f>
        <v>62</v>
      </c>
      <c r="K341" s="348">
        <f t="shared" ca="1" si="103"/>
        <v>124</v>
      </c>
      <c r="L341" s="189"/>
      <c r="M341" s="189"/>
      <c r="N341" s="189"/>
      <c r="O341" s="349"/>
      <c r="P341" s="349"/>
    </row>
    <row r="342" spans="1:16" ht="21.75" customHeight="1" x14ac:dyDescent="0.35">
      <c r="A342" s="183"/>
      <c r="B342" s="297"/>
      <c r="C342" s="184"/>
      <c r="D342" s="203"/>
      <c r="E342" s="203"/>
      <c r="F342" s="203"/>
      <c r="G342" s="204"/>
      <c r="H342" s="188" t="s">
        <v>122</v>
      </c>
      <c r="I342" s="351">
        <f ca="1">IFERROR(__xludf.DUMMYFUNCTION("IMPORTRANGE(""https://docs.google.com/spreadsheets/d/1IYY_tgx_IHuhSq3AJ5eI5OnqOPBNLWSHKh2a30DoXe8/edit?usp=sharing"",""สตูล!I237"")"),0)</f>
        <v>0</v>
      </c>
      <c r="J342" s="195">
        <f ca="1">IFERROR(__xludf.DUMMYFUNCTION("IMPORTRANGE(""https://docs.google.com/spreadsheets/d/1IYY_tgx_IHuhSq3AJ5eI5OnqOPBNLWSHKh2a30DoXe8/edit?usp=sharing"",""สตูล!J237"")"),335.12)</f>
        <v>335.12</v>
      </c>
      <c r="K342" s="348">
        <f t="shared" ca="1" si="103"/>
        <v>0</v>
      </c>
      <c r="L342" s="189"/>
      <c r="M342" s="189"/>
      <c r="N342" s="189"/>
      <c r="O342" s="349"/>
      <c r="P342" s="349"/>
    </row>
    <row r="343" spans="1:16" ht="21.75" customHeight="1" x14ac:dyDescent="0.35">
      <c r="A343" s="183"/>
      <c r="B343" s="297"/>
      <c r="C343" s="184"/>
      <c r="D343" s="203"/>
      <c r="E343" s="202" t="s">
        <v>124</v>
      </c>
      <c r="F343" s="203"/>
      <c r="G343" s="204"/>
      <c r="H343" s="188" t="s">
        <v>37</v>
      </c>
      <c r="I343" s="195">
        <f ca="1">IFERROR(__xludf.DUMMYFUNCTION("IMPORTRANGE(""https://docs.google.com/spreadsheets/d/1IYY_tgx_IHuhSq3AJ5eI5OnqOPBNLWSHKh2a30DoXe8/edit?usp=sharing"",""สตูล!I238"")"),50)</f>
        <v>50</v>
      </c>
      <c r="J343" s="195">
        <f ca="1">IFERROR(__xludf.DUMMYFUNCTION("IMPORTRANGE(""https://docs.google.com/spreadsheets/d/1IYY_tgx_IHuhSq3AJ5eI5OnqOPBNLWSHKh2a30DoXe8/edit?usp=sharing"",""สตูล!J238"")"),43)</f>
        <v>43</v>
      </c>
      <c r="K343" s="348">
        <f t="shared" ca="1" si="103"/>
        <v>86</v>
      </c>
      <c r="L343" s="189"/>
      <c r="M343" s="189"/>
      <c r="N343" s="189"/>
      <c r="O343" s="349"/>
      <c r="P343" s="349"/>
    </row>
    <row r="344" spans="1:16" ht="21.75" customHeight="1" x14ac:dyDescent="0.35">
      <c r="A344" s="183"/>
      <c r="B344" s="297"/>
      <c r="C344" s="184"/>
      <c r="D344" s="203"/>
      <c r="E344" s="203"/>
      <c r="F344" s="203"/>
      <c r="G344" s="204"/>
      <c r="H344" s="188" t="s">
        <v>122</v>
      </c>
      <c r="I344" s="351">
        <f ca="1">IFERROR(__xludf.DUMMYFUNCTION("IMPORTRANGE(""https://docs.google.com/spreadsheets/d/1IYY_tgx_IHuhSq3AJ5eI5OnqOPBNLWSHKh2a30DoXe8/edit?usp=sharing"",""สตูล!I239"")"),0)</f>
        <v>0</v>
      </c>
      <c r="J344" s="195">
        <f ca="1">IFERROR(__xludf.DUMMYFUNCTION("IMPORTRANGE(""https://docs.google.com/spreadsheets/d/1IYY_tgx_IHuhSq3AJ5eI5OnqOPBNLWSHKh2a30DoXe8/edit?usp=sharing"",""สตูล!J239"")"),227.59)</f>
        <v>227.59</v>
      </c>
      <c r="K344" s="348">
        <f t="shared" ca="1" si="103"/>
        <v>0</v>
      </c>
      <c r="L344" s="189"/>
      <c r="M344" s="189"/>
      <c r="N344" s="189"/>
      <c r="O344" s="349"/>
      <c r="P344" s="349"/>
    </row>
    <row r="345" spans="1:16" ht="21.75" customHeight="1" x14ac:dyDescent="0.35">
      <c r="A345" s="183"/>
      <c r="B345" s="297"/>
      <c r="C345" s="184"/>
      <c r="D345" s="203"/>
      <c r="E345" s="202" t="s">
        <v>125</v>
      </c>
      <c r="F345" s="203"/>
      <c r="G345" s="204"/>
      <c r="H345" s="188" t="s">
        <v>37</v>
      </c>
      <c r="I345" s="195">
        <f ca="1">IFERROR(__xludf.DUMMYFUNCTION("IMPORTRANGE(""https://docs.google.com/spreadsheets/d/1IYY_tgx_IHuhSq3AJ5eI5OnqOPBNLWSHKh2a30DoXe8/edit?usp=sharing"",""สตูล!I240"")"),50)</f>
        <v>50</v>
      </c>
      <c r="J345" s="195">
        <f ca="1">IFERROR(__xludf.DUMMYFUNCTION("IMPORTRANGE(""https://docs.google.com/spreadsheets/d/1IYY_tgx_IHuhSq3AJ5eI5OnqOPBNLWSHKh2a30DoXe8/edit?usp=sharing"",""สตูล!J240"")"),19)</f>
        <v>19</v>
      </c>
      <c r="K345" s="348">
        <f t="shared" ca="1" si="103"/>
        <v>38</v>
      </c>
      <c r="L345" s="189"/>
      <c r="M345" s="189"/>
      <c r="N345" s="189"/>
      <c r="O345" s="349"/>
      <c r="P345" s="349"/>
    </row>
    <row r="346" spans="1:16" ht="21.75" customHeight="1" x14ac:dyDescent="0.35">
      <c r="A346" s="241"/>
      <c r="B346" s="352"/>
      <c r="C346" s="242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IFERROR(__xludf.DUMMYFUNCTION("IMPORTRANGE(""https://docs.google.com/spreadsheets/d/1IYY_tgx_IHuhSq3AJ5eI5OnqOPBNLWSHKh2a30DoXe8/edit?usp=sharing"",""สตูล!I241"")"),0)</f>
        <v>0</v>
      </c>
      <c r="J346" s="195">
        <f ca="1">IFERROR(__xludf.DUMMYFUNCTION("IMPORTRANGE(""https://docs.google.com/spreadsheets/d/1IYY_tgx_IHuhSq3AJ5eI5OnqOPBNLWSHKh2a30DoXe8/edit?usp=sharing"",""สตูล!J241"")"),107.53)</f>
        <v>107.53</v>
      </c>
      <c r="K346" s="357">
        <f t="shared" ca="1" si="103"/>
        <v>0</v>
      </c>
      <c r="L346" s="252"/>
      <c r="M346" s="252"/>
      <c r="N346" s="252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IFERROR(__xludf.DUMMYFUNCTION("IMPORTRANGE(""https://docs.google.com/spreadsheets/d/1IYY_tgx_IHuhSq3AJ5eI5OnqOPBNLWSHKh2a30DoXe8/edit?usp=sharing"",""สตูล!L242"")"),501176)</f>
        <v>501176</v>
      </c>
      <c r="M347" s="364"/>
      <c r="N347" s="364">
        <f ca="1">IFERROR(__xludf.DUMMYFUNCTION("IMPORTRANGE(""https://docs.google.com/spreadsheets/d/1IYY_tgx_IHuhSq3AJ5eI5OnqOPBNLWSHKh2a30DoXe8/edit?usp=sharing"",""สตูล!M242"")"),195656)</f>
        <v>195656</v>
      </c>
      <c r="O347" s="364">
        <f ca="1">+IF(L347&gt;0,N347*100/L347,0)</f>
        <v>39.03937937969895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IFERROR(__xludf.DUMMYFUNCTION("IMPORTRANGE(""https://docs.google.com/spreadsheets/d/1IYY_tgx_IHuhSq3AJ5eI5OnqOPBNLWSHKh2a30DoXe8/edit?usp=sharing"",""สตูล!I244"")"),0)</f>
        <v>0</v>
      </c>
      <c r="J349" s="377">
        <f ca="1">IFERROR(__xludf.DUMMYFUNCTION("IMPORTRANGE(""https://docs.google.com/spreadsheets/d/1IYY_tgx_IHuhSq3AJ5eI5OnqOPBNLWSHKh2a30DoXe8/edit?usp=sharing"",""สตูล!J244"")"),0)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IFERROR(__xludf.DUMMYFUNCTION("IMPORTRANGE(""https://docs.google.com/spreadsheets/d/1IYY_tgx_IHuhSq3AJ5eI5OnqOPBNLWSHKh2a30DoXe8/edit?usp=sharing"",""สตูล!L244"")"),0)</f>
        <v>0</v>
      </c>
      <c r="M349" s="379"/>
      <c r="N349" s="379">
        <f ca="1">IFERROR(__xludf.DUMMYFUNCTION("IMPORTRANGE(""https://docs.google.com/spreadsheets/d/1IYY_tgx_IHuhSq3AJ5eI5OnqOPBNLWSHKh2a30DoXe8/edit?usp=sharing"",""สตูล!M244"")"),0)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IFERROR(__xludf.DUMMYFUNCTION("IMPORTRANGE(""https://docs.google.com/spreadsheets/d/1IYY_tgx_IHuhSq3AJ5eI5OnqOPBNLWSHKh2a30DoXe8/edit?usp=sharing"",""สตูล!I245"")"),0)</f>
        <v>0</v>
      </c>
      <c r="J350" s="377">
        <f ca="1">IFERROR(__xludf.DUMMYFUNCTION("IMPORTRANGE(""https://docs.google.com/spreadsheets/d/1IYY_tgx_IHuhSq3AJ5eI5OnqOPBNLWSHKh2a30DoXe8/edit?usp=sharing"",""สตูล!J245"")"),0)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164" t="s">
        <v>38</v>
      </c>
      <c r="E351" s="165"/>
      <c r="F351" s="165"/>
      <c r="G351" s="166" t="s">
        <v>39</v>
      </c>
      <c r="H351" s="167" t="s">
        <v>12</v>
      </c>
      <c r="I351" s="168" t="s">
        <v>40</v>
      </c>
      <c r="J351" s="168"/>
      <c r="K351" s="169"/>
      <c r="L351" s="170">
        <f ca="1">IFERROR(__xludf.DUMMYFUNCTION("IMPORTRANGE(""https://docs.google.com/spreadsheets/d/1IYY_tgx_IHuhSq3AJ5eI5OnqOPBNLWSHKh2a30DoXe8/edit?usp=sharing"",""สตูล!L246"")"),0)</f>
        <v>0</v>
      </c>
      <c r="M351" s="170"/>
      <c r="N351" s="170">
        <f ca="1">IFERROR(__xludf.DUMMYFUNCTION("IMPORTRANGE(""https://docs.google.com/spreadsheets/d/1IYY_tgx_IHuhSq3AJ5eI5OnqOPBNLWSHKh2a30DoXe8/edit?usp=sharing"",""สตูล!M246"")"),0)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 x14ac:dyDescent="0.35">
      <c r="A352" s="162"/>
      <c r="B352" s="163"/>
      <c r="C352" s="163"/>
      <c r="D352" s="172"/>
      <c r="E352" s="165"/>
      <c r="F352" s="165" t="s">
        <v>40</v>
      </c>
      <c r="G352" s="166" t="s">
        <v>41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IFERROR(__xludf.DUMMYFUNCTION("IMPORTRANGE(""https://docs.google.com/spreadsheets/d/1IYY_tgx_IHuhSq3AJ5eI5OnqOPBNLWSHKh2a30DoXe8/edit?usp=sharing"",""สตูล!L247"")"),0)</f>
        <v>0</v>
      </c>
      <c r="M352" s="171"/>
      <c r="N352" s="170">
        <f ca="1">IFERROR(__xludf.DUMMYFUNCTION("IMPORTRANGE(""https://docs.google.com/spreadsheets/d/1IYY_tgx_IHuhSq3AJ5eI5OnqOPBNLWSHKh2a30DoXe8/edit?usp=sharing"",""สตูล!M247"")"),0)</f>
        <v>0</v>
      </c>
      <c r="O352" s="171">
        <f t="shared" ca="1" si="105"/>
        <v>0</v>
      </c>
      <c r="P352" s="171"/>
    </row>
    <row r="353" spans="1:16" ht="21.75" customHeight="1" x14ac:dyDescent="0.35">
      <c r="A353" s="162"/>
      <c r="B353" s="163"/>
      <c r="C353" s="163"/>
      <c r="D353" s="172"/>
      <c r="E353" s="165"/>
      <c r="F353" s="165"/>
      <c r="G353" s="380" t="s">
        <v>129</v>
      </c>
      <c r="H353" s="167" t="s">
        <v>12</v>
      </c>
      <c r="I353" s="168"/>
      <c r="J353" s="168"/>
      <c r="K353" s="169"/>
      <c r="L353" s="176">
        <f ca="1">IFERROR(__xludf.DUMMYFUNCTION("IMPORTRANGE(""https://docs.google.com/spreadsheets/d/1IYY_tgx_IHuhSq3AJ5eI5OnqOPBNLWSHKh2a30DoXe8/edit?usp=sharing"",""สตูล!L248"")"),0)</f>
        <v>0</v>
      </c>
      <c r="M353" s="176"/>
      <c r="N353" s="176">
        <f ca="1">IFERROR(__xludf.DUMMYFUNCTION("IMPORTRANGE(""https://docs.google.com/spreadsheets/d/1IYY_tgx_IHuhSq3AJ5eI5OnqOPBNLWSHKh2a30DoXe8/edit?usp=sharing"",""สตูล!M248"")"),0)</f>
        <v>0</v>
      </c>
      <c r="O353" s="176">
        <f t="shared" ca="1" si="105"/>
        <v>0</v>
      </c>
      <c r="P353" s="176"/>
    </row>
    <row r="354" spans="1:16" ht="21.75" customHeight="1" x14ac:dyDescent="0.35">
      <c r="A354" s="162"/>
      <c r="B354" s="163"/>
      <c r="C354" s="163"/>
      <c r="D354" s="172"/>
      <c r="E354" s="165"/>
      <c r="F354" s="165"/>
      <c r="G354" s="380" t="s">
        <v>130</v>
      </c>
      <c r="H354" s="167" t="s">
        <v>12</v>
      </c>
      <c r="I354" s="168"/>
      <c r="J354" s="168"/>
      <c r="K354" s="169"/>
      <c r="L354" s="176">
        <f ca="1">IFERROR(__xludf.DUMMYFUNCTION("IMPORTRANGE(""https://docs.google.com/spreadsheets/d/1IYY_tgx_IHuhSq3AJ5eI5OnqOPBNLWSHKh2a30DoXe8/edit?usp=sharing"",""สตูล!L249"")"),0)</f>
        <v>0</v>
      </c>
      <c r="M354" s="176"/>
      <c r="N354" s="173">
        <f ca="1">IFERROR(__xludf.DUMMYFUNCTION("IMPORTRANGE(""https://docs.google.com/spreadsheets/d/1IYY_tgx_IHuhSq3AJ5eI5OnqOPBNLWSHKh2a30DoXe8/edit?usp=sharing"",""สตูล!M249"")"),0)</f>
        <v>0</v>
      </c>
      <c r="O354" s="176">
        <f t="shared" ca="1" si="105"/>
        <v>0</v>
      </c>
      <c r="P354" s="176"/>
    </row>
    <row r="355" spans="1:16" ht="21.75" customHeight="1" x14ac:dyDescent="0.35">
      <c r="A355" s="381"/>
      <c r="B355" s="382"/>
      <c r="C355" s="163"/>
      <c r="D355" s="383"/>
      <c r="E355" s="165"/>
      <c r="F355" s="165"/>
      <c r="G355" s="384" t="s">
        <v>131</v>
      </c>
      <c r="H355" s="167" t="s">
        <v>12</v>
      </c>
      <c r="I355" s="195"/>
      <c r="J355" s="195"/>
      <c r="K355" s="231"/>
      <c r="L355" s="176"/>
      <c r="M355" s="176"/>
      <c r="N355" s="385">
        <f ca="1">IFERROR(__xludf.DUMMYFUNCTION("IMPORTRANGE(""https://docs.google.com/spreadsheets/d/1IYY_tgx_IHuhSq3AJ5eI5OnqOPBNLWSHKh2a30DoXe8/edit?usp=sharing"",""สตูล!M250"")"),0)</f>
        <v>0</v>
      </c>
      <c r="O355" s="176"/>
      <c r="P355" s="176"/>
    </row>
    <row r="356" spans="1:16" ht="21.75" customHeight="1" x14ac:dyDescent="0.35">
      <c r="A356" s="381"/>
      <c r="B356" s="382"/>
      <c r="C356" s="163"/>
      <c r="D356" s="383"/>
      <c r="E356" s="165"/>
      <c r="F356" s="165"/>
      <c r="G356" s="384" t="s">
        <v>132</v>
      </c>
      <c r="H356" s="167" t="s">
        <v>12</v>
      </c>
      <c r="I356" s="195"/>
      <c r="J356" s="195"/>
      <c r="K356" s="231"/>
      <c r="L356" s="176"/>
      <c r="M356" s="176"/>
      <c r="N356" s="385">
        <f ca="1">IFERROR(__xludf.DUMMYFUNCTION("IMPORTRANGE(""https://docs.google.com/spreadsheets/d/1IYY_tgx_IHuhSq3AJ5eI5OnqOPBNLWSHKh2a30DoXe8/edit?usp=sharing"",""สตูล!M251"")"),0)</f>
        <v>0</v>
      </c>
      <c r="O356" s="176"/>
      <c r="P356" s="176"/>
    </row>
    <row r="357" spans="1:16" ht="21.75" customHeight="1" x14ac:dyDescent="0.35">
      <c r="A357" s="381"/>
      <c r="B357" s="382"/>
      <c r="C357" s="163"/>
      <c r="D357" s="383"/>
      <c r="E357" s="165"/>
      <c r="F357" s="165"/>
      <c r="G357" s="384" t="s">
        <v>133</v>
      </c>
      <c r="H357" s="167" t="s">
        <v>12</v>
      </c>
      <c r="I357" s="195"/>
      <c r="J357" s="195"/>
      <c r="K357" s="231"/>
      <c r="L357" s="176"/>
      <c r="M357" s="176"/>
      <c r="N357" s="385">
        <f ca="1">IFERROR(__xludf.DUMMYFUNCTION("IMPORTRANGE(""https://docs.google.com/spreadsheets/d/1IYY_tgx_IHuhSq3AJ5eI5OnqOPBNLWSHKh2a30DoXe8/edit?usp=sharing"",""สตูล!M252"")"),0)</f>
        <v>0</v>
      </c>
      <c r="O357" s="176"/>
      <c r="P357" s="176"/>
    </row>
    <row r="358" spans="1:16" ht="21.75" customHeight="1" x14ac:dyDescent="0.35">
      <c r="A358" s="381"/>
      <c r="B358" s="382"/>
      <c r="C358" s="163"/>
      <c r="D358" s="383"/>
      <c r="E358" s="165"/>
      <c r="F358" s="165"/>
      <c r="G358" s="384" t="s">
        <v>134</v>
      </c>
      <c r="H358" s="167" t="s">
        <v>12</v>
      </c>
      <c r="I358" s="195"/>
      <c r="J358" s="195"/>
      <c r="K358" s="231"/>
      <c r="L358" s="176"/>
      <c r="M358" s="176"/>
      <c r="N358" s="385">
        <f ca="1">IFERROR(__xludf.DUMMYFUNCTION("IMPORTRANGE(""https://docs.google.com/spreadsheets/d/1IYY_tgx_IHuhSq3AJ5eI5OnqOPBNLWSHKh2a30DoXe8/edit?usp=sharing"",""สตูล!M253"")"),0)</f>
        <v>0</v>
      </c>
      <c r="O358" s="176"/>
      <c r="P358" s="176"/>
    </row>
    <row r="359" spans="1:16" ht="21.75" customHeight="1" x14ac:dyDescent="0.35">
      <c r="A359" s="183"/>
      <c r="B359" s="184"/>
      <c r="C359" s="163" t="s">
        <v>16</v>
      </c>
      <c r="D359" s="185" t="s">
        <v>44</v>
      </c>
      <c r="E359" s="186"/>
      <c r="F359" s="186"/>
      <c r="G359" s="187"/>
      <c r="H359" s="188"/>
      <c r="I359" s="168"/>
      <c r="J359" s="168"/>
      <c r="K359" s="169"/>
      <c r="L359" s="189"/>
      <c r="M359" s="189"/>
      <c r="N359" s="189"/>
      <c r="O359" s="189"/>
      <c r="P359" s="189"/>
    </row>
    <row r="360" spans="1:16" ht="21.75" customHeight="1" x14ac:dyDescent="0.35">
      <c r="A360" s="183"/>
      <c r="B360" s="184"/>
      <c r="C360" s="184"/>
      <c r="D360" s="190">
        <v>1</v>
      </c>
      <c r="E360" s="191" t="s">
        <v>45</v>
      </c>
      <c r="F360" s="192"/>
      <c r="G360" s="193"/>
      <c r="H360" s="194"/>
      <c r="I360" s="195"/>
      <c r="J360" s="205">
        <f ca="1">IFERROR(__xludf.DUMMYFUNCTION("IMPORTRANGE(""https://docs.google.com/spreadsheets/d/1IYY_tgx_IHuhSq3AJ5eI5OnqOPBNLWSHKh2a30DoXe8/edit?usp=sharing"",""สตูล!J255"")"),0)</f>
        <v>0</v>
      </c>
      <c r="K360" s="169"/>
      <c r="L360" s="189"/>
      <c r="M360" s="189"/>
      <c r="N360" s="189"/>
      <c r="O360" s="189"/>
      <c r="P360" s="189"/>
    </row>
    <row r="361" spans="1:16" ht="21.75" customHeight="1" x14ac:dyDescent="0.35">
      <c r="A361" s="183"/>
      <c r="B361" s="184"/>
      <c r="C361" s="184"/>
      <c r="D361" s="197">
        <v>2</v>
      </c>
      <c r="E361" s="198" t="s">
        <v>46</v>
      </c>
      <c r="F361" s="199"/>
      <c r="G361" s="200"/>
      <c r="H361" s="194"/>
      <c r="I361" s="195"/>
      <c r="J361" s="196">
        <f ca="1">IFERROR(__xludf.DUMMYFUNCTION("IMPORTRANGE(""https://docs.google.com/spreadsheets/d/1IYY_tgx_IHuhSq3AJ5eI5OnqOPBNLWSHKh2a30DoXe8/edit?usp=sharing"",""สตูล!J256"")"),0)</f>
        <v>0</v>
      </c>
      <c r="K361" s="169"/>
      <c r="L361" s="189" t="s">
        <v>40</v>
      </c>
      <c r="M361" s="189"/>
      <c r="N361" s="189" t="s">
        <v>40</v>
      </c>
      <c r="O361" s="189"/>
      <c r="P361" s="189"/>
    </row>
    <row r="362" spans="1:16" ht="21.75" customHeight="1" x14ac:dyDescent="0.35">
      <c r="A362" s="183"/>
      <c r="B362" s="184"/>
      <c r="C362" s="184"/>
      <c r="D362" s="201"/>
      <c r="E362" s="202" t="s">
        <v>47</v>
      </c>
      <c r="F362" s="203"/>
      <c r="G362" s="204"/>
      <c r="H362" s="194"/>
      <c r="I362" s="195"/>
      <c r="J362" s="196">
        <f ca="1">IFERROR(__xludf.DUMMYFUNCTION("IMPORTRANGE(""https://docs.google.com/spreadsheets/d/1IYY_tgx_IHuhSq3AJ5eI5OnqOPBNLWSHKh2a30DoXe8/edit?usp=sharing"",""สตูล!J257"")"),0)</f>
        <v>0</v>
      </c>
      <c r="K362" s="169"/>
      <c r="L362" s="189"/>
      <c r="M362" s="189"/>
      <c r="N362" s="189"/>
      <c r="O362" s="189"/>
      <c r="P362" s="189"/>
    </row>
    <row r="363" spans="1:16" ht="21.75" customHeight="1" x14ac:dyDescent="0.35">
      <c r="A363" s="183"/>
      <c r="B363" s="184"/>
      <c r="C363" s="184"/>
      <c r="D363" s="201"/>
      <c r="E363" s="202" t="s">
        <v>48</v>
      </c>
      <c r="F363" s="203"/>
      <c r="G363" s="204"/>
      <c r="H363" s="194"/>
      <c r="I363" s="195"/>
      <c r="J363" s="205">
        <f ca="1">IFERROR(__xludf.DUMMYFUNCTION("IMPORTRANGE(""https://docs.google.com/spreadsheets/d/1IYY_tgx_IHuhSq3AJ5eI5OnqOPBNLWSHKh2a30DoXe8/edit?usp=sharing"",""สตูล!J258"")"),0)</f>
        <v>0</v>
      </c>
      <c r="K363" s="169"/>
      <c r="L363" s="189"/>
      <c r="M363" s="189"/>
      <c r="N363" s="189"/>
      <c r="O363" s="189"/>
      <c r="P363" s="189"/>
    </row>
    <row r="364" spans="1:16" ht="21.75" hidden="1" customHeight="1" x14ac:dyDescent="0.35">
      <c r="A364" s="183"/>
      <c r="B364" s="184"/>
      <c r="C364" s="184"/>
      <c r="D364" s="201"/>
      <c r="E364" s="206"/>
      <c r="F364" s="202" t="s">
        <v>70</v>
      </c>
      <c r="G364" s="204"/>
      <c r="H364" s="188"/>
      <c r="I364" s="195"/>
      <c r="J364" s="195">
        <f ca="1">IFERROR(__xludf.DUMMYFUNCTION("IMPORTRANGE(""https://docs.google.com/spreadsheets/d/1IYY_tgx_IHuhSq3AJ5eI5OnqOPBNLWSHKh2a30DoXe8/edit?usp=sharing"",""สตูล!J166"")"),0)</f>
        <v>0</v>
      </c>
      <c r="K364" s="169"/>
      <c r="L364" s="189"/>
      <c r="M364" s="189"/>
      <c r="N364" s="189"/>
      <c r="O364" s="189"/>
      <c r="P364" s="189"/>
    </row>
    <row r="365" spans="1:16" ht="21.75" hidden="1" customHeight="1" x14ac:dyDescent="0.35">
      <c r="A365" s="183"/>
      <c r="B365" s="184"/>
      <c r="C365" s="184"/>
      <c r="D365" s="201"/>
      <c r="E365" s="206"/>
      <c r="F365" s="203"/>
      <c r="G365" s="233" t="s">
        <v>135</v>
      </c>
      <c r="H365" s="188" t="s">
        <v>37</v>
      </c>
      <c r="I365" s="195">
        <f ca="1">IFERROR(__xludf.DUMMYFUNCTION("IMPORTRANGE(""https://docs.google.com/spreadsheets/d/1C3CXT74ZlgGe6_JY_1olB1XN4rF0dxEuIIF-xsYjHgg/edit?usp=sharing"",""งบกองทุน!f63"")"),0)</f>
        <v>0</v>
      </c>
      <c r="J365" s="195">
        <f ca="1">IFERROR(__xludf.DUMMYFUNCTION("IMPORTRANGE(""https://docs.google.com/spreadsheets/d/1IYY_tgx_IHuhSq3AJ5eI5OnqOPBNLWSHKh2a30DoXe8/edit?usp=sharing"",""สตูล!J166"")"),0)</f>
        <v>0</v>
      </c>
      <c r="K365" s="169">
        <f ca="1">IF(I365&gt;0,J365*100/I365,0)</f>
        <v>0</v>
      </c>
      <c r="L365" s="189"/>
      <c r="M365" s="189"/>
      <c r="N365" s="189"/>
      <c r="O365" s="189"/>
      <c r="P365" s="189"/>
    </row>
    <row r="366" spans="1:16" ht="21.75" hidden="1" customHeight="1" x14ac:dyDescent="0.35">
      <c r="A366" s="183"/>
      <c r="B366" s="184"/>
      <c r="C366" s="184"/>
      <c r="D366" s="201"/>
      <c r="E366" s="206"/>
      <c r="F366" s="203"/>
      <c r="G366" s="204" t="s">
        <v>136</v>
      </c>
      <c r="H366" s="188"/>
      <c r="I366" s="168"/>
      <c r="J366" s="195">
        <f ca="1">IFERROR(__xludf.DUMMYFUNCTION("IMPORTRANGE(""https://docs.google.com/spreadsheets/d/1IYY_tgx_IHuhSq3AJ5eI5OnqOPBNLWSHKh2a30DoXe8/edit?usp=sharing"",""สตูล!J166"")"),0)</f>
        <v>0</v>
      </c>
      <c r="K366" s="169"/>
      <c r="L366" s="189"/>
      <c r="M366" s="189"/>
      <c r="N366" s="189"/>
      <c r="O366" s="189"/>
      <c r="P366" s="189"/>
    </row>
    <row r="367" spans="1:16" ht="21.75" hidden="1" customHeight="1" x14ac:dyDescent="0.35">
      <c r="A367" s="183"/>
      <c r="B367" s="184"/>
      <c r="C367" s="184"/>
      <c r="D367" s="201"/>
      <c r="E367" s="206"/>
      <c r="F367" s="203"/>
      <c r="G367" s="233" t="s">
        <v>137</v>
      </c>
      <c r="H367" s="194" t="s">
        <v>122</v>
      </c>
      <c r="I367" s="195">
        <f ca="1">SUM(I369,I371)</f>
        <v>0</v>
      </c>
      <c r="J367" s="195">
        <f ca="1">IFERROR(__xludf.DUMMYFUNCTION("IMPORTRANGE(""https://docs.google.com/spreadsheets/d/1IYY_tgx_IHuhSq3AJ5eI5OnqOPBNLWSHKh2a30DoXe8/edit?usp=sharing"",""สตูล!J166"")"),0)</f>
        <v>0</v>
      </c>
      <c r="K367" s="169">
        <f t="shared" ref="K367:K373" ca="1" si="106">IF(I367&gt;0,J367*100/I367,0)</f>
        <v>0</v>
      </c>
      <c r="L367" s="189"/>
      <c r="M367" s="189"/>
      <c r="N367" s="189"/>
      <c r="O367" s="189"/>
      <c r="P367" s="189"/>
    </row>
    <row r="368" spans="1:16" ht="21.75" customHeight="1" x14ac:dyDescent="0.35">
      <c r="A368" s="183"/>
      <c r="B368" s="184"/>
      <c r="C368" s="184"/>
      <c r="D368" s="201"/>
      <c r="E368" s="206"/>
      <c r="F368" s="386" t="s">
        <v>138</v>
      </c>
      <c r="G368" s="387"/>
      <c r="H368" s="194" t="s">
        <v>37</v>
      </c>
      <c r="I368" s="168">
        <f ca="1">IFERROR(__xludf.DUMMYFUNCTION("IMPORTRANGE(""https://docs.google.com/spreadsheets/d/1IYY_tgx_IHuhSq3AJ5eI5OnqOPBNLWSHKh2a30DoXe8/edit?usp=sharing"",""สตูล!I263"")"),0)</f>
        <v>0</v>
      </c>
      <c r="J368" s="195">
        <f ca="1">IFERROR(__xludf.DUMMYFUNCTION("IMPORTRANGE(""https://docs.google.com/spreadsheets/d/1IYY_tgx_IHuhSq3AJ5eI5OnqOPBNLWSHKh2a30DoXe8/edit?usp=sharing"",""สตูล!J263"")"),0)</f>
        <v>0</v>
      </c>
      <c r="K368" s="169">
        <f t="shared" ca="1" si="106"/>
        <v>0</v>
      </c>
      <c r="L368" s="189"/>
      <c r="M368" s="189"/>
      <c r="N368" s="189"/>
      <c r="O368" s="189"/>
      <c r="P368" s="189"/>
    </row>
    <row r="369" spans="1:16" ht="21.75" hidden="1" customHeight="1" x14ac:dyDescent="0.35">
      <c r="A369" s="183"/>
      <c r="B369" s="184"/>
      <c r="C369" s="184"/>
      <c r="D369" s="201"/>
      <c r="E369" s="206"/>
      <c r="F369" s="203"/>
      <c r="G369" s="387"/>
      <c r="H369" s="188" t="s">
        <v>122</v>
      </c>
      <c r="I369" s="168">
        <f ca="1">IFERROR(__xludf.DUMMYFUNCTION("IMPORTRANGE(""https://docs.google.com/spreadsheets/d/1IYY_tgx_IHuhSq3AJ5eI5OnqOPBNLWSHKh2a30DoXe8/edit?usp=sharing"",""สตูล!I164"")"),0)</f>
        <v>0</v>
      </c>
      <c r="J369" s="211">
        <f ca="1">IFERROR(__xludf.DUMMYFUNCTION("IMPORTRANGE(""https://docs.google.com/spreadsheets/d/1IYY_tgx_IHuhSq3AJ5eI5OnqOPBNLWSHKh2a30DoXe8/edit?usp=sharing"",""สตูล!J164"")"),0)</f>
        <v>0</v>
      </c>
      <c r="K369" s="169">
        <f t="shared" ca="1" si="106"/>
        <v>0</v>
      </c>
      <c r="L369" s="189"/>
      <c r="M369" s="189"/>
      <c r="N369" s="189"/>
      <c r="O369" s="189"/>
      <c r="P369" s="189"/>
    </row>
    <row r="370" spans="1:16" ht="21.75" customHeight="1" x14ac:dyDescent="0.35">
      <c r="A370" s="183"/>
      <c r="B370" s="184"/>
      <c r="C370" s="184"/>
      <c r="D370" s="201"/>
      <c r="E370" s="206"/>
      <c r="F370" s="203"/>
      <c r="G370" s="386" t="s">
        <v>139</v>
      </c>
      <c r="H370" s="188" t="s">
        <v>37</v>
      </c>
      <c r="I370" s="168">
        <f ca="1">IFERROR(__xludf.DUMMYFUNCTION("IMPORTRANGE(""https://docs.google.com/spreadsheets/d/1IYY_tgx_IHuhSq3AJ5eI5OnqOPBNLWSHKh2a30DoXe8/edit?usp=sharing"",""สตูล!I265"")"),0)</f>
        <v>0</v>
      </c>
      <c r="J370" s="211">
        <f ca="1">IFERROR(__xludf.DUMMYFUNCTION("IMPORTRANGE(""https://docs.google.com/spreadsheets/d/1IYY_tgx_IHuhSq3AJ5eI5OnqOPBNLWSHKh2a30DoXe8/edit?usp=sharing"",""สตูล!J265"")"),0)</f>
        <v>0</v>
      </c>
      <c r="K370" s="169">
        <f t="shared" ca="1" si="106"/>
        <v>0</v>
      </c>
      <c r="L370" s="189"/>
      <c r="M370" s="189"/>
      <c r="N370" s="189"/>
      <c r="O370" s="189"/>
      <c r="P370" s="189"/>
    </row>
    <row r="371" spans="1:16" ht="21.75" hidden="1" customHeight="1" x14ac:dyDescent="0.35">
      <c r="A371" s="183"/>
      <c r="B371" s="184"/>
      <c r="C371" s="184"/>
      <c r="D371" s="201"/>
      <c r="E371" s="206"/>
      <c r="F371" s="203"/>
      <c r="G371" s="387"/>
      <c r="H371" s="188" t="s">
        <v>122</v>
      </c>
      <c r="I371" s="168">
        <f ca="1">IFERROR(__xludf.DUMMYFUNCTION("IMPORTRANGE(""https://docs.google.com/spreadsheets/d/1IYY_tgx_IHuhSq3AJ5eI5OnqOPBNLWSHKh2a30DoXe8/edit?usp=sharing"",""สตูล!I164"")"),0)</f>
        <v>0</v>
      </c>
      <c r="J371" s="196">
        <f ca="1">IFERROR(__xludf.DUMMYFUNCTION("IMPORTRANGE(""https://docs.google.com/spreadsheets/d/1IYY_tgx_IHuhSq3AJ5eI5OnqOPBNLWSHKh2a30DoXe8/edit?usp=sharing"",""สตูล!J164"")"),0)</f>
        <v>0</v>
      </c>
      <c r="K371" s="169">
        <f t="shared" ca="1" si="106"/>
        <v>0</v>
      </c>
      <c r="L371" s="189"/>
      <c r="M371" s="189"/>
      <c r="N371" s="189"/>
      <c r="O371" s="189"/>
      <c r="P371" s="189"/>
    </row>
    <row r="372" spans="1:16" ht="21.75" customHeight="1" x14ac:dyDescent="0.35">
      <c r="A372" s="183"/>
      <c r="B372" s="184"/>
      <c r="C372" s="184"/>
      <c r="D372" s="201"/>
      <c r="E372" s="206"/>
      <c r="F372" s="203"/>
      <c r="G372" s="386" t="s">
        <v>140</v>
      </c>
      <c r="H372" s="188" t="s">
        <v>37</v>
      </c>
      <c r="I372" s="168">
        <f ca="1">IFERROR(__xludf.DUMMYFUNCTION("IMPORTRANGE(""https://docs.google.com/spreadsheets/d/1IYY_tgx_IHuhSq3AJ5eI5OnqOPBNLWSHKh2a30DoXe8/edit?usp=sharing"",""สตูล!I267"")"),0)</f>
        <v>0</v>
      </c>
      <c r="J372" s="196">
        <f ca="1">IFERROR(__xludf.DUMMYFUNCTION("IMPORTRANGE(""https://docs.google.com/spreadsheets/d/1IYY_tgx_IHuhSq3AJ5eI5OnqOPBNLWSHKh2a30DoXe8/edit?usp=sharing"",""สตูล!J267"")"),0)</f>
        <v>0</v>
      </c>
      <c r="K372" s="169">
        <f t="shared" ca="1" si="106"/>
        <v>0</v>
      </c>
      <c r="L372" s="189"/>
      <c r="M372" s="189"/>
      <c r="N372" s="189"/>
      <c r="O372" s="189"/>
      <c r="P372" s="189"/>
    </row>
    <row r="373" spans="1:16" ht="21.75" hidden="1" customHeight="1" x14ac:dyDescent="0.35">
      <c r="A373" s="183"/>
      <c r="B373" s="184"/>
      <c r="C373" s="184"/>
      <c r="D373" s="201"/>
      <c r="E373" s="206"/>
      <c r="F373" s="203"/>
      <c r="G373" s="233" t="s">
        <v>141</v>
      </c>
      <c r="H373" s="188" t="s">
        <v>37</v>
      </c>
      <c r="I373" s="195">
        <f ca="1">IFERROR(__xludf.DUMMYFUNCTION("IMPORTRANGE(""https://docs.google.com/spreadsheets/d/1IYY_tgx_IHuhSq3AJ5eI5OnqOPBNLWSHKh2a30DoXe8/edit?usp=sharing"",""สตูล!I164"")"),0)</f>
        <v>0</v>
      </c>
      <c r="J373" s="211">
        <f ca="1">IFERROR(__xludf.DUMMYFUNCTION("IMPORTRANGE(""https://docs.google.com/spreadsheets/d/1IYY_tgx_IHuhSq3AJ5eI5OnqOPBNLWSHKh2a30DoXe8/edit?usp=sharing"",""สตูล!J164"")"),0)</f>
        <v>0</v>
      </c>
      <c r="K373" s="169">
        <f t="shared" ca="1" si="106"/>
        <v>0</v>
      </c>
      <c r="L373" s="189"/>
      <c r="M373" s="189"/>
      <c r="N373" s="189"/>
      <c r="O373" s="189"/>
      <c r="P373" s="189"/>
    </row>
    <row r="374" spans="1:16" ht="21.75" hidden="1" customHeight="1" x14ac:dyDescent="0.35">
      <c r="A374" s="183"/>
      <c r="B374" s="184"/>
      <c r="C374" s="184"/>
      <c r="D374" s="201"/>
      <c r="E374" s="206"/>
      <c r="F374" s="203"/>
      <c r="G374" s="204" t="s">
        <v>142</v>
      </c>
      <c r="H374" s="188"/>
      <c r="I374" s="195">
        <f ca="1">IFERROR(__xludf.DUMMYFUNCTION("IMPORTRANGE(""https://docs.google.com/spreadsheets/d/1IYY_tgx_IHuhSq3AJ5eI5OnqOPBNLWSHKh2a30DoXe8/edit?usp=sharing"",""สตูล!I164"")"),0)</f>
        <v>0</v>
      </c>
      <c r="J374" s="195">
        <f ca="1">IFERROR(__xludf.DUMMYFUNCTION("IMPORTRANGE(""https://docs.google.com/spreadsheets/d/1IYY_tgx_IHuhSq3AJ5eI5OnqOPBNLWSHKh2a30DoXe8/edit?usp=sharing"",""สตูล!J164"")"),0)</f>
        <v>0</v>
      </c>
      <c r="K374" s="169"/>
      <c r="L374" s="189"/>
      <c r="M374" s="189"/>
      <c r="N374" s="189"/>
      <c r="O374" s="189"/>
      <c r="P374" s="189"/>
    </row>
    <row r="375" spans="1:16" ht="21.75" customHeight="1" x14ac:dyDescent="0.35">
      <c r="A375" s="183"/>
      <c r="B375" s="184"/>
      <c r="C375" s="184"/>
      <c r="D375" s="201"/>
      <c r="E375" s="203"/>
      <c r="F375" s="212" t="s">
        <v>53</v>
      </c>
      <c r="G375" s="204"/>
      <c r="H375" s="286" t="s">
        <v>122</v>
      </c>
      <c r="I375" s="195">
        <f ca="1">IFERROR(__xludf.DUMMYFUNCTION("IMPORTRANGE(""https://docs.google.com/spreadsheets/d/1IYY_tgx_IHuhSq3AJ5eI5OnqOPBNLWSHKh2a30DoXe8/edit?usp=sharing"",""สตูล!I270"")"),0)</f>
        <v>0</v>
      </c>
      <c r="J375" s="195">
        <f ca="1">IFERROR(__xludf.DUMMYFUNCTION("IMPORTRANGE(""https://docs.google.com/spreadsheets/d/1IYY_tgx_IHuhSq3AJ5eI5OnqOPBNLWSHKh2a30DoXe8/edit?usp=sharing"",""สตูล!J270"")"),0)</f>
        <v>0</v>
      </c>
      <c r="K375" s="169">
        <f t="shared" ref="K375:K377" ca="1" si="107">IF(I375&gt;0,J375*100/I375,0)</f>
        <v>0</v>
      </c>
      <c r="L375" s="189"/>
      <c r="M375" s="189"/>
      <c r="N375" s="189"/>
      <c r="O375" s="189"/>
      <c r="P375" s="189"/>
    </row>
    <row r="376" spans="1:16" ht="21.75" customHeight="1" x14ac:dyDescent="0.35">
      <c r="A376" s="183"/>
      <c r="B376" s="184"/>
      <c r="C376" s="184"/>
      <c r="D376" s="201"/>
      <c r="E376" s="203"/>
      <c r="F376" s="203"/>
      <c r="G376" s="287" t="s">
        <v>143</v>
      </c>
      <c r="H376" s="286" t="s">
        <v>122</v>
      </c>
      <c r="I376" s="195">
        <f ca="1">IFERROR(__xludf.DUMMYFUNCTION("IMPORTRANGE(""https://docs.google.com/spreadsheets/d/1IYY_tgx_IHuhSq3AJ5eI5OnqOPBNLWSHKh2a30DoXe8/edit?usp=sharing"",""สตูล!I271"")"),0)</f>
        <v>0</v>
      </c>
      <c r="J376" s="196">
        <f ca="1">IFERROR(__xludf.DUMMYFUNCTION("IMPORTRANGE(""https://docs.google.com/spreadsheets/d/1IYY_tgx_IHuhSq3AJ5eI5OnqOPBNLWSHKh2a30DoXe8/edit?usp=sharing"",""สตูล!J271"")"),0)</f>
        <v>0</v>
      </c>
      <c r="K376" s="169">
        <f t="shared" ca="1" si="107"/>
        <v>0</v>
      </c>
      <c r="L376" s="189"/>
      <c r="M376" s="189"/>
      <c r="N376" s="189"/>
      <c r="O376" s="189"/>
      <c r="P376" s="189"/>
    </row>
    <row r="377" spans="1:16" ht="21.75" customHeight="1" x14ac:dyDescent="0.35">
      <c r="A377" s="183"/>
      <c r="B377" s="184"/>
      <c r="C377" s="184"/>
      <c r="D377" s="201"/>
      <c r="E377" s="203"/>
      <c r="F377" s="203"/>
      <c r="G377" s="287" t="s">
        <v>144</v>
      </c>
      <c r="H377" s="286" t="s">
        <v>122</v>
      </c>
      <c r="I377" s="195">
        <f ca="1">IFERROR(__xludf.DUMMYFUNCTION("IMPORTRANGE(""https://docs.google.com/spreadsheets/d/1IYY_tgx_IHuhSq3AJ5eI5OnqOPBNLWSHKh2a30DoXe8/edit?usp=sharing"",""สตูล!I272"")"),0)</f>
        <v>0</v>
      </c>
      <c r="J377" s="211">
        <f ca="1">IFERROR(__xludf.DUMMYFUNCTION("IMPORTRANGE(""https://docs.google.com/spreadsheets/d/1IYY_tgx_IHuhSq3AJ5eI5OnqOPBNLWSHKh2a30DoXe8/edit?usp=sharing"",""สตูล!J272"")"),0)</f>
        <v>0</v>
      </c>
      <c r="K377" s="169">
        <f t="shared" ca="1" si="107"/>
        <v>0</v>
      </c>
      <c r="L377" s="189"/>
      <c r="M377" s="189"/>
      <c r="N377" s="189"/>
      <c r="O377" s="189"/>
      <c r="P377" s="189"/>
    </row>
    <row r="378" spans="1:16" ht="21.75" customHeight="1" x14ac:dyDescent="0.35">
      <c r="A378" s="183"/>
      <c r="B378" s="184"/>
      <c r="C378" s="184"/>
      <c r="D378" s="201"/>
      <c r="E378" s="202" t="s">
        <v>54</v>
      </c>
      <c r="F378" s="203"/>
      <c r="G378" s="204"/>
      <c r="H378" s="194"/>
      <c r="I378" s="195"/>
      <c r="J378" s="205">
        <f ca="1">IFERROR(__xludf.DUMMYFUNCTION("IMPORTRANGE(""https://docs.google.com/spreadsheets/d/1IYY_tgx_IHuhSq3AJ5eI5OnqOPBNLWSHKh2a30DoXe8/edit?usp=sharing"",""สตูล!J273"")"),0)</f>
        <v>0</v>
      </c>
      <c r="K378" s="169"/>
      <c r="L378" s="189"/>
      <c r="M378" s="189"/>
      <c r="N378" s="189"/>
      <c r="O378" s="189"/>
      <c r="P378" s="189"/>
    </row>
    <row r="379" spans="1:16" ht="21.75" customHeight="1" x14ac:dyDescent="0.35">
      <c r="A379" s="183"/>
      <c r="B379" s="184"/>
      <c r="C379" s="184"/>
      <c r="D379" s="213">
        <v>3</v>
      </c>
      <c r="E379" s="214" t="s">
        <v>55</v>
      </c>
      <c r="F379" s="215"/>
      <c r="G379" s="216"/>
      <c r="H379" s="194"/>
      <c r="I379" s="195"/>
      <c r="J379" s="217">
        <f ca="1">IFERROR(__xludf.DUMMYFUNCTION("IMPORTRANGE(""https://docs.google.com/spreadsheets/d/1IYY_tgx_IHuhSq3AJ5eI5OnqOPBNLWSHKh2a30DoXe8/edit?usp=sharing"",""สตูล!J274"")"),0)</f>
        <v>0</v>
      </c>
      <c r="K379" s="169"/>
      <c r="L379" s="189"/>
      <c r="M379" s="189"/>
      <c r="N379" s="189"/>
      <c r="O379" s="189"/>
      <c r="P379" s="189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IFERROR(__xludf.DUMMYFUNCTION("IMPORTRANGE(""https://docs.google.com/spreadsheets/d/1IYY_tgx_IHuhSq3AJ5eI5OnqOPBNLWSHKh2a30DoXe8/edit?usp=sharing"",""สตูล!I275"")"),50)</f>
        <v>50</v>
      </c>
      <c r="J380" s="377">
        <f ca="1">IFERROR(__xludf.DUMMYFUNCTION("IMPORTRANGE(""https://docs.google.com/spreadsheets/d/1IYY_tgx_IHuhSq3AJ5eI5OnqOPBNLWSHKh2a30DoXe8/edit?usp=sharing"",""สตูล!J275"")"),0)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IFERROR(__xludf.DUMMYFUNCTION("IMPORTRANGE(""https://docs.google.com/spreadsheets/d/1IYY_tgx_IHuhSq3AJ5eI5OnqOPBNLWSHKh2a30DoXe8/edit?usp=sharing"",""สตูล!L275"")"),87710)</f>
        <v>87710</v>
      </c>
      <c r="M380" s="379"/>
      <c r="N380" s="379">
        <f ca="1">IFERROR(__xludf.DUMMYFUNCTION("IMPORTRANGE(""https://docs.google.com/spreadsheets/d/1IYY_tgx_IHuhSq3AJ5eI5OnqOPBNLWSHKh2a30DoXe8/edit?usp=sharing"",""สตูล!M275"")"),39030)</f>
        <v>39030</v>
      </c>
      <c r="O380" s="379">
        <f ca="1">+IF(L380&gt;0,N380*100/L380,0)</f>
        <v>44.498916885189828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IFERROR(__xludf.DUMMYFUNCTION("IMPORTRANGE(""https://docs.google.com/spreadsheets/d/1IYY_tgx_IHuhSq3AJ5eI5OnqOPBNLWSHKh2a30DoXe8/edit?usp=sharing"",""สตูล!I276"")"),5)</f>
        <v>5</v>
      </c>
      <c r="J381" s="377">
        <f ca="1">IFERROR(__xludf.DUMMYFUNCTION("IMPORTRANGE(""https://docs.google.com/spreadsheets/d/1IYY_tgx_IHuhSq3AJ5eI5OnqOPBNLWSHKh2a30DoXe8/edit?usp=sharing"",""สตูล!J276"")"),10)</f>
        <v>10</v>
      </c>
      <c r="K381" s="378">
        <f t="shared" ca="1" si="108"/>
        <v>200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164" t="s">
        <v>38</v>
      </c>
      <c r="E382" s="165"/>
      <c r="F382" s="165"/>
      <c r="G382" s="166" t="s">
        <v>39</v>
      </c>
      <c r="H382" s="167" t="s">
        <v>12</v>
      </c>
      <c r="I382" s="168" t="s">
        <v>40</v>
      </c>
      <c r="J382" s="168"/>
      <c r="K382" s="169"/>
      <c r="L382" s="170">
        <f ca="1">IFERROR(__xludf.DUMMYFUNCTION("IMPORTRANGE(""https://docs.google.com/spreadsheets/d/1IYY_tgx_IHuhSq3AJ5eI5OnqOPBNLWSHKh2a30DoXe8/edit?usp=sharing"",""สตูล!L277"")"),0)</f>
        <v>0</v>
      </c>
      <c r="M382" s="170"/>
      <c r="N382" s="170">
        <f ca="1">IFERROR(__xludf.DUMMYFUNCTION("IMPORTRANGE(""https://docs.google.com/spreadsheets/d/1IYY_tgx_IHuhSq3AJ5eI5OnqOPBNLWSHKh2a30DoXe8/edit?usp=sharing"",""สตูล!M277"")"),0)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 x14ac:dyDescent="0.35">
      <c r="A383" s="162"/>
      <c r="B383" s="163"/>
      <c r="C383" s="163"/>
      <c r="D383" s="172"/>
      <c r="E383" s="165"/>
      <c r="F383" s="165" t="s">
        <v>40</v>
      </c>
      <c r="G383" s="166" t="s">
        <v>41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IFERROR(__xludf.DUMMYFUNCTION("IMPORTRANGE(""https://docs.google.com/spreadsheets/d/1IYY_tgx_IHuhSq3AJ5eI5OnqOPBNLWSHKh2a30DoXe8/edit?usp=sharing"",""สตูล!L278"")"),87710)</f>
        <v>87710</v>
      </c>
      <c r="M383" s="171"/>
      <c r="N383" s="171">
        <f ca="1">IFERROR(__xludf.DUMMYFUNCTION("IMPORTRANGE(""https://docs.google.com/spreadsheets/d/1IYY_tgx_IHuhSq3AJ5eI5OnqOPBNLWSHKh2a30DoXe8/edit?usp=sharing"",""สตูล!M278"")"),39030)</f>
        <v>39030</v>
      </c>
      <c r="O383" s="171">
        <f t="shared" ca="1" si="109"/>
        <v>44.498916885189828</v>
      </c>
      <c r="P383" s="171"/>
    </row>
    <row r="384" spans="1:16" ht="21.75" customHeight="1" x14ac:dyDescent="0.35">
      <c r="A384" s="162"/>
      <c r="B384" s="163"/>
      <c r="C384" s="163"/>
      <c r="D384" s="172"/>
      <c r="E384" s="165"/>
      <c r="F384" s="165"/>
      <c r="G384" s="380" t="s">
        <v>129</v>
      </c>
      <c r="H384" s="167" t="s">
        <v>12</v>
      </c>
      <c r="I384" s="168"/>
      <c r="J384" s="168"/>
      <c r="K384" s="169"/>
      <c r="L384" s="176">
        <f ca="1">IFERROR(__xludf.DUMMYFUNCTION("IMPORTRANGE(""https://docs.google.com/spreadsheets/d/1IYY_tgx_IHuhSq3AJ5eI5OnqOPBNLWSHKh2a30DoXe8/edit?usp=sharing"",""สตูล!L279"")"),0)</f>
        <v>0</v>
      </c>
      <c r="M384" s="176"/>
      <c r="N384" s="176">
        <f ca="1">IFERROR(__xludf.DUMMYFUNCTION("IMPORTRANGE(""https://docs.google.com/spreadsheets/d/1IYY_tgx_IHuhSq3AJ5eI5OnqOPBNLWSHKh2a30DoXe8/edit?usp=sharing"",""สตูล!M279"")"),0)</f>
        <v>0</v>
      </c>
      <c r="O384" s="176">
        <f t="shared" ca="1" si="109"/>
        <v>0</v>
      </c>
      <c r="P384" s="176"/>
    </row>
    <row r="385" spans="1:16" ht="21.75" customHeight="1" x14ac:dyDescent="0.35">
      <c r="A385" s="162"/>
      <c r="B385" s="163"/>
      <c r="C385" s="163"/>
      <c r="D385" s="172"/>
      <c r="E385" s="165"/>
      <c r="F385" s="165"/>
      <c r="G385" s="380" t="s">
        <v>130</v>
      </c>
      <c r="H385" s="167" t="s">
        <v>12</v>
      </c>
      <c r="I385" s="168"/>
      <c r="J385" s="168"/>
      <c r="K385" s="169"/>
      <c r="L385" s="176">
        <f ca="1">IFERROR(__xludf.DUMMYFUNCTION("IMPORTRANGE(""https://docs.google.com/spreadsheets/d/1IYY_tgx_IHuhSq3AJ5eI5OnqOPBNLWSHKh2a30DoXe8/edit?usp=sharing"",""สตูล!L280"")"),87710)</f>
        <v>87710</v>
      </c>
      <c r="M385" s="176"/>
      <c r="N385" s="173">
        <f ca="1">IFERROR(__xludf.DUMMYFUNCTION("IMPORTRANGE(""https://docs.google.com/spreadsheets/d/1IYY_tgx_IHuhSq3AJ5eI5OnqOPBNLWSHKh2a30DoXe8/edit?usp=sharing"",""สตูล!M280"")"),39030)</f>
        <v>39030</v>
      </c>
      <c r="O385" s="176">
        <f t="shared" ca="1" si="109"/>
        <v>44.498916885189828</v>
      </c>
      <c r="P385" s="176"/>
    </row>
    <row r="386" spans="1:16" ht="21.75" customHeight="1" x14ac:dyDescent="0.35">
      <c r="A386" s="381"/>
      <c r="B386" s="382"/>
      <c r="C386" s="163"/>
      <c r="D386" s="383"/>
      <c r="E386" s="165"/>
      <c r="F386" s="165"/>
      <c r="G386" s="384" t="s">
        <v>131</v>
      </c>
      <c r="H386" s="167" t="s">
        <v>12</v>
      </c>
      <c r="I386" s="195"/>
      <c r="J386" s="195"/>
      <c r="K386" s="231"/>
      <c r="L386" s="176"/>
      <c r="M386" s="176"/>
      <c r="N386" s="385">
        <f ca="1">IFERROR(__xludf.DUMMYFUNCTION("IMPORTRANGE(""https://docs.google.com/spreadsheets/d/1IYY_tgx_IHuhSq3AJ5eI5OnqOPBNLWSHKh2a30DoXe8/edit?usp=sharing"",""สตูล!M281"")"),39030)</f>
        <v>39030</v>
      </c>
      <c r="O386" s="176"/>
      <c r="P386" s="176"/>
    </row>
    <row r="387" spans="1:16" ht="21.75" customHeight="1" x14ac:dyDescent="0.35">
      <c r="A387" s="381"/>
      <c r="B387" s="382"/>
      <c r="C387" s="163"/>
      <c r="D387" s="383"/>
      <c r="E387" s="165"/>
      <c r="F387" s="165"/>
      <c r="G387" s="384" t="s">
        <v>132</v>
      </c>
      <c r="H387" s="167" t="s">
        <v>12</v>
      </c>
      <c r="I387" s="195"/>
      <c r="J387" s="195"/>
      <c r="K387" s="231"/>
      <c r="L387" s="176"/>
      <c r="M387" s="176"/>
      <c r="N387" s="385">
        <f ca="1">IFERROR(__xludf.DUMMYFUNCTION("IMPORTRANGE(""https://docs.google.com/spreadsheets/d/1IYY_tgx_IHuhSq3AJ5eI5OnqOPBNLWSHKh2a30DoXe8/edit?usp=sharing"",""สตูล!M282"")"),0)</f>
        <v>0</v>
      </c>
      <c r="O387" s="176"/>
      <c r="P387" s="176"/>
    </row>
    <row r="388" spans="1:16" ht="21.75" customHeight="1" x14ac:dyDescent="0.35">
      <c r="A388" s="381"/>
      <c r="B388" s="382"/>
      <c r="C388" s="163"/>
      <c r="D388" s="383"/>
      <c r="E388" s="165"/>
      <c r="F388" s="165"/>
      <c r="G388" s="384" t="s">
        <v>133</v>
      </c>
      <c r="H388" s="167" t="s">
        <v>12</v>
      </c>
      <c r="I388" s="195"/>
      <c r="J388" s="195"/>
      <c r="K388" s="231"/>
      <c r="L388" s="176"/>
      <c r="M388" s="176"/>
      <c r="N388" s="385">
        <f ca="1">IFERROR(__xludf.DUMMYFUNCTION("IMPORTRANGE(""https://docs.google.com/spreadsheets/d/1IYY_tgx_IHuhSq3AJ5eI5OnqOPBNLWSHKh2a30DoXe8/edit?usp=sharing"",""สตูล!M283"")"),0)</f>
        <v>0</v>
      </c>
      <c r="O388" s="176"/>
      <c r="P388" s="176"/>
    </row>
    <row r="389" spans="1:16" ht="21.75" customHeight="1" x14ac:dyDescent="0.35">
      <c r="A389" s="381"/>
      <c r="B389" s="382"/>
      <c r="C389" s="163"/>
      <c r="D389" s="383"/>
      <c r="E389" s="165"/>
      <c r="F389" s="165"/>
      <c r="G389" s="384" t="s">
        <v>134</v>
      </c>
      <c r="H389" s="167" t="s">
        <v>12</v>
      </c>
      <c r="I389" s="195"/>
      <c r="J389" s="195"/>
      <c r="K389" s="231"/>
      <c r="L389" s="176"/>
      <c r="M389" s="176"/>
      <c r="N389" s="385">
        <f ca="1">IFERROR(__xludf.DUMMYFUNCTION("IMPORTRANGE(""https://docs.google.com/spreadsheets/d/1IYY_tgx_IHuhSq3AJ5eI5OnqOPBNLWSHKh2a30DoXe8/edit?usp=sharing"",""สตูล!M284"")"),0)</f>
        <v>0</v>
      </c>
      <c r="O389" s="176"/>
      <c r="P389" s="176"/>
    </row>
    <row r="390" spans="1:16" ht="21.75" customHeight="1" x14ac:dyDescent="0.35">
      <c r="A390" s="183"/>
      <c r="B390" s="184"/>
      <c r="C390" s="163" t="s">
        <v>16</v>
      </c>
      <c r="D390" s="185" t="s">
        <v>44</v>
      </c>
      <c r="E390" s="186"/>
      <c r="F390" s="186"/>
      <c r="G390" s="187"/>
      <c r="H390" s="188"/>
      <c r="I390" s="168"/>
      <c r="J390" s="168"/>
      <c r="K390" s="169"/>
      <c r="L390" s="189"/>
      <c r="M390" s="189"/>
      <c r="N390" s="189"/>
      <c r="O390" s="189"/>
      <c r="P390" s="189"/>
    </row>
    <row r="391" spans="1:16" ht="21.75" customHeight="1" x14ac:dyDescent="0.35">
      <c r="A391" s="183"/>
      <c r="B391" s="184"/>
      <c r="C391" s="184"/>
      <c r="D391" s="190">
        <v>1</v>
      </c>
      <c r="E391" s="191" t="s">
        <v>45</v>
      </c>
      <c r="F391" s="192"/>
      <c r="G391" s="193"/>
      <c r="H391" s="194"/>
      <c r="I391" s="195"/>
      <c r="J391" s="205">
        <f ca="1">IFERROR(__xludf.DUMMYFUNCTION("IMPORTRANGE(""https://docs.google.com/spreadsheets/d/1IYY_tgx_IHuhSq3AJ5eI5OnqOPBNLWSHKh2a30DoXe8/edit?usp=sharing"",""สตูล!J286"")"),0)</f>
        <v>0</v>
      </c>
      <c r="K391" s="169"/>
      <c r="L391" s="189"/>
      <c r="M391" s="189"/>
      <c r="N391" s="189"/>
      <c r="O391" s="189"/>
      <c r="P391" s="189"/>
    </row>
    <row r="392" spans="1:16" ht="21.75" customHeight="1" x14ac:dyDescent="0.35">
      <c r="A392" s="183"/>
      <c r="B392" s="184"/>
      <c r="C392" s="184"/>
      <c r="D392" s="197">
        <v>2</v>
      </c>
      <c r="E392" s="198" t="s">
        <v>46</v>
      </c>
      <c r="F392" s="199"/>
      <c r="G392" s="200"/>
      <c r="H392" s="194"/>
      <c r="I392" s="195"/>
      <c r="J392" s="196">
        <f ca="1">IFERROR(__xludf.DUMMYFUNCTION("IMPORTRANGE(""https://docs.google.com/spreadsheets/d/1IYY_tgx_IHuhSq3AJ5eI5OnqOPBNLWSHKh2a30DoXe8/edit?usp=sharing"",""สตูล!J287"")"),1)</f>
        <v>1</v>
      </c>
      <c r="K392" s="169"/>
      <c r="L392" s="189" t="s">
        <v>40</v>
      </c>
      <c r="M392" s="189"/>
      <c r="N392" s="189" t="s">
        <v>40</v>
      </c>
      <c r="O392" s="189"/>
      <c r="P392" s="189"/>
    </row>
    <row r="393" spans="1:16" ht="21.75" customHeight="1" x14ac:dyDescent="0.35">
      <c r="A393" s="183"/>
      <c r="B393" s="184"/>
      <c r="C393" s="184"/>
      <c r="D393" s="201"/>
      <c r="E393" s="202" t="s">
        <v>47</v>
      </c>
      <c r="F393" s="203"/>
      <c r="G393" s="204"/>
      <c r="H393" s="194"/>
      <c r="I393" s="195"/>
      <c r="J393" s="196">
        <f ca="1">IFERROR(__xludf.DUMMYFUNCTION("IMPORTRANGE(""https://docs.google.com/spreadsheets/d/1IYY_tgx_IHuhSq3AJ5eI5OnqOPBNLWSHKh2a30DoXe8/edit?usp=sharing"",""สตูล!J288"")"),1)</f>
        <v>1</v>
      </c>
      <c r="K393" s="169"/>
      <c r="L393" s="189"/>
      <c r="M393" s="189"/>
      <c r="N393" s="189"/>
      <c r="O393" s="189"/>
      <c r="P393" s="189"/>
    </row>
    <row r="394" spans="1:16" ht="21.75" customHeight="1" x14ac:dyDescent="0.35">
      <c r="A394" s="183"/>
      <c r="B394" s="184"/>
      <c r="C394" s="184"/>
      <c r="D394" s="201"/>
      <c r="E394" s="202" t="s">
        <v>48</v>
      </c>
      <c r="F394" s="203"/>
      <c r="G394" s="204"/>
      <c r="H394" s="194"/>
      <c r="I394" s="195"/>
      <c r="J394" s="205">
        <f ca="1">IFERROR(__xludf.DUMMYFUNCTION("IMPORTRANGE(""https://docs.google.com/spreadsheets/d/1IYY_tgx_IHuhSq3AJ5eI5OnqOPBNLWSHKh2a30DoXe8/edit?usp=sharing"",""สตูล!J289"")"),1)</f>
        <v>1</v>
      </c>
      <c r="K394" s="169"/>
      <c r="L394" s="189"/>
      <c r="M394" s="189"/>
      <c r="N394" s="189"/>
      <c r="O394" s="189"/>
      <c r="P394" s="189"/>
    </row>
    <row r="395" spans="1:16" ht="21.75" customHeight="1" x14ac:dyDescent="0.35">
      <c r="A395" s="183"/>
      <c r="B395" s="184"/>
      <c r="C395" s="184"/>
      <c r="D395" s="201"/>
      <c r="E395" s="206"/>
      <c r="F395" s="202" t="s">
        <v>146</v>
      </c>
      <c r="G395" s="203"/>
      <c r="H395" s="194"/>
      <c r="I395" s="195"/>
      <c r="J395" s="195"/>
      <c r="K395" s="169"/>
      <c r="L395" s="189"/>
      <c r="M395" s="189"/>
      <c r="N395" s="189"/>
      <c r="O395" s="189"/>
      <c r="P395" s="189"/>
    </row>
    <row r="396" spans="1:16" ht="21.75" customHeight="1" x14ac:dyDescent="0.35">
      <c r="A396" s="183"/>
      <c r="B396" s="184"/>
      <c r="C396" s="184"/>
      <c r="D396" s="201"/>
      <c r="E396" s="206"/>
      <c r="F396" s="203"/>
      <c r="G396" s="299" t="s">
        <v>70</v>
      </c>
      <c r="H396" s="194" t="s">
        <v>37</v>
      </c>
      <c r="I396" s="195">
        <f ca="1">IFERROR(__xludf.DUMMYFUNCTION("IMPORTRANGE(""https://docs.google.com/spreadsheets/d/1IYY_tgx_IHuhSq3AJ5eI5OnqOPBNLWSHKh2a30DoXe8/edit?usp=sharing"",""สตูล!I291"")"),5)</f>
        <v>5</v>
      </c>
      <c r="J396" s="205">
        <f ca="1">IFERROR(__xludf.DUMMYFUNCTION("IMPORTRANGE(""https://docs.google.com/spreadsheets/d/1IYY_tgx_IHuhSq3AJ5eI5OnqOPBNLWSHKh2a30DoXe8/edit?usp=sharing"",""สตูล!J291"")"),10)</f>
        <v>10</v>
      </c>
      <c r="K396" s="169">
        <f t="shared" ref="K396:K398" ca="1" si="110">IF(I396&gt;0,J396*100/I396,0)</f>
        <v>200</v>
      </c>
      <c r="L396" s="189"/>
      <c r="M396" s="189"/>
      <c r="N396" s="189"/>
      <c r="O396" s="189"/>
      <c r="P396" s="189"/>
    </row>
    <row r="397" spans="1:16" ht="21.75" customHeight="1" x14ac:dyDescent="0.35">
      <c r="A397" s="183"/>
      <c r="B397" s="184"/>
      <c r="C397" s="184"/>
      <c r="D397" s="201"/>
      <c r="E397" s="206"/>
      <c r="F397" s="203"/>
      <c r="G397" s="204" t="s">
        <v>53</v>
      </c>
      <c r="H397" s="194" t="s">
        <v>122</v>
      </c>
      <c r="I397" s="195">
        <f ca="1">IFERROR(__xludf.DUMMYFUNCTION("IMPORTRANGE(""https://docs.google.com/spreadsheets/d/1IYY_tgx_IHuhSq3AJ5eI5OnqOPBNLWSHKh2a30DoXe8/edit?usp=sharing"",""สตูล!I292"")"),50)</f>
        <v>50</v>
      </c>
      <c r="J397" s="205">
        <f ca="1">IFERROR(__xludf.DUMMYFUNCTION("IMPORTRANGE(""https://docs.google.com/spreadsheets/d/1IYY_tgx_IHuhSq3AJ5eI5OnqOPBNLWSHKh2a30DoXe8/edit?usp=sharing"",""สตูล!J292"")"),0)</f>
        <v>0</v>
      </c>
      <c r="K397" s="169">
        <f t="shared" ca="1" si="110"/>
        <v>0</v>
      </c>
      <c r="L397" s="189"/>
      <c r="M397" s="189"/>
      <c r="N397" s="189"/>
      <c r="O397" s="189"/>
      <c r="P397" s="189"/>
    </row>
    <row r="398" spans="1:16" ht="21.75" customHeight="1" x14ac:dyDescent="0.35">
      <c r="A398" s="183"/>
      <c r="B398" s="184"/>
      <c r="C398" s="184"/>
      <c r="D398" s="201"/>
      <c r="E398" s="206"/>
      <c r="F398" s="203"/>
      <c r="G398" s="204"/>
      <c r="H398" s="194" t="s">
        <v>37</v>
      </c>
      <c r="I398" s="195">
        <f ca="1">IFERROR(__xludf.DUMMYFUNCTION("IMPORTRANGE(""https://docs.google.com/spreadsheets/d/1IYY_tgx_IHuhSq3AJ5eI5OnqOPBNLWSHKh2a30DoXe8/edit?usp=sharing"",""สตูล!I293"")"),5)</f>
        <v>5</v>
      </c>
      <c r="J398" s="205">
        <f ca="1">IFERROR(__xludf.DUMMYFUNCTION("IMPORTRANGE(""https://docs.google.com/spreadsheets/d/1IYY_tgx_IHuhSq3AJ5eI5OnqOPBNLWSHKh2a30DoXe8/edit?usp=sharing"",""สตูล!J293"")"),0)</f>
        <v>0</v>
      </c>
      <c r="K398" s="169">
        <f t="shared" ca="1" si="110"/>
        <v>0</v>
      </c>
      <c r="L398" s="189"/>
      <c r="M398" s="189"/>
      <c r="N398" s="189"/>
      <c r="O398" s="189"/>
      <c r="P398" s="189"/>
    </row>
    <row r="399" spans="1:16" ht="21.75" customHeight="1" x14ac:dyDescent="0.35">
      <c r="A399" s="183"/>
      <c r="B399" s="184"/>
      <c r="C399" s="184"/>
      <c r="D399" s="201"/>
      <c r="E399" s="202" t="s">
        <v>54</v>
      </c>
      <c r="F399" s="203"/>
      <c r="G399" s="204"/>
      <c r="H399" s="194"/>
      <c r="I399" s="195"/>
      <c r="J399" s="205">
        <f ca="1">IFERROR(__xludf.DUMMYFUNCTION("IMPORTRANGE(""https://docs.google.com/spreadsheets/d/1IYY_tgx_IHuhSq3AJ5eI5OnqOPBNLWSHKh2a30DoXe8/edit?usp=sharing"",""สตูล!J294"")"),0)</f>
        <v>0</v>
      </c>
      <c r="K399" s="169"/>
      <c r="L399" s="189"/>
      <c r="M399" s="189"/>
      <c r="N399" s="189"/>
      <c r="O399" s="189"/>
      <c r="P399" s="189"/>
    </row>
    <row r="400" spans="1:16" ht="21.75" customHeight="1" x14ac:dyDescent="0.35">
      <c r="A400" s="183"/>
      <c r="B400" s="184"/>
      <c r="C400" s="184"/>
      <c r="D400" s="213">
        <v>3</v>
      </c>
      <c r="E400" s="214" t="s">
        <v>55</v>
      </c>
      <c r="F400" s="215"/>
      <c r="G400" s="216"/>
      <c r="H400" s="194"/>
      <c r="I400" s="195"/>
      <c r="J400" s="217">
        <f ca="1">IFERROR(__xludf.DUMMYFUNCTION("IMPORTRANGE(""https://docs.google.com/spreadsheets/d/1IYY_tgx_IHuhSq3AJ5eI5OnqOPBNLWSHKh2a30DoXe8/edit?usp=sharing"",""สตูล!J295"")"),0)</f>
        <v>0</v>
      </c>
      <c r="K400" s="169"/>
      <c r="L400" s="189"/>
      <c r="M400" s="189"/>
      <c r="N400" s="189"/>
      <c r="O400" s="189"/>
      <c r="P400" s="189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IFERROR(__xludf.DUMMYFUNCTION("IMPORTRANGE(""https://docs.google.com/spreadsheets/d/1IYY_tgx_IHuhSq3AJ5eI5OnqOPBNLWSHKh2a30DoXe8/edit?usp=sharing"",""สตูล!I296"")"),75)</f>
        <v>75</v>
      </c>
      <c r="J401" s="377">
        <f ca="1">IFERROR(__xludf.DUMMYFUNCTION("IMPORTRANGE(""https://docs.google.com/spreadsheets/d/1IYY_tgx_IHuhSq3AJ5eI5OnqOPBNLWSHKh2a30DoXe8/edit?usp=sharing"",""สตูล!J296"")"),75)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IFERROR(__xludf.DUMMYFUNCTION("IMPORTRANGE(""https://docs.google.com/spreadsheets/d/1IYY_tgx_IHuhSq3AJ5eI5OnqOPBNLWSHKh2a30DoXe8/edit?usp=sharing"",""สตูล!L296"")"),81620)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IFERROR(__xludf.DUMMYFUNCTION("IMPORTRANGE(""https://docs.google.com/spreadsheets/d/1IYY_tgx_IHuhSq3AJ5eI5OnqOPBNLWSHKh2a30DoXe8/edit?usp=sharing"",""สตูล!M296"")"),41852)</f>
        <v>41852</v>
      </c>
      <c r="O401" s="379">
        <f ca="1">+IF(L401&gt;0,N401*100/L401,0)</f>
        <v>51.276647880421464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IFERROR(__xludf.DUMMYFUNCTION("IMPORTRANGE(""https://docs.google.com/spreadsheets/d/1IYY_tgx_IHuhSq3AJ5eI5OnqOPBNLWSHKh2a30DoXe8/edit?usp=sharing"",""สตูล!I297"")"),25)</f>
        <v>25</v>
      </c>
      <c r="J402" s="377">
        <f ca="1">IFERROR(__xludf.DUMMYFUNCTION("IMPORTRANGE(""https://docs.google.com/spreadsheets/d/1IYY_tgx_IHuhSq3AJ5eI5OnqOPBNLWSHKh2a30DoXe8/edit?usp=sharing"",""สตูล!J297"")"),25)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164" t="s">
        <v>38</v>
      </c>
      <c r="E403" s="165"/>
      <c r="F403" s="165"/>
      <c r="G403" s="166" t="s">
        <v>39</v>
      </c>
      <c r="H403" s="167" t="s">
        <v>12</v>
      </c>
      <c r="I403" s="168" t="s">
        <v>40</v>
      </c>
      <c r="J403" s="168"/>
      <c r="K403" s="169"/>
      <c r="L403" s="170">
        <f ca="1">IFERROR(__xludf.DUMMYFUNCTION("IMPORTRANGE(""https://docs.google.com/spreadsheets/d/1IYY_tgx_IHuhSq3AJ5eI5OnqOPBNLWSHKh2a30DoXe8/edit?usp=sharing"",""สตูล!L298"")"),0)</f>
        <v>0</v>
      </c>
      <c r="M403" s="170"/>
      <c r="N403" s="176">
        <f ca="1">IFERROR(__xludf.DUMMYFUNCTION("IMPORTRANGE(""https://docs.google.com/spreadsheets/d/1IYY_tgx_IHuhSq3AJ5eI5OnqOPBNLWSHKh2a30DoXe8/edit?usp=sharing"",""สตูล!M298"")"),0)</f>
        <v>0</v>
      </c>
      <c r="O403" s="176">
        <f t="shared" ref="O403:O406" ca="1" si="112">+IF(L403&gt;0,N403*100/L403,0)</f>
        <v>0</v>
      </c>
      <c r="P403" s="176"/>
    </row>
    <row r="404" spans="1:16" ht="21.75" customHeight="1" x14ac:dyDescent="0.35">
      <c r="A404" s="162"/>
      <c r="B404" s="163"/>
      <c r="C404" s="163"/>
      <c r="D404" s="172"/>
      <c r="E404" s="165"/>
      <c r="F404" s="165" t="s">
        <v>40</v>
      </c>
      <c r="G404" s="166" t="s">
        <v>41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IFERROR(__xludf.DUMMYFUNCTION("IMPORTRANGE(""https://docs.google.com/spreadsheets/d/1IYY_tgx_IHuhSq3AJ5eI5OnqOPBNLWSHKh2a30DoXe8/edit?usp=sharing"",""สตูล!L299"")"),81620)</f>
        <v>81620</v>
      </c>
      <c r="M404" s="171"/>
      <c r="N404" s="176">
        <f ca="1">IFERROR(__xludf.DUMMYFUNCTION("IMPORTRANGE(""https://docs.google.com/spreadsheets/d/1IYY_tgx_IHuhSq3AJ5eI5OnqOPBNLWSHKh2a30DoXe8/edit?usp=sharing"",""สตูล!M299"")"),41852)</f>
        <v>41852</v>
      </c>
      <c r="O404" s="176">
        <f t="shared" ca="1" si="112"/>
        <v>51.276647880421464</v>
      </c>
      <c r="P404" s="176"/>
    </row>
    <row r="405" spans="1:16" ht="21.75" customHeight="1" x14ac:dyDescent="0.35">
      <c r="A405" s="162"/>
      <c r="B405" s="163"/>
      <c r="C405" s="163"/>
      <c r="D405" s="172"/>
      <c r="E405" s="165"/>
      <c r="F405" s="165"/>
      <c r="G405" s="380" t="s">
        <v>129</v>
      </c>
      <c r="H405" s="167" t="s">
        <v>12</v>
      </c>
      <c r="I405" s="168"/>
      <c r="J405" s="168"/>
      <c r="K405" s="169"/>
      <c r="L405" s="176">
        <f ca="1">IFERROR(__xludf.DUMMYFUNCTION("IMPORTRANGE(""https://docs.google.com/spreadsheets/d/1IYY_tgx_IHuhSq3AJ5eI5OnqOPBNLWSHKh2a30DoXe8/edit?usp=sharing"",""สตูล!L300"")"),0)</f>
        <v>0</v>
      </c>
      <c r="M405" s="176"/>
      <c r="N405" s="176">
        <f ca="1">IFERROR(__xludf.DUMMYFUNCTION("IMPORTRANGE(""https://docs.google.com/spreadsheets/d/1IYY_tgx_IHuhSq3AJ5eI5OnqOPBNLWSHKh2a30DoXe8/edit?usp=sharing"",""สตูล!M300"")"),0)</f>
        <v>0</v>
      </c>
      <c r="O405" s="176">
        <f t="shared" ca="1" si="112"/>
        <v>0</v>
      </c>
      <c r="P405" s="176"/>
    </row>
    <row r="406" spans="1:16" ht="21.75" customHeight="1" x14ac:dyDescent="0.35">
      <c r="A406" s="162"/>
      <c r="B406" s="163"/>
      <c r="C406" s="163"/>
      <c r="D406" s="172"/>
      <c r="E406" s="165"/>
      <c r="F406" s="165"/>
      <c r="G406" s="380" t="s">
        <v>130</v>
      </c>
      <c r="H406" s="167" t="s">
        <v>12</v>
      </c>
      <c r="I406" s="168"/>
      <c r="J406" s="168"/>
      <c r="K406" s="169"/>
      <c r="L406" s="176">
        <f ca="1">IFERROR(__xludf.DUMMYFUNCTION("IMPORTRANGE(""https://docs.google.com/spreadsheets/d/1IYY_tgx_IHuhSq3AJ5eI5OnqOPBNLWSHKh2a30DoXe8/edit?usp=sharing"",""สตูล!L301"")"),81620)</f>
        <v>81620</v>
      </c>
      <c r="M406" s="176"/>
      <c r="N406" s="176">
        <f ca="1">IFERROR(__xludf.DUMMYFUNCTION("IMPORTRANGE(""https://docs.google.com/spreadsheets/d/1IYY_tgx_IHuhSq3AJ5eI5OnqOPBNLWSHKh2a30DoXe8/edit?usp=sharing"",""สตูล!M301"")"),41852)</f>
        <v>41852</v>
      </c>
      <c r="O406" s="176">
        <f t="shared" ca="1" si="112"/>
        <v>51.276647880421464</v>
      </c>
      <c r="P406" s="176"/>
    </row>
    <row r="407" spans="1:16" ht="21.75" customHeight="1" x14ac:dyDescent="0.35">
      <c r="A407" s="381"/>
      <c r="B407" s="382"/>
      <c r="C407" s="163"/>
      <c r="D407" s="383"/>
      <c r="E407" s="165"/>
      <c r="F407" s="165"/>
      <c r="G407" s="384" t="s">
        <v>131</v>
      </c>
      <c r="H407" s="167" t="s">
        <v>12</v>
      </c>
      <c r="I407" s="195"/>
      <c r="J407" s="195"/>
      <c r="K407" s="231"/>
      <c r="L407" s="176"/>
      <c r="M407" s="176"/>
      <c r="N407" s="385">
        <f ca="1">IFERROR(__xludf.DUMMYFUNCTION("IMPORTRANGE(""https://docs.google.com/spreadsheets/d/1IYY_tgx_IHuhSq3AJ5eI5OnqOPBNLWSHKh2a30DoXe8/edit?usp=sharing"",""สตูล!M302"")"),26852)</f>
        <v>26852</v>
      </c>
      <c r="O407" s="176"/>
      <c r="P407" s="176"/>
    </row>
    <row r="408" spans="1:16" ht="21.75" customHeight="1" x14ac:dyDescent="0.35">
      <c r="A408" s="381"/>
      <c r="B408" s="382"/>
      <c r="C408" s="163"/>
      <c r="D408" s="383"/>
      <c r="E408" s="165"/>
      <c r="F408" s="165"/>
      <c r="G408" s="384" t="s">
        <v>132</v>
      </c>
      <c r="H408" s="167" t="s">
        <v>12</v>
      </c>
      <c r="I408" s="195"/>
      <c r="J408" s="195"/>
      <c r="K408" s="231"/>
      <c r="L408" s="176"/>
      <c r="M408" s="176"/>
      <c r="N408" s="385">
        <f ca="1">IFERROR(__xludf.DUMMYFUNCTION("IMPORTRANGE(""https://docs.google.com/spreadsheets/d/1IYY_tgx_IHuhSq3AJ5eI5OnqOPBNLWSHKh2a30DoXe8/edit?usp=sharing"",""สตูล!M303"")"),15000)</f>
        <v>15000</v>
      </c>
      <c r="O408" s="176"/>
      <c r="P408" s="176"/>
    </row>
    <row r="409" spans="1:16" ht="21.75" customHeight="1" x14ac:dyDescent="0.35">
      <c r="A409" s="381"/>
      <c r="B409" s="382"/>
      <c r="C409" s="163"/>
      <c r="D409" s="383"/>
      <c r="E409" s="165"/>
      <c r="F409" s="165"/>
      <c r="G409" s="384" t="s">
        <v>133</v>
      </c>
      <c r="H409" s="167" t="s">
        <v>12</v>
      </c>
      <c r="I409" s="195"/>
      <c r="J409" s="195"/>
      <c r="K409" s="231"/>
      <c r="L409" s="176"/>
      <c r="M409" s="176"/>
      <c r="N409" s="385">
        <f ca="1">IFERROR(__xludf.DUMMYFUNCTION("IMPORTRANGE(""https://docs.google.com/spreadsheets/d/1IYY_tgx_IHuhSq3AJ5eI5OnqOPBNLWSHKh2a30DoXe8/edit?usp=sharing"",""สตูล!M304"")"),0)</f>
        <v>0</v>
      </c>
      <c r="O409" s="176"/>
      <c r="P409" s="176"/>
    </row>
    <row r="410" spans="1:16" ht="21.75" customHeight="1" x14ac:dyDescent="0.35">
      <c r="A410" s="381"/>
      <c r="B410" s="382"/>
      <c r="C410" s="163"/>
      <c r="D410" s="383"/>
      <c r="E410" s="165"/>
      <c r="F410" s="165"/>
      <c r="G410" s="384" t="s">
        <v>134</v>
      </c>
      <c r="H410" s="167" t="s">
        <v>12</v>
      </c>
      <c r="I410" s="195"/>
      <c r="J410" s="195"/>
      <c r="K410" s="231"/>
      <c r="L410" s="176"/>
      <c r="M410" s="176"/>
      <c r="N410" s="385">
        <f ca="1">IFERROR(__xludf.DUMMYFUNCTION("IMPORTRANGE(""https://docs.google.com/spreadsheets/d/1IYY_tgx_IHuhSq3AJ5eI5OnqOPBNLWSHKh2a30DoXe8/edit?usp=sharing"",""สตูล!M305"")"),0)</f>
        <v>0</v>
      </c>
      <c r="O410" s="176"/>
      <c r="P410" s="176"/>
    </row>
    <row r="411" spans="1:16" ht="21.75" customHeight="1" x14ac:dyDescent="0.35">
      <c r="A411" s="183"/>
      <c r="B411" s="184"/>
      <c r="C411" s="163" t="s">
        <v>16</v>
      </c>
      <c r="D411" s="185" t="s">
        <v>44</v>
      </c>
      <c r="E411" s="186"/>
      <c r="F411" s="186"/>
      <c r="G411" s="187"/>
      <c r="H411" s="188"/>
      <c r="I411" s="168"/>
      <c r="J411" s="168"/>
      <c r="K411" s="169"/>
      <c r="L411" s="189"/>
      <c r="M411" s="189"/>
      <c r="N411" s="189"/>
      <c r="O411" s="189"/>
      <c r="P411" s="189"/>
    </row>
    <row r="412" spans="1:16" ht="21.75" customHeight="1" x14ac:dyDescent="0.35">
      <c r="A412" s="183"/>
      <c r="B412" s="184"/>
      <c r="C412" s="184"/>
      <c r="D412" s="190">
        <v>1</v>
      </c>
      <c r="E412" s="191" t="s">
        <v>45</v>
      </c>
      <c r="F412" s="192"/>
      <c r="G412" s="193"/>
      <c r="H412" s="194"/>
      <c r="I412" s="195"/>
      <c r="J412" s="205">
        <f ca="1">IFERROR(__xludf.DUMMYFUNCTION("IMPORTRANGE(""https://docs.google.com/spreadsheets/d/1IYY_tgx_IHuhSq3AJ5eI5OnqOPBNLWSHKh2a30DoXe8/edit?usp=sharing"",""สตูล!J307"")"),0)</f>
        <v>0</v>
      </c>
      <c r="K412" s="169"/>
      <c r="L412" s="189"/>
      <c r="M412" s="189"/>
      <c r="N412" s="189"/>
      <c r="O412" s="189"/>
      <c r="P412" s="189"/>
    </row>
    <row r="413" spans="1:16" ht="21.75" customHeight="1" x14ac:dyDescent="0.35">
      <c r="A413" s="183"/>
      <c r="B413" s="184"/>
      <c r="C413" s="184"/>
      <c r="D413" s="197">
        <v>2</v>
      </c>
      <c r="E413" s="198" t="s">
        <v>46</v>
      </c>
      <c r="F413" s="199"/>
      <c r="G413" s="200"/>
      <c r="H413" s="194"/>
      <c r="I413" s="195"/>
      <c r="J413" s="196">
        <f ca="1">IFERROR(__xludf.DUMMYFUNCTION("IMPORTRANGE(""https://docs.google.com/spreadsheets/d/1IYY_tgx_IHuhSq3AJ5eI5OnqOPBNLWSHKh2a30DoXe8/edit?usp=sharing"",""สตูล!J308"")"),1)</f>
        <v>1</v>
      </c>
      <c r="K413" s="169"/>
      <c r="L413" s="189" t="s">
        <v>40</v>
      </c>
      <c r="M413" s="189"/>
      <c r="N413" s="189" t="s">
        <v>40</v>
      </c>
      <c r="O413" s="189"/>
      <c r="P413" s="189"/>
    </row>
    <row r="414" spans="1:16" ht="21.75" customHeight="1" x14ac:dyDescent="0.35">
      <c r="A414" s="183"/>
      <c r="B414" s="184"/>
      <c r="C414" s="184"/>
      <c r="D414" s="201"/>
      <c r="E414" s="202" t="s">
        <v>47</v>
      </c>
      <c r="F414" s="203"/>
      <c r="G414" s="204"/>
      <c r="H414" s="194"/>
      <c r="I414" s="195"/>
      <c r="J414" s="196">
        <f ca="1">IFERROR(__xludf.DUMMYFUNCTION("IMPORTRANGE(""https://docs.google.com/spreadsheets/d/1IYY_tgx_IHuhSq3AJ5eI5OnqOPBNLWSHKh2a30DoXe8/edit?usp=sharing"",""สตูล!J309"")"),1)</f>
        <v>1</v>
      </c>
      <c r="K414" s="169"/>
      <c r="L414" s="189"/>
      <c r="M414" s="189"/>
      <c r="N414" s="189"/>
      <c r="O414" s="189"/>
      <c r="P414" s="189"/>
    </row>
    <row r="415" spans="1:16" ht="21.75" customHeight="1" x14ac:dyDescent="0.35">
      <c r="A415" s="183"/>
      <c r="B415" s="184"/>
      <c r="C415" s="184"/>
      <c r="D415" s="201"/>
      <c r="E415" s="202" t="s">
        <v>48</v>
      </c>
      <c r="F415" s="203"/>
      <c r="G415" s="204"/>
      <c r="H415" s="194"/>
      <c r="I415" s="195"/>
      <c r="J415" s="205">
        <f ca="1">IFERROR(__xludf.DUMMYFUNCTION("IMPORTRANGE(""https://docs.google.com/spreadsheets/d/1IYY_tgx_IHuhSq3AJ5eI5OnqOPBNLWSHKh2a30DoXe8/edit?usp=sharing"",""สตูล!J310"")"),1)</f>
        <v>1</v>
      </c>
      <c r="K415" s="169"/>
      <c r="L415" s="189"/>
      <c r="M415" s="189"/>
      <c r="N415" s="189"/>
      <c r="O415" s="189"/>
      <c r="P415" s="189"/>
    </row>
    <row r="416" spans="1:16" ht="21.75" customHeight="1" x14ac:dyDescent="0.35">
      <c r="A416" s="183"/>
      <c r="B416" s="184"/>
      <c r="C416" s="184"/>
      <c r="D416" s="201"/>
      <c r="E416" s="206"/>
      <c r="F416" s="202" t="s">
        <v>70</v>
      </c>
      <c r="G416" s="394"/>
      <c r="H416" s="395" t="s">
        <v>37</v>
      </c>
      <c r="I416" s="208">
        <f ca="1">IFERROR(__xludf.DUMMYFUNCTION("IMPORTRANGE(""https://docs.google.com/spreadsheets/d/1IYY_tgx_IHuhSq3AJ5eI5OnqOPBNLWSHKh2a30DoXe8/edit?usp=sharing"",""สตูล!I311"")"),25)</f>
        <v>25</v>
      </c>
      <c r="J416" s="208">
        <f ca="1">IFERROR(__xludf.DUMMYFUNCTION("IMPORTRANGE(""https://docs.google.com/spreadsheets/d/1IYY_tgx_IHuhSq3AJ5eI5OnqOPBNLWSHKh2a30DoXe8/edit?usp=sharing"",""สตูล!J311"")"),25)</f>
        <v>25</v>
      </c>
      <c r="K416" s="209">
        <f t="shared" ref="K416:K432" ca="1" si="113">IF(I416&gt;0,J416*100/I416,0)</f>
        <v>100</v>
      </c>
      <c r="L416" s="189"/>
      <c r="M416" s="189"/>
      <c r="N416" s="189"/>
      <c r="O416" s="189"/>
      <c r="P416" s="189"/>
    </row>
    <row r="417" spans="1:16" ht="21.75" customHeight="1" x14ac:dyDescent="0.45">
      <c r="A417" s="183"/>
      <c r="B417" s="184"/>
      <c r="C417" s="184"/>
      <c r="D417" s="201"/>
      <c r="E417" s="206"/>
      <c r="F417" s="396" t="s">
        <v>148</v>
      </c>
      <c r="G417" s="204"/>
      <c r="H417" s="207" t="s">
        <v>37</v>
      </c>
      <c r="I417" s="397">
        <f ca="1">IFERROR(__xludf.DUMMYFUNCTION("IMPORTRANGE(""https://docs.google.com/spreadsheets/d/1IYY_tgx_IHuhSq3AJ5eI5OnqOPBNLWSHKh2a30DoXe8/edit?usp=sharing"",""สตูล!I312"")"),10)</f>
        <v>10</v>
      </c>
      <c r="J417" s="398">
        <f ca="1">IFERROR(__xludf.DUMMYFUNCTION("IMPORTRANGE(""https://docs.google.com/spreadsheets/d/1IYY_tgx_IHuhSq3AJ5eI5OnqOPBNLWSHKh2a30DoXe8/edit?usp=sharing"",""สตูล!J312"")"),10)</f>
        <v>10</v>
      </c>
      <c r="K417" s="209">
        <f t="shared" ca="1" si="113"/>
        <v>100</v>
      </c>
      <c r="L417" s="189"/>
      <c r="M417" s="189"/>
      <c r="N417" s="189"/>
      <c r="O417" s="189"/>
      <c r="P417" s="189"/>
    </row>
    <row r="418" spans="1:16" ht="21.75" customHeight="1" x14ac:dyDescent="0.45">
      <c r="A418" s="183"/>
      <c r="B418" s="184"/>
      <c r="C418" s="184"/>
      <c r="D418" s="201"/>
      <c r="E418" s="206"/>
      <c r="F418" s="203"/>
      <c r="G418" s="204"/>
      <c r="H418" s="207" t="s">
        <v>122</v>
      </c>
      <c r="I418" s="397">
        <f ca="1">IFERROR(__xludf.DUMMYFUNCTION("IMPORTRANGE(""https://docs.google.com/spreadsheets/d/1IYY_tgx_IHuhSq3AJ5eI5OnqOPBNLWSHKh2a30DoXe8/edit?usp=sharing"",""สตูล!I313"")"),30)</f>
        <v>30</v>
      </c>
      <c r="J418" s="399">
        <f ca="1">IFERROR(__xludf.DUMMYFUNCTION("IMPORTRANGE(""https://docs.google.com/spreadsheets/d/1IYY_tgx_IHuhSq3AJ5eI5OnqOPBNLWSHKh2a30DoXe8/edit?usp=sharing"",""สตูล!J313"")"),30)</f>
        <v>30</v>
      </c>
      <c r="K418" s="209">
        <f t="shared" ca="1" si="113"/>
        <v>100</v>
      </c>
      <c r="L418" s="189"/>
      <c r="M418" s="189"/>
      <c r="N418" s="189"/>
      <c r="O418" s="189"/>
      <c r="P418" s="189"/>
    </row>
    <row r="419" spans="1:16" ht="21.75" customHeight="1" x14ac:dyDescent="0.45">
      <c r="A419" s="183"/>
      <c r="B419" s="184"/>
      <c r="C419" s="184"/>
      <c r="D419" s="201"/>
      <c r="E419" s="206"/>
      <c r="F419" s="203"/>
      <c r="G419" s="233" t="s">
        <v>149</v>
      </c>
      <c r="H419" s="188" t="s">
        <v>37</v>
      </c>
      <c r="I419" s="347">
        <f ca="1">IFERROR(__xludf.DUMMYFUNCTION("IMPORTRANGE(""https://docs.google.com/spreadsheets/d/1IYY_tgx_IHuhSq3AJ5eI5OnqOPBNLWSHKh2a30DoXe8/edit?usp=sharing"",""สตูล!I314"")"),10)</f>
        <v>10</v>
      </c>
      <c r="J419" s="400">
        <f ca="1">IFERROR(__xludf.DUMMYFUNCTION("IMPORTRANGE(""https://docs.google.com/spreadsheets/d/1IYY_tgx_IHuhSq3AJ5eI5OnqOPBNLWSHKh2a30DoXe8/edit?usp=sharing"",""สตูล!J314"")"),10)</f>
        <v>10</v>
      </c>
      <c r="K419" s="169">
        <f t="shared" ca="1" si="113"/>
        <v>100</v>
      </c>
      <c r="L419" s="189"/>
      <c r="M419" s="189"/>
      <c r="N419" s="189"/>
      <c r="O419" s="189"/>
      <c r="P419" s="189"/>
    </row>
    <row r="420" spans="1:16" ht="21.75" customHeight="1" x14ac:dyDescent="0.45">
      <c r="A420" s="241"/>
      <c r="B420" s="242"/>
      <c r="C420" s="242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IFERROR(__xludf.DUMMYFUNCTION("IMPORTRANGE(""https://docs.google.com/spreadsheets/d/1IYY_tgx_IHuhSq3AJ5eI5OnqOPBNLWSHKh2a30DoXe8/edit?usp=sharing"",""สตูล!I315"")"),10)</f>
        <v>10</v>
      </c>
      <c r="J420" s="400">
        <f ca="1">IFERROR(__xludf.DUMMYFUNCTION("IMPORTRANGE(""https://docs.google.com/spreadsheets/d/1IYY_tgx_IHuhSq3AJ5eI5OnqOPBNLWSHKh2a30DoXe8/edit?usp=sharing"",""สตูล!J315"")"),10)</f>
        <v>10</v>
      </c>
      <c r="K420" s="294">
        <f t="shared" ca="1" si="113"/>
        <v>100</v>
      </c>
      <c r="L420" s="252"/>
      <c r="M420" s="252"/>
      <c r="N420" s="252"/>
      <c r="O420" s="252"/>
      <c r="P420" s="252"/>
    </row>
    <row r="421" spans="1:16" ht="21.75" customHeight="1" x14ac:dyDescent="0.45">
      <c r="A421" s="183"/>
      <c r="B421" s="184"/>
      <c r="C421" s="184"/>
      <c r="D421" s="201"/>
      <c r="E421" s="206"/>
      <c r="F421" s="396" t="s">
        <v>151</v>
      </c>
      <c r="G421" s="204"/>
      <c r="H421" s="207" t="s">
        <v>37</v>
      </c>
      <c r="I421" s="397">
        <f ca="1">IFERROR(__xludf.DUMMYFUNCTION("IMPORTRANGE(""https://docs.google.com/spreadsheets/d/1IYY_tgx_IHuhSq3AJ5eI5OnqOPBNLWSHKh2a30DoXe8/edit?usp=sharing"",""สตูล!I316"")"),0)</f>
        <v>0</v>
      </c>
      <c r="J421" s="398">
        <f ca="1">IFERROR(__xludf.DUMMYFUNCTION("IMPORTRANGE(""https://docs.google.com/spreadsheets/d/1IYY_tgx_IHuhSq3AJ5eI5OnqOPBNLWSHKh2a30DoXe8/edit?usp=sharing"",""สตูล!J316"")"),0)</f>
        <v>0</v>
      </c>
      <c r="K421" s="209">
        <f t="shared" ca="1" si="113"/>
        <v>0</v>
      </c>
      <c r="L421" s="189"/>
      <c r="M421" s="189"/>
      <c r="N421" s="189"/>
      <c r="O421" s="189"/>
      <c r="P421" s="189"/>
    </row>
    <row r="422" spans="1:16" ht="21.75" customHeight="1" x14ac:dyDescent="0.45">
      <c r="A422" s="183"/>
      <c r="B422" s="184"/>
      <c r="C422" s="184"/>
      <c r="D422" s="201"/>
      <c r="E422" s="206"/>
      <c r="F422" s="203"/>
      <c r="G422" s="204"/>
      <c r="H422" s="207" t="s">
        <v>122</v>
      </c>
      <c r="I422" s="397">
        <f ca="1">IFERROR(__xludf.DUMMYFUNCTION("IMPORTRANGE(""https://docs.google.com/spreadsheets/d/1IYY_tgx_IHuhSq3AJ5eI5OnqOPBNLWSHKh2a30DoXe8/edit?usp=sharing"",""สตูล!I317"")"),0)</f>
        <v>0</v>
      </c>
      <c r="J422" s="399">
        <f ca="1">IFERROR(__xludf.DUMMYFUNCTION("IMPORTRANGE(""https://docs.google.com/spreadsheets/d/1IYY_tgx_IHuhSq3AJ5eI5OnqOPBNLWSHKh2a30DoXe8/edit?usp=sharing"",""สตูล!J317"")"),0)</f>
        <v>0</v>
      </c>
      <c r="K422" s="209">
        <f t="shared" ca="1" si="113"/>
        <v>0</v>
      </c>
      <c r="L422" s="189"/>
      <c r="M422" s="189"/>
      <c r="N422" s="189"/>
      <c r="O422" s="189"/>
      <c r="P422" s="189"/>
    </row>
    <row r="423" spans="1:16" ht="21.75" customHeight="1" x14ac:dyDescent="0.45">
      <c r="A423" s="183"/>
      <c r="B423" s="184"/>
      <c r="C423" s="184"/>
      <c r="D423" s="201"/>
      <c r="E423" s="206"/>
      <c r="F423" s="203"/>
      <c r="G423" s="233" t="s">
        <v>152</v>
      </c>
      <c r="H423" s="188" t="s">
        <v>37</v>
      </c>
      <c r="I423" s="347">
        <f ca="1">IFERROR(__xludf.DUMMYFUNCTION("IMPORTRANGE(""https://docs.google.com/spreadsheets/d/1IYY_tgx_IHuhSq3AJ5eI5OnqOPBNLWSHKh2a30DoXe8/edit?usp=sharing"",""สตูล!I318"")"),0)</f>
        <v>0</v>
      </c>
      <c r="J423" s="400">
        <f ca="1">IFERROR(__xludf.DUMMYFUNCTION("IMPORTRANGE(""https://docs.google.com/spreadsheets/d/1IYY_tgx_IHuhSq3AJ5eI5OnqOPBNLWSHKh2a30DoXe8/edit?usp=sharing"",""สตูล!J318"")"),0)</f>
        <v>0</v>
      </c>
      <c r="K423" s="169">
        <f t="shared" ca="1" si="113"/>
        <v>0</v>
      </c>
      <c r="L423" s="189"/>
      <c r="M423" s="189"/>
      <c r="N423" s="189"/>
      <c r="O423" s="189"/>
      <c r="P423" s="189"/>
    </row>
    <row r="424" spans="1:16" ht="21.75" customHeight="1" x14ac:dyDescent="0.45">
      <c r="A424" s="183"/>
      <c r="B424" s="184"/>
      <c r="C424" s="184"/>
      <c r="D424" s="201"/>
      <c r="E424" s="206"/>
      <c r="F424" s="203"/>
      <c r="G424" s="233" t="s">
        <v>153</v>
      </c>
      <c r="H424" s="188" t="s">
        <v>37</v>
      </c>
      <c r="I424" s="347">
        <f ca="1">IFERROR(__xludf.DUMMYFUNCTION("IMPORTRANGE(""https://docs.google.com/spreadsheets/d/1IYY_tgx_IHuhSq3AJ5eI5OnqOPBNLWSHKh2a30DoXe8/edit?usp=sharing"",""สตูล!I319"")"),0)</f>
        <v>0</v>
      </c>
      <c r="J424" s="400">
        <f ca="1">IFERROR(__xludf.DUMMYFUNCTION("IMPORTRANGE(""https://docs.google.com/spreadsheets/d/1IYY_tgx_IHuhSq3AJ5eI5OnqOPBNLWSHKh2a30DoXe8/edit?usp=sharing"",""สตูล!J319"")"),0)</f>
        <v>0</v>
      </c>
      <c r="K424" s="169">
        <f t="shared" ca="1" si="113"/>
        <v>0</v>
      </c>
      <c r="L424" s="189"/>
      <c r="M424" s="189"/>
      <c r="N424" s="189"/>
      <c r="O424" s="189"/>
      <c r="P424" s="189"/>
    </row>
    <row r="425" spans="1:16" ht="21.75" customHeight="1" x14ac:dyDescent="0.45">
      <c r="A425" s="183"/>
      <c r="B425" s="184"/>
      <c r="C425" s="184"/>
      <c r="D425" s="201"/>
      <c r="E425" s="206"/>
      <c r="F425" s="203"/>
      <c r="G425" s="233" t="s">
        <v>154</v>
      </c>
      <c r="H425" s="188" t="s">
        <v>37</v>
      </c>
      <c r="I425" s="347">
        <f ca="1">IFERROR(__xludf.DUMMYFUNCTION("IMPORTRANGE(""https://docs.google.com/spreadsheets/d/1IYY_tgx_IHuhSq3AJ5eI5OnqOPBNLWSHKh2a30DoXe8/edit?usp=sharing"",""สตูล!I320"")"),0)</f>
        <v>0</v>
      </c>
      <c r="J425" s="400">
        <f ca="1">IFERROR(__xludf.DUMMYFUNCTION("IMPORTRANGE(""https://docs.google.com/spreadsheets/d/1IYY_tgx_IHuhSq3AJ5eI5OnqOPBNLWSHKh2a30DoXe8/edit?usp=sharing"",""สตูล!J320"")"),0)</f>
        <v>0</v>
      </c>
      <c r="K425" s="169">
        <f t="shared" ca="1" si="113"/>
        <v>0</v>
      </c>
      <c r="L425" s="189"/>
      <c r="M425" s="189"/>
      <c r="N425" s="189"/>
      <c r="O425" s="189"/>
      <c r="P425" s="189"/>
    </row>
    <row r="426" spans="1:16" ht="21.75" customHeight="1" x14ac:dyDescent="0.45">
      <c r="A426" s="183"/>
      <c r="B426" s="184"/>
      <c r="C426" s="184"/>
      <c r="D426" s="201"/>
      <c r="E426" s="206"/>
      <c r="F426" s="405" t="s">
        <v>155</v>
      </c>
      <c r="G426" s="204"/>
      <c r="H426" s="207" t="s">
        <v>37</v>
      </c>
      <c r="I426" s="397">
        <f ca="1">IFERROR(__xludf.DUMMYFUNCTION("IMPORTRANGE(""https://docs.google.com/spreadsheets/d/1IYY_tgx_IHuhSq3AJ5eI5OnqOPBNLWSHKh2a30DoXe8/edit?usp=sharing"",""สตูล!I321"")"),15)</f>
        <v>15</v>
      </c>
      <c r="J426" s="398">
        <f ca="1">IFERROR(__xludf.DUMMYFUNCTION("IMPORTRANGE(""https://docs.google.com/spreadsheets/d/1IYY_tgx_IHuhSq3AJ5eI5OnqOPBNLWSHKh2a30DoXe8/edit?usp=sharing"",""สตูล!J321"")"),15)</f>
        <v>15</v>
      </c>
      <c r="K426" s="209">
        <f t="shared" ca="1" si="113"/>
        <v>100</v>
      </c>
      <c r="L426" s="189"/>
      <c r="M426" s="189"/>
      <c r="N426" s="189"/>
      <c r="O426" s="189"/>
      <c r="P426" s="189"/>
    </row>
    <row r="427" spans="1:16" ht="21.75" customHeight="1" x14ac:dyDescent="0.45">
      <c r="A427" s="183"/>
      <c r="B427" s="184"/>
      <c r="C427" s="184"/>
      <c r="D427" s="201"/>
      <c r="E427" s="206"/>
      <c r="F427" s="203"/>
      <c r="G427" s="204"/>
      <c r="H427" s="207" t="s">
        <v>122</v>
      </c>
      <c r="I427" s="397">
        <f ca="1">IFERROR(__xludf.DUMMYFUNCTION("IMPORTRANGE(""https://docs.google.com/spreadsheets/d/1IYY_tgx_IHuhSq3AJ5eI5OnqOPBNLWSHKh2a30DoXe8/edit?usp=sharing"",""สตูล!I322"")"),45)</f>
        <v>45</v>
      </c>
      <c r="J427" s="399">
        <f ca="1">IFERROR(__xludf.DUMMYFUNCTION("IMPORTRANGE(""https://docs.google.com/spreadsheets/d/1IYY_tgx_IHuhSq3AJ5eI5OnqOPBNLWSHKh2a30DoXe8/edit?usp=sharing"",""สตูล!J322"")"),45)</f>
        <v>45</v>
      </c>
      <c r="K427" s="209">
        <f t="shared" ca="1" si="113"/>
        <v>100</v>
      </c>
      <c r="L427" s="189"/>
      <c r="M427" s="189"/>
      <c r="N427" s="189"/>
      <c r="O427" s="189"/>
      <c r="P427" s="189"/>
    </row>
    <row r="428" spans="1:16" ht="21.75" customHeight="1" x14ac:dyDescent="0.45">
      <c r="A428" s="183"/>
      <c r="B428" s="184"/>
      <c r="C428" s="184"/>
      <c r="D428" s="201"/>
      <c r="E428" s="206"/>
      <c r="F428" s="203"/>
      <c r="G428" s="233" t="s">
        <v>156</v>
      </c>
      <c r="H428" s="188" t="s">
        <v>37</v>
      </c>
      <c r="I428" s="406">
        <f ca="1">IFERROR(__xludf.DUMMYFUNCTION("IMPORTRANGE(""https://docs.google.com/spreadsheets/d/1IYY_tgx_IHuhSq3AJ5eI5OnqOPBNLWSHKh2a30DoXe8/edit?usp=sharing"",""สตูล!I323"")"),15)</f>
        <v>15</v>
      </c>
      <c r="J428" s="400">
        <f ca="1">IFERROR(__xludf.DUMMYFUNCTION("IMPORTRANGE(""https://docs.google.com/spreadsheets/d/1IYY_tgx_IHuhSq3AJ5eI5OnqOPBNLWSHKh2a30DoXe8/edit?usp=sharing"",""สตูล!J323"")"),15)</f>
        <v>15</v>
      </c>
      <c r="K428" s="169">
        <f t="shared" ca="1" si="113"/>
        <v>100</v>
      </c>
      <c r="L428" s="189"/>
      <c r="M428" s="189"/>
      <c r="N428" s="189"/>
      <c r="O428" s="189"/>
      <c r="P428" s="189"/>
    </row>
    <row r="429" spans="1:16" ht="21.75" customHeight="1" x14ac:dyDescent="0.45">
      <c r="A429" s="183"/>
      <c r="B429" s="184"/>
      <c r="C429" s="184"/>
      <c r="D429" s="201"/>
      <c r="E429" s="206"/>
      <c r="F429" s="203"/>
      <c r="G429" s="233" t="s">
        <v>157</v>
      </c>
      <c r="H429" s="188" t="s">
        <v>37</v>
      </c>
      <c r="I429" s="406">
        <f ca="1">IFERROR(__xludf.DUMMYFUNCTION("IMPORTRANGE(""https://docs.google.com/spreadsheets/d/1IYY_tgx_IHuhSq3AJ5eI5OnqOPBNLWSHKh2a30DoXe8/edit?usp=sharing"",""สตูล!I324"")"),15)</f>
        <v>15</v>
      </c>
      <c r="J429" s="400">
        <f ca="1">IFERROR(__xludf.DUMMYFUNCTION("IMPORTRANGE(""https://docs.google.com/spreadsheets/d/1IYY_tgx_IHuhSq3AJ5eI5OnqOPBNLWSHKh2a30DoXe8/edit?usp=sharing"",""สตูล!J324"")"),15)</f>
        <v>15</v>
      </c>
      <c r="K429" s="169">
        <f t="shared" ca="1" si="113"/>
        <v>100</v>
      </c>
      <c r="L429" s="189"/>
      <c r="M429" s="189"/>
      <c r="N429" s="189"/>
      <c r="O429" s="189"/>
      <c r="P429" s="189"/>
    </row>
    <row r="430" spans="1:16" ht="21.75" customHeight="1" x14ac:dyDescent="0.45">
      <c r="A430" s="183"/>
      <c r="B430" s="184"/>
      <c r="C430" s="184"/>
      <c r="D430" s="201"/>
      <c r="E430" s="206"/>
      <c r="F430" s="202" t="s">
        <v>53</v>
      </c>
      <c r="G430" s="394"/>
      <c r="H430" s="407" t="s">
        <v>37</v>
      </c>
      <c r="I430" s="208">
        <f ca="1">IFERROR(__xludf.DUMMYFUNCTION("IMPORTRANGE(""https://docs.google.com/spreadsheets/d/1IYY_tgx_IHuhSq3AJ5eI5OnqOPBNLWSHKh2a30DoXe8/edit?usp=sharing"",""สตูล!I325"")"),10)</f>
        <v>10</v>
      </c>
      <c r="J430" s="398">
        <f ca="1">IFERROR(__xludf.DUMMYFUNCTION("IMPORTRANGE(""https://docs.google.com/spreadsheets/d/1IYY_tgx_IHuhSq3AJ5eI5OnqOPBNLWSHKh2a30DoXe8/edit?usp=sharing"",""สตูล!J325"")"),10)</f>
        <v>10</v>
      </c>
      <c r="K430" s="209">
        <f t="shared" ca="1" si="113"/>
        <v>100</v>
      </c>
      <c r="L430" s="189"/>
      <c r="M430" s="189"/>
      <c r="N430" s="189"/>
      <c r="O430" s="189"/>
      <c r="P430" s="189"/>
    </row>
    <row r="431" spans="1:16" ht="21.75" customHeight="1" x14ac:dyDescent="0.45">
      <c r="A431" s="408"/>
      <c r="B431" s="409"/>
      <c r="C431" s="409"/>
      <c r="D431" s="410"/>
      <c r="E431" s="206"/>
      <c r="F431" s="203"/>
      <c r="G431" s="233" t="s">
        <v>158</v>
      </c>
      <c r="H431" s="188" t="s">
        <v>37</v>
      </c>
      <c r="I431" s="406">
        <f ca="1">IFERROR(__xludf.DUMMYFUNCTION("IMPORTRANGE(""https://docs.google.com/spreadsheets/d/1IYY_tgx_IHuhSq3AJ5eI5OnqOPBNLWSHKh2a30DoXe8/edit?usp=sharing"",""สตูล!I326"")"),10)</f>
        <v>10</v>
      </c>
      <c r="J431" s="400">
        <f ca="1">IFERROR(__xludf.DUMMYFUNCTION("IMPORTRANGE(""https://docs.google.com/spreadsheets/d/1IYY_tgx_IHuhSq3AJ5eI5OnqOPBNLWSHKh2a30DoXe8/edit?usp=sharing"",""สตูล!J326"")"),10)</f>
        <v>10</v>
      </c>
      <c r="K431" s="169">
        <f t="shared" ca="1" si="113"/>
        <v>100</v>
      </c>
      <c r="L431" s="189"/>
      <c r="M431" s="189"/>
      <c r="N431" s="189"/>
      <c r="O431" s="189"/>
      <c r="P431" s="189"/>
    </row>
    <row r="432" spans="1:16" ht="21.75" customHeight="1" x14ac:dyDescent="0.45">
      <c r="A432" s="408"/>
      <c r="B432" s="409"/>
      <c r="C432" s="409"/>
      <c r="D432" s="410"/>
      <c r="E432" s="206"/>
      <c r="F432" s="203"/>
      <c r="G432" s="233" t="s">
        <v>159</v>
      </c>
      <c r="H432" s="188" t="s">
        <v>37</v>
      </c>
      <c r="I432" s="406">
        <f ca="1">IFERROR(__xludf.DUMMYFUNCTION("IMPORTRANGE(""https://docs.google.com/spreadsheets/d/1IYY_tgx_IHuhSq3AJ5eI5OnqOPBNLWSHKh2a30DoXe8/edit?usp=sharing"",""สตูล!I327"")"),0)</f>
        <v>0</v>
      </c>
      <c r="J432" s="400">
        <f ca="1">IFERROR(__xludf.DUMMYFUNCTION("IMPORTRANGE(""https://docs.google.com/spreadsheets/d/1IYY_tgx_IHuhSq3AJ5eI5OnqOPBNLWSHKh2a30DoXe8/edit?usp=sharing"",""สตูล!J327"")"),0)</f>
        <v>0</v>
      </c>
      <c r="K432" s="169">
        <f t="shared" ca="1" si="113"/>
        <v>0</v>
      </c>
      <c r="L432" s="189"/>
      <c r="M432" s="189"/>
      <c r="N432" s="189"/>
      <c r="O432" s="189"/>
      <c r="P432" s="189"/>
    </row>
    <row r="433" spans="1:16" ht="21.75" customHeight="1" x14ac:dyDescent="0.35">
      <c r="A433" s="183"/>
      <c r="B433" s="184"/>
      <c r="C433" s="184"/>
      <c r="D433" s="201"/>
      <c r="E433" s="202" t="s">
        <v>54</v>
      </c>
      <c r="F433" s="203"/>
      <c r="G433" s="204"/>
      <c r="H433" s="194"/>
      <c r="I433" s="195"/>
      <c r="J433" s="205">
        <f ca="1">IFERROR(__xludf.DUMMYFUNCTION("IMPORTRANGE(""https://docs.google.com/spreadsheets/d/1IYY_tgx_IHuhSq3AJ5eI5OnqOPBNLWSHKh2a30DoXe8/edit?usp=sharing"",""สตูล!J328"")"),0)</f>
        <v>0</v>
      </c>
      <c r="K433" s="169"/>
      <c r="L433" s="189"/>
      <c r="M433" s="189"/>
      <c r="N433" s="189"/>
      <c r="O433" s="189"/>
      <c r="P433" s="189"/>
    </row>
    <row r="434" spans="1:16" ht="21.75" customHeight="1" x14ac:dyDescent="0.35">
      <c r="A434" s="183"/>
      <c r="B434" s="184"/>
      <c r="C434" s="184"/>
      <c r="D434" s="213">
        <v>3</v>
      </c>
      <c r="E434" s="214" t="s">
        <v>55</v>
      </c>
      <c r="F434" s="215"/>
      <c r="G434" s="216"/>
      <c r="H434" s="194"/>
      <c r="I434" s="195"/>
      <c r="J434" s="217">
        <f ca="1">IFERROR(__xludf.DUMMYFUNCTION("IMPORTRANGE(""https://docs.google.com/spreadsheets/d/1IYY_tgx_IHuhSq3AJ5eI5OnqOPBNLWSHKh2a30DoXe8/edit?usp=sharing"",""สตูล!J329"")"),0)</f>
        <v>0</v>
      </c>
      <c r="K434" s="169"/>
      <c r="L434" s="189"/>
      <c r="M434" s="189"/>
      <c r="N434" s="189"/>
      <c r="O434" s="189"/>
      <c r="P434" s="189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IFERROR(__xludf.DUMMYFUNCTION("IMPORTRANGE(""https://docs.google.com/spreadsheets/d/1IYY_tgx_IHuhSq3AJ5eI5OnqOPBNLWSHKh2a30DoXe8/edit?usp=sharing"",""สตูล!I330"")"),10)</f>
        <v>10</v>
      </c>
      <c r="J435" s="416">
        <f ca="1">IFERROR(__xludf.DUMMYFUNCTION("IMPORTRANGE(""https://docs.google.com/spreadsheets/d/1IYY_tgx_IHuhSq3AJ5eI5OnqOPBNLWSHKh2a30DoXe8/edit?usp=sharing"",""สตูล!J330"")"),10)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IFERROR(__xludf.DUMMYFUNCTION("IMPORTRANGE(""https://docs.google.com/spreadsheets/d/1IYY_tgx_IHuhSq3AJ5eI5OnqOPBNLWSHKh2a30DoXe8/edit?usp=sharing"",""สตูล!L330"")"),76000)</f>
        <v>76000</v>
      </c>
      <c r="M435" s="418"/>
      <c r="N435" s="418">
        <f ca="1">IFERROR(__xludf.DUMMYFUNCTION("IMPORTRANGE(""https://docs.google.com/spreadsheets/d/1IYY_tgx_IHuhSq3AJ5eI5OnqOPBNLWSHKh2a30DoXe8/edit?usp=sharing"",""สตูล!M330"")"),68230)</f>
        <v>68230</v>
      </c>
      <c r="O435" s="418">
        <f t="shared" ref="O435:O439" ca="1" si="114">+IF(L435&gt;0,N435*100/L435,0)</f>
        <v>89.776315789473685</v>
      </c>
      <c r="P435" s="418"/>
    </row>
    <row r="436" spans="1:16" ht="21.75" customHeight="1" x14ac:dyDescent="0.35">
      <c r="A436" s="162"/>
      <c r="B436" s="163"/>
      <c r="C436" s="163" t="s">
        <v>16</v>
      </c>
      <c r="D436" s="164" t="s">
        <v>38</v>
      </c>
      <c r="E436" s="165"/>
      <c r="F436" s="165"/>
      <c r="G436" s="166" t="s">
        <v>39</v>
      </c>
      <c r="H436" s="167" t="s">
        <v>12</v>
      </c>
      <c r="I436" s="168" t="s">
        <v>40</v>
      </c>
      <c r="J436" s="168"/>
      <c r="K436" s="169"/>
      <c r="L436" s="170">
        <f ca="1">IFERROR(__xludf.DUMMYFUNCTION("IMPORTRANGE(""https://docs.google.com/spreadsheets/d/1IYY_tgx_IHuhSq3AJ5eI5OnqOPBNLWSHKh2a30DoXe8/edit?usp=sharing"",""สตูล!L331"")"),0)</f>
        <v>0</v>
      </c>
      <c r="M436" s="170"/>
      <c r="N436" s="176">
        <f ca="1">IFERROR(__xludf.DUMMYFUNCTION("IMPORTRANGE(""https://docs.google.com/spreadsheets/d/1IYY_tgx_IHuhSq3AJ5eI5OnqOPBNLWSHKh2a30DoXe8/edit?usp=sharing"",""สตูล!M331"")"),0)</f>
        <v>0</v>
      </c>
      <c r="O436" s="176">
        <f t="shared" ca="1" si="114"/>
        <v>0</v>
      </c>
      <c r="P436" s="176"/>
    </row>
    <row r="437" spans="1:16" ht="21.75" customHeight="1" x14ac:dyDescent="0.35">
      <c r="A437" s="162"/>
      <c r="B437" s="163"/>
      <c r="C437" s="163"/>
      <c r="D437" s="172"/>
      <c r="E437" s="165"/>
      <c r="F437" s="165" t="s">
        <v>40</v>
      </c>
      <c r="G437" s="166" t="s">
        <v>41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IFERROR(__xludf.DUMMYFUNCTION("IMPORTRANGE(""https://docs.google.com/spreadsheets/d/1IYY_tgx_IHuhSq3AJ5eI5OnqOPBNLWSHKh2a30DoXe8/edit?usp=sharing"",""สตูล!L332"")"),76000)</f>
        <v>76000</v>
      </c>
      <c r="M437" s="171"/>
      <c r="N437" s="176">
        <f ca="1">IFERROR(__xludf.DUMMYFUNCTION("IMPORTRANGE(""https://docs.google.com/spreadsheets/d/1IYY_tgx_IHuhSq3AJ5eI5OnqOPBNLWSHKh2a30DoXe8/edit?usp=sharing"",""สตูล!M332"")"),68230)</f>
        <v>68230</v>
      </c>
      <c r="O437" s="176">
        <f t="shared" ca="1" si="114"/>
        <v>89.776315789473685</v>
      </c>
      <c r="P437" s="176"/>
    </row>
    <row r="438" spans="1:16" ht="21.75" customHeight="1" x14ac:dyDescent="0.35">
      <c r="A438" s="162"/>
      <c r="B438" s="163"/>
      <c r="C438" s="163"/>
      <c r="D438" s="172"/>
      <c r="E438" s="165"/>
      <c r="F438" s="165"/>
      <c r="G438" s="380" t="s">
        <v>129</v>
      </c>
      <c r="H438" s="167" t="s">
        <v>12</v>
      </c>
      <c r="I438" s="168"/>
      <c r="J438" s="168"/>
      <c r="K438" s="169"/>
      <c r="L438" s="176">
        <f ca="1">IFERROR(__xludf.DUMMYFUNCTION("IMPORTRANGE(""https://docs.google.com/spreadsheets/d/1IYY_tgx_IHuhSq3AJ5eI5OnqOPBNLWSHKh2a30DoXe8/edit?usp=sharing"",""สตูล!L333"")"),0)</f>
        <v>0</v>
      </c>
      <c r="M438" s="176"/>
      <c r="N438" s="176">
        <f ca="1">IFERROR(__xludf.DUMMYFUNCTION("IMPORTRANGE(""https://docs.google.com/spreadsheets/d/1IYY_tgx_IHuhSq3AJ5eI5OnqOPBNLWSHKh2a30DoXe8/edit?usp=sharing"",""สตูล!M333"")"),0)</f>
        <v>0</v>
      </c>
      <c r="O438" s="176">
        <f t="shared" ca="1" si="114"/>
        <v>0</v>
      </c>
      <c r="P438" s="176"/>
    </row>
    <row r="439" spans="1:16" ht="21.75" customHeight="1" x14ac:dyDescent="0.35">
      <c r="A439" s="162"/>
      <c r="B439" s="163"/>
      <c r="C439" s="163"/>
      <c r="D439" s="172"/>
      <c r="E439" s="165"/>
      <c r="F439" s="165"/>
      <c r="G439" s="380" t="s">
        <v>130</v>
      </c>
      <c r="H439" s="167" t="s">
        <v>12</v>
      </c>
      <c r="I439" s="168"/>
      <c r="J439" s="168"/>
      <c r="K439" s="169"/>
      <c r="L439" s="176">
        <f ca="1">IFERROR(__xludf.DUMMYFUNCTION("IMPORTRANGE(""https://docs.google.com/spreadsheets/d/1IYY_tgx_IHuhSq3AJ5eI5OnqOPBNLWSHKh2a30DoXe8/edit?usp=sharing"",""สตูล!L334"")"),76000)</f>
        <v>76000</v>
      </c>
      <c r="M439" s="176"/>
      <c r="N439" s="176">
        <f ca="1">IFERROR(__xludf.DUMMYFUNCTION("IMPORTRANGE(""https://docs.google.com/spreadsheets/d/1IYY_tgx_IHuhSq3AJ5eI5OnqOPBNLWSHKh2a30DoXe8/edit?usp=sharing"",""สตูล!M334"")"),68230)</f>
        <v>68230</v>
      </c>
      <c r="O439" s="176">
        <f t="shared" ca="1" si="114"/>
        <v>89.776315789473685</v>
      </c>
      <c r="P439" s="176"/>
    </row>
    <row r="440" spans="1:16" ht="21.75" customHeight="1" x14ac:dyDescent="0.35">
      <c r="A440" s="381"/>
      <c r="B440" s="382"/>
      <c r="C440" s="163"/>
      <c r="D440" s="383"/>
      <c r="E440" s="165"/>
      <c r="F440" s="165"/>
      <c r="G440" s="384" t="s">
        <v>131</v>
      </c>
      <c r="H440" s="167" t="s">
        <v>12</v>
      </c>
      <c r="I440" s="195"/>
      <c r="J440" s="195"/>
      <c r="K440" s="231"/>
      <c r="L440" s="176"/>
      <c r="M440" s="176"/>
      <c r="N440" s="385">
        <f ca="1">IFERROR(__xludf.DUMMYFUNCTION("IMPORTRANGE(""https://docs.google.com/spreadsheets/d/1IYY_tgx_IHuhSq3AJ5eI5OnqOPBNLWSHKh2a30DoXe8/edit?usp=sharing"",""สตูล!M335"")"),25200)</f>
        <v>25200</v>
      </c>
      <c r="O440" s="176"/>
      <c r="P440" s="176"/>
    </row>
    <row r="441" spans="1:16" ht="21.75" customHeight="1" x14ac:dyDescent="0.35">
      <c r="A441" s="381"/>
      <c r="B441" s="382"/>
      <c r="C441" s="163"/>
      <c r="D441" s="383"/>
      <c r="E441" s="165"/>
      <c r="F441" s="165"/>
      <c r="G441" s="384" t="s">
        <v>132</v>
      </c>
      <c r="H441" s="167" t="s">
        <v>12</v>
      </c>
      <c r="I441" s="195"/>
      <c r="J441" s="195"/>
      <c r="K441" s="231"/>
      <c r="L441" s="176"/>
      <c r="M441" s="176"/>
      <c r="N441" s="385">
        <f ca="1">IFERROR(__xludf.DUMMYFUNCTION("IMPORTRANGE(""https://docs.google.com/spreadsheets/d/1IYY_tgx_IHuhSq3AJ5eI5OnqOPBNLWSHKh2a30DoXe8/edit?usp=sharing"",""สตูล!M336"")"),0)</f>
        <v>0</v>
      </c>
      <c r="O441" s="176"/>
      <c r="P441" s="176"/>
    </row>
    <row r="442" spans="1:16" ht="21.75" customHeight="1" x14ac:dyDescent="0.35">
      <c r="A442" s="381"/>
      <c r="B442" s="382"/>
      <c r="C442" s="163"/>
      <c r="D442" s="383"/>
      <c r="E442" s="165"/>
      <c r="F442" s="165"/>
      <c r="G442" s="384" t="s">
        <v>133</v>
      </c>
      <c r="H442" s="167" t="s">
        <v>12</v>
      </c>
      <c r="I442" s="195"/>
      <c r="J442" s="195"/>
      <c r="K442" s="231"/>
      <c r="L442" s="176"/>
      <c r="M442" s="176"/>
      <c r="N442" s="385">
        <f ca="1">IFERROR(__xludf.DUMMYFUNCTION("IMPORTRANGE(""https://docs.google.com/spreadsheets/d/1IYY_tgx_IHuhSq3AJ5eI5OnqOPBNLWSHKh2a30DoXe8/edit?usp=sharing"",""สตูล!M337"")"),0)</f>
        <v>0</v>
      </c>
      <c r="O442" s="176"/>
      <c r="P442" s="176"/>
    </row>
    <row r="443" spans="1:16" ht="21.75" customHeight="1" x14ac:dyDescent="0.35">
      <c r="A443" s="381"/>
      <c r="B443" s="382"/>
      <c r="C443" s="163"/>
      <c r="D443" s="383"/>
      <c r="E443" s="165"/>
      <c r="F443" s="165"/>
      <c r="G443" s="384" t="s">
        <v>134</v>
      </c>
      <c r="H443" s="167" t="s">
        <v>12</v>
      </c>
      <c r="I443" s="195"/>
      <c r="J443" s="195"/>
      <c r="K443" s="231"/>
      <c r="L443" s="176"/>
      <c r="M443" s="176"/>
      <c r="N443" s="385">
        <f ca="1">IFERROR(__xludf.DUMMYFUNCTION("IMPORTRANGE(""https://docs.google.com/spreadsheets/d/1IYY_tgx_IHuhSq3AJ5eI5OnqOPBNLWSHKh2a30DoXe8/edit?usp=sharing"",""สตูล!M338"")"),43030)</f>
        <v>43030</v>
      </c>
      <c r="O443" s="176"/>
      <c r="P443" s="176"/>
    </row>
    <row r="444" spans="1:16" ht="21.75" customHeight="1" x14ac:dyDescent="0.35">
      <c r="A444" s="183"/>
      <c r="B444" s="184"/>
      <c r="C444" s="163" t="s">
        <v>16</v>
      </c>
      <c r="D444" s="185" t="s">
        <v>44</v>
      </c>
      <c r="E444" s="186"/>
      <c r="F444" s="186"/>
      <c r="G444" s="187"/>
      <c r="H444" s="188"/>
      <c r="I444" s="168"/>
      <c r="J444" s="168"/>
      <c r="K444" s="169"/>
      <c r="L444" s="189"/>
      <c r="M444" s="189"/>
      <c r="N444" s="189"/>
      <c r="O444" s="189"/>
      <c r="P444" s="189"/>
    </row>
    <row r="445" spans="1:16" ht="21.75" customHeight="1" x14ac:dyDescent="0.35">
      <c r="A445" s="183"/>
      <c r="B445" s="184"/>
      <c r="C445" s="184"/>
      <c r="D445" s="190">
        <v>1</v>
      </c>
      <c r="E445" s="191" t="s">
        <v>45</v>
      </c>
      <c r="F445" s="192"/>
      <c r="G445" s="193"/>
      <c r="H445" s="194"/>
      <c r="I445" s="195"/>
      <c r="J445" s="217">
        <f ca="1">IFERROR(__xludf.DUMMYFUNCTION("IMPORTRANGE(""https://docs.google.com/spreadsheets/d/1IYY_tgx_IHuhSq3AJ5eI5OnqOPBNLWSHKh2a30DoXe8/edit?usp=sharing"",""สตูล!J340"")"),0)</f>
        <v>0</v>
      </c>
      <c r="K445" s="169"/>
      <c r="L445" s="189"/>
      <c r="M445" s="189"/>
      <c r="N445" s="189"/>
      <c r="O445" s="189"/>
      <c r="P445" s="189"/>
    </row>
    <row r="446" spans="1:16" ht="21.75" customHeight="1" x14ac:dyDescent="0.35">
      <c r="A446" s="183"/>
      <c r="B446" s="184"/>
      <c r="C446" s="184"/>
      <c r="D446" s="197">
        <v>2</v>
      </c>
      <c r="E446" s="198" t="s">
        <v>46</v>
      </c>
      <c r="F446" s="199"/>
      <c r="G446" s="200"/>
      <c r="H446" s="194"/>
      <c r="I446" s="195"/>
      <c r="J446" s="419">
        <f ca="1">IFERROR(__xludf.DUMMYFUNCTION("IMPORTRANGE(""https://docs.google.com/spreadsheets/d/1IYY_tgx_IHuhSq3AJ5eI5OnqOPBNLWSHKh2a30DoXe8/edit?usp=sharing"",""สตูล!J341"")"),1)</f>
        <v>1</v>
      </c>
      <c r="K446" s="169"/>
      <c r="L446" s="189" t="s">
        <v>40</v>
      </c>
      <c r="M446" s="189"/>
      <c r="N446" s="189" t="s">
        <v>40</v>
      </c>
      <c r="O446" s="189"/>
      <c r="P446" s="189"/>
    </row>
    <row r="447" spans="1:16" ht="21.75" customHeight="1" x14ac:dyDescent="0.35">
      <c r="A447" s="183"/>
      <c r="B447" s="184"/>
      <c r="C447" s="184"/>
      <c r="D447" s="201"/>
      <c r="E447" s="202" t="s">
        <v>161</v>
      </c>
      <c r="F447" s="203"/>
      <c r="G447" s="204"/>
      <c r="H447" s="194"/>
      <c r="I447" s="195"/>
      <c r="J447" s="196">
        <f ca="1">IFERROR(__xludf.DUMMYFUNCTION("IMPORTRANGE(""https://docs.google.com/spreadsheets/d/1IYY_tgx_IHuhSq3AJ5eI5OnqOPBNLWSHKh2a30DoXe8/edit?usp=sharing"",""สตูล!J342"")"),1)</f>
        <v>1</v>
      </c>
      <c r="K447" s="169"/>
      <c r="L447" s="189"/>
      <c r="M447" s="189"/>
      <c r="N447" s="189"/>
      <c r="O447" s="189"/>
      <c r="P447" s="189"/>
    </row>
    <row r="448" spans="1:16" ht="21.75" customHeight="1" x14ac:dyDescent="0.35">
      <c r="A448" s="183"/>
      <c r="B448" s="184"/>
      <c r="C448" s="184"/>
      <c r="D448" s="201"/>
      <c r="E448" s="202" t="s">
        <v>48</v>
      </c>
      <c r="F448" s="203"/>
      <c r="G448" s="204"/>
      <c r="H448" s="194"/>
      <c r="I448" s="195"/>
      <c r="J448" s="196">
        <f ca="1">IFERROR(__xludf.DUMMYFUNCTION("IMPORTRANGE(""https://docs.google.com/spreadsheets/d/1IYY_tgx_IHuhSq3AJ5eI5OnqOPBNLWSHKh2a30DoXe8/edit?usp=sharing"",""สตูล!J343"")"),1)</f>
        <v>1</v>
      </c>
      <c r="K448" s="169"/>
      <c r="L448" s="189"/>
      <c r="M448" s="189"/>
      <c r="N448" s="189"/>
      <c r="O448" s="189"/>
      <c r="P448" s="189"/>
    </row>
    <row r="449" spans="1:16" ht="21.75" customHeight="1" x14ac:dyDescent="0.35">
      <c r="A449" s="183"/>
      <c r="B449" s="184"/>
      <c r="C449" s="184"/>
      <c r="D449" s="201"/>
      <c r="E449" s="206"/>
      <c r="F449" s="420" t="s">
        <v>101</v>
      </c>
      <c r="G449" s="204"/>
      <c r="H449" s="194" t="s">
        <v>37</v>
      </c>
      <c r="I449" s="397">
        <f ca="1">IFERROR(__xludf.DUMMYFUNCTION("IMPORTRANGE(""https://docs.google.com/spreadsheets/d/1IYY_tgx_IHuhSq3AJ5eI5OnqOPBNLWSHKh2a30DoXe8/edit?usp=sharing"",""สตูล!I344"")"),10)</f>
        <v>10</v>
      </c>
      <c r="J449" s="208">
        <f ca="1">IFERROR(__xludf.DUMMYFUNCTION("IMPORTRANGE(""https://docs.google.com/spreadsheets/d/1IYY_tgx_IHuhSq3AJ5eI5OnqOPBNLWSHKh2a30DoXe8/edit?usp=sharing"",""สตูล!J344"")"),10)</f>
        <v>10</v>
      </c>
      <c r="K449" s="169">
        <f t="shared" ref="K449:K452" ca="1" si="115">IF(I449&gt;0,J449*100/I449,0)</f>
        <v>100</v>
      </c>
      <c r="L449" s="189"/>
      <c r="M449" s="189"/>
      <c r="N449" s="189"/>
      <c r="O449" s="189"/>
      <c r="P449" s="189"/>
    </row>
    <row r="450" spans="1:16" ht="21.75" customHeight="1" x14ac:dyDescent="0.35">
      <c r="A450" s="183"/>
      <c r="B450" s="184"/>
      <c r="C450" s="184"/>
      <c r="D450" s="201"/>
      <c r="E450" s="206"/>
      <c r="F450" s="203"/>
      <c r="G450" s="233" t="s">
        <v>162</v>
      </c>
      <c r="H450" s="194" t="s">
        <v>37</v>
      </c>
      <c r="I450" s="347">
        <f ca="1">IFERROR(__xludf.DUMMYFUNCTION("IMPORTRANGE(""https://docs.google.com/spreadsheets/d/1IYY_tgx_IHuhSq3AJ5eI5OnqOPBNLWSHKh2a30DoXe8/edit?usp=sharing"",""สตูล!I345"")"),10)</f>
        <v>10</v>
      </c>
      <c r="J450" s="196">
        <f ca="1">IFERROR(__xludf.DUMMYFUNCTION("IMPORTRANGE(""https://docs.google.com/spreadsheets/d/1IYY_tgx_IHuhSq3AJ5eI5OnqOPBNLWSHKh2a30DoXe8/edit?usp=sharing"",""สตูล!J345"")"),10)</f>
        <v>10</v>
      </c>
      <c r="K450" s="169">
        <f t="shared" ca="1" si="115"/>
        <v>100</v>
      </c>
      <c r="L450" s="189"/>
      <c r="M450" s="189"/>
      <c r="N450" s="189"/>
      <c r="O450" s="189"/>
      <c r="P450" s="189"/>
    </row>
    <row r="451" spans="1:16" ht="21.75" customHeight="1" x14ac:dyDescent="0.35">
      <c r="A451" s="183"/>
      <c r="B451" s="184"/>
      <c r="C451" s="184"/>
      <c r="D451" s="201"/>
      <c r="E451" s="206"/>
      <c r="F451" s="203"/>
      <c r="G451" s="287" t="s">
        <v>163</v>
      </c>
      <c r="H451" s="194" t="s">
        <v>37</v>
      </c>
      <c r="I451" s="347">
        <f ca="1">IFERROR(__xludf.DUMMYFUNCTION("IMPORTRANGE(""https://docs.google.com/spreadsheets/d/1IYY_tgx_IHuhSq3AJ5eI5OnqOPBNLWSHKh2a30DoXe8/edit?usp=sharing"",""สตูล!I346"")"),0)</f>
        <v>0</v>
      </c>
      <c r="J451" s="195">
        <f ca="1">IFERROR(__xludf.DUMMYFUNCTION("IMPORTRANGE(""https://docs.google.com/spreadsheets/d/1IYY_tgx_IHuhSq3AJ5eI5OnqOPBNLWSHKh2a30DoXe8/edit?usp=sharing"",""สตูล!J346"")"),0)</f>
        <v>0</v>
      </c>
      <c r="K451" s="169">
        <f t="shared" ca="1" si="115"/>
        <v>0</v>
      </c>
      <c r="L451" s="189"/>
      <c r="M451" s="189"/>
      <c r="N451" s="189"/>
      <c r="O451" s="189"/>
      <c r="P451" s="189"/>
    </row>
    <row r="452" spans="1:16" ht="21.75" customHeight="1" x14ac:dyDescent="0.35">
      <c r="A452" s="183"/>
      <c r="B452" s="184"/>
      <c r="C452" s="184"/>
      <c r="D452" s="201"/>
      <c r="E452" s="206"/>
      <c r="F452" s="203"/>
      <c r="G452" s="204" t="s">
        <v>164</v>
      </c>
      <c r="H452" s="194" t="s">
        <v>37</v>
      </c>
      <c r="I452" s="195">
        <f ca="1">IFERROR(__xludf.DUMMYFUNCTION("IMPORTRANGE(""https://docs.google.com/spreadsheets/d/1IYY_tgx_IHuhSq3AJ5eI5OnqOPBNLWSHKh2a30DoXe8/edit?usp=sharing"",""สตูล!I347"")"),0)</f>
        <v>0</v>
      </c>
      <c r="J452" s="195">
        <f ca="1">IFERROR(__xludf.DUMMYFUNCTION("IMPORTRANGE(""https://docs.google.com/spreadsheets/d/1IYY_tgx_IHuhSq3AJ5eI5OnqOPBNLWSHKh2a30DoXe8/edit?usp=sharing"",""สตูล!J347"")"),0)</f>
        <v>0</v>
      </c>
      <c r="K452" s="169">
        <f t="shared" ca="1" si="115"/>
        <v>0</v>
      </c>
      <c r="L452" s="189"/>
      <c r="M452" s="189"/>
      <c r="N452" s="189"/>
      <c r="O452" s="189"/>
      <c r="P452" s="189"/>
    </row>
    <row r="453" spans="1:16" ht="21.75" customHeight="1" x14ac:dyDescent="0.35">
      <c r="A453" s="183"/>
      <c r="B453" s="184"/>
      <c r="C453" s="184"/>
      <c r="D453" s="201"/>
      <c r="E453" s="202" t="s">
        <v>54</v>
      </c>
      <c r="F453" s="203"/>
      <c r="G453" s="204"/>
      <c r="H453" s="194"/>
      <c r="I453" s="195"/>
      <c r="J453" s="205">
        <f ca="1">IFERROR(__xludf.DUMMYFUNCTION("IMPORTRANGE(""https://docs.google.com/spreadsheets/d/1IYY_tgx_IHuhSq3AJ5eI5OnqOPBNLWSHKh2a30DoXe8/edit?usp=sharing"",""สตูล!J348"")"),0)</f>
        <v>0</v>
      </c>
      <c r="K453" s="169"/>
      <c r="L453" s="189"/>
      <c r="M453" s="189"/>
      <c r="N453" s="189"/>
      <c r="O453" s="189"/>
      <c r="P453" s="189"/>
    </row>
    <row r="454" spans="1:16" ht="21.75" customHeight="1" x14ac:dyDescent="0.35">
      <c r="A454" s="183"/>
      <c r="B454" s="184"/>
      <c r="C454" s="184"/>
      <c r="D454" s="213">
        <v>3</v>
      </c>
      <c r="E454" s="214" t="s">
        <v>55</v>
      </c>
      <c r="F454" s="215"/>
      <c r="G454" s="216"/>
      <c r="H454" s="194"/>
      <c r="I454" s="195"/>
      <c r="J454" s="217">
        <f ca="1">IFERROR(__xludf.DUMMYFUNCTION("IMPORTRANGE(""https://docs.google.com/spreadsheets/d/1IYY_tgx_IHuhSq3AJ5eI5OnqOPBNLWSHKh2a30DoXe8/edit?usp=sharing"",""สตูล!J349"")"),0)</f>
        <v>0</v>
      </c>
      <c r="K454" s="169"/>
      <c r="L454" s="189"/>
      <c r="M454" s="189"/>
      <c r="N454" s="189"/>
      <c r="O454" s="189"/>
      <c r="P454" s="189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IFERROR(__xludf.DUMMYFUNCTION("IMPORTRANGE(""https://docs.google.com/spreadsheets/d/1IYY_tgx_IHuhSq3AJ5eI5OnqOPBNLWSHKh2a30DoXe8/edit?usp=sharing"",""สตูล!I350"")"),9865)</f>
        <v>9865</v>
      </c>
      <c r="J455" s="377">
        <f ca="1">IFERROR(__xludf.DUMMYFUNCTION("IMPORTRANGE(""https://docs.google.com/spreadsheets/d/1IYY_tgx_IHuhSq3AJ5eI5OnqOPBNLWSHKh2a30DoXe8/edit?usp=sharing"",""สตูล!J350"")"),0)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IFERROR(__xludf.DUMMYFUNCTION("IMPORTRANGE(""https://docs.google.com/spreadsheets/d/1IYY_tgx_IHuhSq3AJ5eI5OnqOPBNLWSHKh2a30DoXe8/edit?usp=sharing"",""สตูล!L350"")"),90626)</f>
        <v>90626</v>
      </c>
      <c r="M455" s="379"/>
      <c r="N455" s="379">
        <f ca="1">IFERROR(__xludf.DUMMYFUNCTION("IMPORTRANGE(""https://docs.google.com/spreadsheets/d/1IYY_tgx_IHuhSq3AJ5eI5OnqOPBNLWSHKh2a30DoXe8/edit?usp=sharing"",""สตูล!M350"")"),7269)</f>
        <v>7269</v>
      </c>
      <c r="O455" s="379">
        <f t="shared" ref="O455:O459" ca="1" si="116">+IF(L455&gt;0,N455*100/L455,0)</f>
        <v>8.020877011012292</v>
      </c>
      <c r="P455" s="379"/>
    </row>
    <row r="456" spans="1:16" ht="21.75" customHeight="1" x14ac:dyDescent="0.35">
      <c r="A456" s="162"/>
      <c r="B456" s="163"/>
      <c r="C456" s="163" t="s">
        <v>16</v>
      </c>
      <c r="D456" s="164" t="s">
        <v>38</v>
      </c>
      <c r="E456" s="165"/>
      <c r="F456" s="165"/>
      <c r="G456" s="166" t="s">
        <v>39</v>
      </c>
      <c r="H456" s="167" t="s">
        <v>12</v>
      </c>
      <c r="I456" s="168" t="s">
        <v>40</v>
      </c>
      <c r="J456" s="168"/>
      <c r="K456" s="169"/>
      <c r="L456" s="170">
        <f ca="1">IFERROR(__xludf.DUMMYFUNCTION("IMPORTRANGE(""https://docs.google.com/spreadsheets/d/1IYY_tgx_IHuhSq3AJ5eI5OnqOPBNLWSHKh2a30DoXe8/edit?usp=sharing"",""สตูล!L351"")"),0)</f>
        <v>0</v>
      </c>
      <c r="M456" s="170"/>
      <c r="N456" s="176">
        <f ca="1">IFERROR(__xludf.DUMMYFUNCTION("IMPORTRANGE(""https://docs.google.com/spreadsheets/d/1IYY_tgx_IHuhSq3AJ5eI5OnqOPBNLWSHKh2a30DoXe8/edit?usp=sharing"",""สตูล!M351"")"),0)</f>
        <v>0</v>
      </c>
      <c r="O456" s="176">
        <f t="shared" ca="1" si="116"/>
        <v>0</v>
      </c>
      <c r="P456" s="176"/>
    </row>
    <row r="457" spans="1:16" ht="21.75" customHeight="1" x14ac:dyDescent="0.35">
      <c r="A457" s="162"/>
      <c r="B457" s="163"/>
      <c r="C457" s="163"/>
      <c r="D457" s="172"/>
      <c r="E457" s="165"/>
      <c r="F457" s="165" t="s">
        <v>40</v>
      </c>
      <c r="G457" s="166" t="s">
        <v>41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IFERROR(__xludf.DUMMYFUNCTION("IMPORTRANGE(""https://docs.google.com/spreadsheets/d/1IYY_tgx_IHuhSq3AJ5eI5OnqOPBNLWSHKh2a30DoXe8/edit?usp=sharing"",""สตูล!L352"")"),90626)</f>
        <v>90626</v>
      </c>
      <c r="M457" s="171"/>
      <c r="N457" s="176">
        <f ca="1">IFERROR(__xludf.DUMMYFUNCTION("IMPORTRANGE(""https://docs.google.com/spreadsheets/d/1IYY_tgx_IHuhSq3AJ5eI5OnqOPBNLWSHKh2a30DoXe8/edit?usp=sharing"",""สตูล!M352"")"),7269)</f>
        <v>7269</v>
      </c>
      <c r="O457" s="176">
        <f t="shared" ca="1" si="116"/>
        <v>8.020877011012292</v>
      </c>
      <c r="P457" s="176"/>
    </row>
    <row r="458" spans="1:16" ht="21.75" customHeight="1" x14ac:dyDescent="0.35">
      <c r="A458" s="162"/>
      <c r="B458" s="163"/>
      <c r="C458" s="163"/>
      <c r="D458" s="172"/>
      <c r="E458" s="165"/>
      <c r="F458" s="165"/>
      <c r="G458" s="380" t="s">
        <v>129</v>
      </c>
      <c r="H458" s="167" t="s">
        <v>12</v>
      </c>
      <c r="I458" s="168"/>
      <c r="J458" s="168"/>
      <c r="K458" s="169"/>
      <c r="L458" s="176">
        <f ca="1">IFERROR(__xludf.DUMMYFUNCTION("IMPORTRANGE(""https://docs.google.com/spreadsheets/d/1IYY_tgx_IHuhSq3AJ5eI5OnqOPBNLWSHKh2a30DoXe8/edit?usp=sharing"",""สตูล!L353"")"),0)</f>
        <v>0</v>
      </c>
      <c r="M458" s="176"/>
      <c r="N458" s="176">
        <f ca="1">IFERROR(__xludf.DUMMYFUNCTION("IMPORTRANGE(""https://docs.google.com/spreadsheets/d/1IYY_tgx_IHuhSq3AJ5eI5OnqOPBNLWSHKh2a30DoXe8/edit?usp=sharing"",""สตูล!M353"")"),0)</f>
        <v>0</v>
      </c>
      <c r="O458" s="176">
        <f t="shared" ca="1" si="116"/>
        <v>0</v>
      </c>
      <c r="P458" s="176"/>
    </row>
    <row r="459" spans="1:16" ht="21.75" customHeight="1" x14ac:dyDescent="0.35">
      <c r="A459" s="162"/>
      <c r="B459" s="163"/>
      <c r="C459" s="163"/>
      <c r="D459" s="172"/>
      <c r="E459" s="165"/>
      <c r="F459" s="165"/>
      <c r="G459" s="380" t="s">
        <v>130</v>
      </c>
      <c r="H459" s="167" t="s">
        <v>12</v>
      </c>
      <c r="I459" s="168"/>
      <c r="J459" s="168"/>
      <c r="K459" s="169"/>
      <c r="L459" s="176">
        <f ca="1">IFERROR(__xludf.DUMMYFUNCTION("IMPORTRANGE(""https://docs.google.com/spreadsheets/d/1IYY_tgx_IHuhSq3AJ5eI5OnqOPBNLWSHKh2a30DoXe8/edit?usp=sharing"",""สตูล!L354"")"),90626)</f>
        <v>90626</v>
      </c>
      <c r="M459" s="176"/>
      <c r="N459" s="176">
        <f ca="1">IFERROR(__xludf.DUMMYFUNCTION("IMPORTRANGE(""https://docs.google.com/spreadsheets/d/1IYY_tgx_IHuhSq3AJ5eI5OnqOPBNLWSHKh2a30DoXe8/edit?usp=sharing"",""สตูล!M354"")"),7269)</f>
        <v>7269</v>
      </c>
      <c r="O459" s="176">
        <f t="shared" ca="1" si="116"/>
        <v>8.020877011012292</v>
      </c>
      <c r="P459" s="176"/>
    </row>
    <row r="460" spans="1:16" ht="21.75" customHeight="1" x14ac:dyDescent="0.35">
      <c r="A460" s="381"/>
      <c r="B460" s="382"/>
      <c r="C460" s="163"/>
      <c r="D460" s="383"/>
      <c r="E460" s="165"/>
      <c r="F460" s="165"/>
      <c r="G460" s="384" t="s">
        <v>131</v>
      </c>
      <c r="H460" s="167" t="s">
        <v>12</v>
      </c>
      <c r="I460" s="195"/>
      <c r="J460" s="195"/>
      <c r="K460" s="231"/>
      <c r="L460" s="176"/>
      <c r="M460" s="176"/>
      <c r="N460" s="173">
        <f ca="1">IFERROR(__xludf.DUMMYFUNCTION("IMPORTRANGE(""https://docs.google.com/spreadsheets/d/1IYY_tgx_IHuhSq3AJ5eI5OnqOPBNLWSHKh2a30DoXe8/edit?usp=sharing"",""สตูล!M355"")"),0)</f>
        <v>0</v>
      </c>
      <c r="O460" s="176"/>
      <c r="P460" s="176"/>
    </row>
    <row r="461" spans="1:16" ht="21.75" customHeight="1" x14ac:dyDescent="0.35">
      <c r="A461" s="381"/>
      <c r="B461" s="382"/>
      <c r="C461" s="163"/>
      <c r="D461" s="383"/>
      <c r="E461" s="165"/>
      <c r="F461" s="165"/>
      <c r="G461" s="384" t="s">
        <v>132</v>
      </c>
      <c r="H461" s="167" t="s">
        <v>12</v>
      </c>
      <c r="I461" s="195"/>
      <c r="J461" s="195"/>
      <c r="K461" s="231"/>
      <c r="L461" s="176"/>
      <c r="M461" s="176"/>
      <c r="N461" s="173">
        <f ca="1">IFERROR(__xludf.DUMMYFUNCTION("IMPORTRANGE(""https://docs.google.com/spreadsheets/d/1IYY_tgx_IHuhSq3AJ5eI5OnqOPBNLWSHKh2a30DoXe8/edit?usp=sharing"",""สตูล!M356"")"),0)</f>
        <v>0</v>
      </c>
      <c r="O461" s="176"/>
      <c r="P461" s="176"/>
    </row>
    <row r="462" spans="1:16" ht="21.75" customHeight="1" x14ac:dyDescent="0.35">
      <c r="A462" s="381"/>
      <c r="B462" s="382"/>
      <c r="C462" s="163"/>
      <c r="D462" s="383"/>
      <c r="E462" s="165"/>
      <c r="F462" s="165"/>
      <c r="G462" s="384" t="s">
        <v>133</v>
      </c>
      <c r="H462" s="167" t="s">
        <v>12</v>
      </c>
      <c r="I462" s="195"/>
      <c r="J462" s="195"/>
      <c r="K462" s="231"/>
      <c r="L462" s="176"/>
      <c r="M462" s="176"/>
      <c r="N462" s="385">
        <f ca="1">IFERROR(__xludf.DUMMYFUNCTION("IMPORTRANGE(""https://docs.google.com/spreadsheets/d/1IYY_tgx_IHuhSq3AJ5eI5OnqOPBNLWSHKh2a30DoXe8/edit?usp=sharing"",""สตูล!M357"")"),0)</f>
        <v>0</v>
      </c>
      <c r="O462" s="176"/>
      <c r="P462" s="176"/>
    </row>
    <row r="463" spans="1:16" ht="21.75" customHeight="1" x14ac:dyDescent="0.35">
      <c r="A463" s="381"/>
      <c r="B463" s="382"/>
      <c r="C463" s="163"/>
      <c r="D463" s="383"/>
      <c r="E463" s="165"/>
      <c r="F463" s="165"/>
      <c r="G463" s="384" t="s">
        <v>134</v>
      </c>
      <c r="H463" s="167" t="s">
        <v>12</v>
      </c>
      <c r="I463" s="195"/>
      <c r="J463" s="195"/>
      <c r="K463" s="231"/>
      <c r="L463" s="176"/>
      <c r="M463" s="176"/>
      <c r="N463" s="385">
        <f ca="1">IFERROR(__xludf.DUMMYFUNCTION("IMPORTRANGE(""https://docs.google.com/spreadsheets/d/1IYY_tgx_IHuhSq3AJ5eI5OnqOPBNLWSHKh2a30DoXe8/edit?usp=sharing"",""สตูล!M358"")"),7269)</f>
        <v>7269</v>
      </c>
      <c r="O463" s="176"/>
      <c r="P463" s="176"/>
    </row>
    <row r="464" spans="1:16" ht="21.75" customHeight="1" x14ac:dyDescent="0.35">
      <c r="A464" s="183"/>
      <c r="B464" s="184"/>
      <c r="C464" s="421" t="s">
        <v>166</v>
      </c>
      <c r="D464" s="421"/>
      <c r="E464" s="422"/>
      <c r="F464" s="422"/>
      <c r="G464" s="423"/>
      <c r="H464" s="273" t="s">
        <v>122</v>
      </c>
      <c r="I464" s="274">
        <f ca="1">IFERROR(__xludf.DUMMYFUNCTION("IMPORTRANGE(""https://docs.google.com/spreadsheets/d/1IYY_tgx_IHuhSq3AJ5eI5OnqOPBNLWSHKh2a30DoXe8/edit?usp=sharing"",""สตูล!I359"")"),9865)</f>
        <v>9865</v>
      </c>
      <c r="J464" s="274">
        <f ca="1">IFERROR(__xludf.DUMMYFUNCTION("IMPORTRANGE(""https://docs.google.com/spreadsheets/d/1IYY_tgx_IHuhSq3AJ5eI5OnqOPBNLWSHKh2a30DoXe8/edit?usp=sharing"",""สตูล!J359"")"),0)</f>
        <v>0</v>
      </c>
      <c r="K464" s="275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1" t="s">
        <v>167</v>
      </c>
      <c r="F465" s="203"/>
      <c r="G465" s="204"/>
      <c r="H465" s="424" t="s">
        <v>122</v>
      </c>
      <c r="I465" s="425">
        <f ca="1">IFERROR(__xludf.DUMMYFUNCTION("IMPORTRANGE(""https://docs.google.com/spreadsheets/d/1IYY_tgx_IHuhSq3AJ5eI5OnqOPBNLWSHKh2a30DoXe8/edit?usp=sharing"",""สตูล!I360"")"),9865)</f>
        <v>9865</v>
      </c>
      <c r="J465" s="426">
        <f ca="1">IFERROR(__xludf.DUMMYFUNCTION("IMPORTRANGE(""https://docs.google.com/spreadsheets/d/1IYY_tgx_IHuhSq3AJ5eI5OnqOPBNLWSHKh2a30DoXe8/edit?usp=sharing"",""สตูล!J360"")"),0)</f>
        <v>0</v>
      </c>
      <c r="K465" s="209">
        <f t="shared" ca="1" si="117"/>
        <v>0</v>
      </c>
      <c r="L465" s="189"/>
      <c r="M465" s="189"/>
      <c r="N465" s="189"/>
      <c r="O465" s="189"/>
      <c r="P465" s="189"/>
    </row>
    <row r="466" spans="1:16" ht="21.75" customHeight="1" x14ac:dyDescent="0.35">
      <c r="A466" s="408"/>
      <c r="B466" s="409"/>
      <c r="C466" s="409"/>
      <c r="D466" s="410"/>
      <c r="E466" s="203"/>
      <c r="F466" s="203"/>
      <c r="G466" s="204"/>
      <c r="H466" s="424" t="s">
        <v>36</v>
      </c>
      <c r="I466" s="425">
        <f ca="1">IFERROR(__xludf.DUMMYFUNCTION("IMPORTRANGE(""https://docs.google.com/spreadsheets/d/1IYY_tgx_IHuhSq3AJ5eI5OnqOPBNLWSHKh2a30DoXe8/edit?usp=sharing"",""สตูล!I361"")"),1411)</f>
        <v>1411</v>
      </c>
      <c r="J466" s="426">
        <f ca="1">IFERROR(__xludf.DUMMYFUNCTION("IMPORTRANGE(""https://docs.google.com/spreadsheets/d/1IYY_tgx_IHuhSq3AJ5eI5OnqOPBNLWSHKh2a30DoXe8/edit?usp=sharing"",""สตูล!J361"")"),0)</f>
        <v>0</v>
      </c>
      <c r="K466" s="209">
        <f t="shared" ca="1" si="117"/>
        <v>0</v>
      </c>
      <c r="L466" s="189"/>
      <c r="M466" s="189"/>
      <c r="N466" s="189"/>
      <c r="O466" s="189"/>
      <c r="P466" s="189"/>
    </row>
    <row r="467" spans="1:16" ht="21.75" customHeight="1" x14ac:dyDescent="0.35">
      <c r="A467" s="408"/>
      <c r="B467" s="409"/>
      <c r="C467" s="409"/>
      <c r="D467" s="410"/>
      <c r="E467" s="203"/>
      <c r="F467" s="396" t="s">
        <v>168</v>
      </c>
      <c r="G467" s="427"/>
      <c r="H467" s="428" t="s">
        <v>122</v>
      </c>
      <c r="I467" s="210">
        <f ca="1">IFERROR(__xludf.DUMMYFUNCTION("IMPORTRANGE(""https://docs.google.com/spreadsheets/d/1IYY_tgx_IHuhSq3AJ5eI5OnqOPBNLWSHKh2a30DoXe8/edit?usp=sharing"",""สตูล!I362"")"),0)</f>
        <v>0</v>
      </c>
      <c r="J467" s="196">
        <f ca="1">IFERROR(__xludf.DUMMYFUNCTION("IMPORTRANGE(""https://docs.google.com/spreadsheets/d/1IYY_tgx_IHuhSq3AJ5eI5OnqOPBNLWSHKh2a30DoXe8/edit?usp=sharing"",""สตูล!J362"")"),0)</f>
        <v>0</v>
      </c>
      <c r="K467" s="169">
        <f t="shared" ca="1" si="117"/>
        <v>0</v>
      </c>
      <c r="L467" s="189"/>
      <c r="M467" s="189"/>
      <c r="N467" s="189"/>
      <c r="O467" s="189"/>
      <c r="P467" s="189"/>
    </row>
    <row r="468" spans="1:16" ht="21.75" customHeight="1" x14ac:dyDescent="0.35">
      <c r="A468" s="408"/>
      <c r="B468" s="409"/>
      <c r="C468" s="409"/>
      <c r="D468" s="410"/>
      <c r="E468" s="203"/>
      <c r="F468" s="203"/>
      <c r="G468" s="427"/>
      <c r="H468" s="428" t="s">
        <v>36</v>
      </c>
      <c r="I468" s="210">
        <f ca="1">IFERROR(__xludf.DUMMYFUNCTION("IMPORTRANGE(""https://docs.google.com/spreadsheets/d/1IYY_tgx_IHuhSq3AJ5eI5OnqOPBNLWSHKh2a30DoXe8/edit?usp=sharing"",""สตูล!I363"")"),0)</f>
        <v>0</v>
      </c>
      <c r="J468" s="196">
        <f ca="1">IFERROR(__xludf.DUMMYFUNCTION("IMPORTRANGE(""https://docs.google.com/spreadsheets/d/1IYY_tgx_IHuhSq3AJ5eI5OnqOPBNLWSHKh2a30DoXe8/edit?usp=sharing"",""สตูล!J363"")"),0)</f>
        <v>0</v>
      </c>
      <c r="K468" s="169">
        <f t="shared" ca="1" si="117"/>
        <v>0</v>
      </c>
      <c r="L468" s="189"/>
      <c r="M468" s="189"/>
      <c r="N468" s="189"/>
      <c r="O468" s="189"/>
      <c r="P468" s="189"/>
    </row>
    <row r="469" spans="1:16" ht="21.75" customHeight="1" x14ac:dyDescent="0.35">
      <c r="A469" s="408"/>
      <c r="B469" s="409"/>
      <c r="C469" s="409"/>
      <c r="D469" s="410"/>
      <c r="E469" s="203"/>
      <c r="F469" s="396" t="s">
        <v>169</v>
      </c>
      <c r="G469" s="427"/>
      <c r="H469" s="428" t="s">
        <v>122</v>
      </c>
      <c r="I469" s="210">
        <f ca="1">IFERROR(__xludf.DUMMYFUNCTION("IMPORTRANGE(""https://docs.google.com/spreadsheets/d/1IYY_tgx_IHuhSq3AJ5eI5OnqOPBNLWSHKh2a30DoXe8/edit?usp=sharing"",""สตูล!I364"")"),0)</f>
        <v>0</v>
      </c>
      <c r="J469" s="196">
        <f ca="1">IFERROR(__xludf.DUMMYFUNCTION("IMPORTRANGE(""https://docs.google.com/spreadsheets/d/1IYY_tgx_IHuhSq3AJ5eI5OnqOPBNLWSHKh2a30DoXe8/edit?usp=sharing"",""สตูล!J364"")"),0)</f>
        <v>0</v>
      </c>
      <c r="K469" s="169">
        <f t="shared" ca="1" si="117"/>
        <v>0</v>
      </c>
      <c r="L469" s="189"/>
      <c r="M469" s="189"/>
      <c r="N469" s="189"/>
      <c r="O469" s="189"/>
      <c r="P469" s="189"/>
    </row>
    <row r="470" spans="1:16" ht="21.75" customHeight="1" x14ac:dyDescent="0.35">
      <c r="A470" s="408"/>
      <c r="B470" s="409"/>
      <c r="C470" s="409"/>
      <c r="D470" s="410"/>
      <c r="E470" s="203"/>
      <c r="F470" s="203"/>
      <c r="G470" s="427"/>
      <c r="H470" s="428" t="s">
        <v>36</v>
      </c>
      <c r="I470" s="210">
        <f ca="1">IFERROR(__xludf.DUMMYFUNCTION("IMPORTRANGE(""https://docs.google.com/spreadsheets/d/1IYY_tgx_IHuhSq3AJ5eI5OnqOPBNLWSHKh2a30DoXe8/edit?usp=sharing"",""สตูล!I365"")"),0)</f>
        <v>0</v>
      </c>
      <c r="J470" s="196">
        <f ca="1">IFERROR(__xludf.DUMMYFUNCTION("IMPORTRANGE(""https://docs.google.com/spreadsheets/d/1IYY_tgx_IHuhSq3AJ5eI5OnqOPBNLWSHKh2a30DoXe8/edit?usp=sharing"",""สตูล!J365"")"),0)</f>
        <v>0</v>
      </c>
      <c r="K470" s="169">
        <f t="shared" ca="1" si="117"/>
        <v>0</v>
      </c>
      <c r="L470" s="189"/>
      <c r="M470" s="189"/>
      <c r="N470" s="189"/>
      <c r="O470" s="189"/>
      <c r="P470" s="189"/>
    </row>
    <row r="471" spans="1:16" ht="21.75" customHeight="1" x14ac:dyDescent="0.35">
      <c r="A471" s="408"/>
      <c r="B471" s="409"/>
      <c r="C471" s="409"/>
      <c r="D471" s="410"/>
      <c r="E471" s="203"/>
      <c r="F471" s="396" t="s">
        <v>170</v>
      </c>
      <c r="G471" s="427"/>
      <c r="H471" s="428" t="s">
        <v>122</v>
      </c>
      <c r="I471" s="210">
        <f ca="1">IFERROR(__xludf.DUMMYFUNCTION("IMPORTRANGE(""https://docs.google.com/spreadsheets/d/1IYY_tgx_IHuhSq3AJ5eI5OnqOPBNLWSHKh2a30DoXe8/edit?usp=sharing"",""สตูล!I366"")"),0)</f>
        <v>0</v>
      </c>
      <c r="J471" s="196">
        <f ca="1">IFERROR(__xludf.DUMMYFUNCTION("IMPORTRANGE(""https://docs.google.com/spreadsheets/d/1IYY_tgx_IHuhSq3AJ5eI5OnqOPBNLWSHKh2a30DoXe8/edit?usp=sharing"",""สตูล!J366"")"),0)</f>
        <v>0</v>
      </c>
      <c r="K471" s="169">
        <f t="shared" ca="1" si="117"/>
        <v>0</v>
      </c>
      <c r="L471" s="189"/>
      <c r="M471" s="189"/>
      <c r="N471" s="189"/>
      <c r="O471" s="189"/>
      <c r="P471" s="189"/>
    </row>
    <row r="472" spans="1:16" ht="21.75" customHeight="1" x14ac:dyDescent="0.35">
      <c r="A472" s="408"/>
      <c r="B472" s="409"/>
      <c r="C472" s="409"/>
      <c r="D472" s="410"/>
      <c r="E472" s="203"/>
      <c r="F472" s="203"/>
      <c r="G472" s="203"/>
      <c r="H472" s="428" t="s">
        <v>36</v>
      </c>
      <c r="I472" s="210">
        <f ca="1">IFERROR(__xludf.DUMMYFUNCTION("IMPORTRANGE(""https://docs.google.com/spreadsheets/d/1IYY_tgx_IHuhSq3AJ5eI5OnqOPBNLWSHKh2a30DoXe8/edit?usp=sharing"",""สตูล!I367"")"),0)</f>
        <v>0</v>
      </c>
      <c r="J472" s="196">
        <f ca="1">IFERROR(__xludf.DUMMYFUNCTION("IMPORTRANGE(""https://docs.google.com/spreadsheets/d/1IYY_tgx_IHuhSq3AJ5eI5OnqOPBNLWSHKh2a30DoXe8/edit?usp=sharing"",""สตูล!J367"")"),0)</f>
        <v>0</v>
      </c>
      <c r="K472" s="169">
        <f t="shared" ca="1" si="117"/>
        <v>0</v>
      </c>
      <c r="L472" s="189"/>
      <c r="M472" s="189"/>
      <c r="N472" s="189"/>
      <c r="O472" s="189"/>
      <c r="P472" s="189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3"/>
      <c r="G473" s="204"/>
      <c r="H473" s="424" t="s">
        <v>122</v>
      </c>
      <c r="I473" s="426">
        <f ca="1">IFERROR(__xludf.DUMMYFUNCTION("IMPORTRANGE(""https://docs.google.com/spreadsheets/d/1IYY_tgx_IHuhSq3AJ5eI5OnqOPBNLWSHKh2a30DoXe8/edit?usp=sharing"",""สตูล!I368"")"),9865)</f>
        <v>9865</v>
      </c>
      <c r="J473" s="426">
        <f ca="1">IFERROR(__xludf.DUMMYFUNCTION("IMPORTRANGE(""https://docs.google.com/spreadsheets/d/1IYY_tgx_IHuhSq3AJ5eI5OnqOPBNLWSHKh2a30DoXe8/edit?usp=sharing"",""สตูล!J368"")"),0)</f>
        <v>0</v>
      </c>
      <c r="K473" s="209">
        <f t="shared" ca="1" si="117"/>
        <v>0</v>
      </c>
      <c r="L473" s="189"/>
      <c r="M473" s="189"/>
      <c r="N473" s="189"/>
      <c r="O473" s="189"/>
      <c r="P473" s="189"/>
    </row>
    <row r="474" spans="1:16" ht="21.75" customHeight="1" x14ac:dyDescent="0.35">
      <c r="A474" s="408"/>
      <c r="B474" s="409"/>
      <c r="C474" s="409"/>
      <c r="D474" s="410"/>
      <c r="E474" s="203"/>
      <c r="F474" s="203"/>
      <c r="G474" s="204"/>
      <c r="H474" s="424" t="s">
        <v>36</v>
      </c>
      <c r="I474" s="425">
        <f ca="1">IFERROR(__xludf.DUMMYFUNCTION("IMPORTRANGE(""https://docs.google.com/spreadsheets/d/1IYY_tgx_IHuhSq3AJ5eI5OnqOPBNLWSHKh2a30DoXe8/edit?usp=sharing"",""สตูล!I369"")"),1411)</f>
        <v>1411</v>
      </c>
      <c r="J474" s="426">
        <f ca="1">IFERROR(__xludf.DUMMYFUNCTION("IMPORTRANGE(""https://docs.google.com/spreadsheets/d/1IYY_tgx_IHuhSq3AJ5eI5OnqOPBNLWSHKh2a30DoXe8/edit?usp=sharing"",""สตูล!J369"")"),0)</f>
        <v>0</v>
      </c>
      <c r="K474" s="169">
        <f t="shared" ca="1" si="117"/>
        <v>0</v>
      </c>
      <c r="L474" s="189"/>
      <c r="M474" s="189"/>
      <c r="N474" s="189"/>
      <c r="O474" s="189"/>
      <c r="P474" s="189"/>
    </row>
    <row r="475" spans="1:16" ht="21.75" customHeight="1" x14ac:dyDescent="0.35">
      <c r="A475" s="408"/>
      <c r="B475" s="409"/>
      <c r="C475" s="409"/>
      <c r="D475" s="410"/>
      <c r="E475" s="203"/>
      <c r="F475" s="202" t="s">
        <v>172</v>
      </c>
      <c r="G475" s="427"/>
      <c r="H475" s="428" t="s">
        <v>122</v>
      </c>
      <c r="I475" s="210">
        <f ca="1">IFERROR(__xludf.DUMMYFUNCTION("IMPORTRANGE(""https://docs.google.com/spreadsheets/d/1IYY_tgx_IHuhSq3AJ5eI5OnqOPBNLWSHKh2a30DoXe8/edit?usp=sharing"",""สตูล!I370"")"),0)</f>
        <v>0</v>
      </c>
      <c r="J475" s="196">
        <f ca="1">IFERROR(__xludf.DUMMYFUNCTION("IMPORTRANGE(""https://docs.google.com/spreadsheets/d/1IYY_tgx_IHuhSq3AJ5eI5OnqOPBNLWSHKh2a30DoXe8/edit?usp=sharing"",""สตูล!J370"")"),0)</f>
        <v>0</v>
      </c>
      <c r="K475" s="169">
        <f t="shared" ca="1" si="117"/>
        <v>0</v>
      </c>
      <c r="L475" s="189"/>
      <c r="M475" s="189"/>
      <c r="N475" s="189"/>
      <c r="O475" s="189"/>
      <c r="P475" s="189"/>
    </row>
    <row r="476" spans="1:16" ht="21.75" customHeight="1" x14ac:dyDescent="0.35">
      <c r="A476" s="408"/>
      <c r="B476" s="409"/>
      <c r="C476" s="409"/>
      <c r="D476" s="410"/>
      <c r="E476" s="203"/>
      <c r="F476" s="203"/>
      <c r="G476" s="427"/>
      <c r="H476" s="428" t="s">
        <v>36</v>
      </c>
      <c r="I476" s="210">
        <f ca="1">IFERROR(__xludf.DUMMYFUNCTION("IMPORTRANGE(""https://docs.google.com/spreadsheets/d/1IYY_tgx_IHuhSq3AJ5eI5OnqOPBNLWSHKh2a30DoXe8/edit?usp=sharing"",""สตูล!I371"")"),0)</f>
        <v>0</v>
      </c>
      <c r="J476" s="196">
        <f ca="1">IFERROR(__xludf.DUMMYFUNCTION("IMPORTRANGE(""https://docs.google.com/spreadsheets/d/1IYY_tgx_IHuhSq3AJ5eI5OnqOPBNLWSHKh2a30DoXe8/edit?usp=sharing"",""สตูล!J371"")"),0)</f>
        <v>0</v>
      </c>
      <c r="K476" s="169">
        <f t="shared" ca="1" si="117"/>
        <v>0</v>
      </c>
      <c r="L476" s="189"/>
      <c r="M476" s="189"/>
      <c r="N476" s="189"/>
      <c r="O476" s="189"/>
      <c r="P476" s="189"/>
    </row>
    <row r="477" spans="1:16" ht="21.75" customHeight="1" x14ac:dyDescent="0.35">
      <c r="A477" s="408"/>
      <c r="B477" s="409"/>
      <c r="C477" s="409"/>
      <c r="D477" s="410"/>
      <c r="E477" s="203"/>
      <c r="F477" s="202" t="s">
        <v>173</v>
      </c>
      <c r="G477" s="427"/>
      <c r="H477" s="428" t="s">
        <v>122</v>
      </c>
      <c r="I477" s="210">
        <f ca="1">IFERROR(__xludf.DUMMYFUNCTION("IMPORTRANGE(""https://docs.google.com/spreadsheets/d/1IYY_tgx_IHuhSq3AJ5eI5OnqOPBNLWSHKh2a30DoXe8/edit?usp=sharing"",""สตูล!I372"")"),0)</f>
        <v>0</v>
      </c>
      <c r="J477" s="196">
        <f ca="1">IFERROR(__xludf.DUMMYFUNCTION("IMPORTRANGE(""https://docs.google.com/spreadsheets/d/1IYY_tgx_IHuhSq3AJ5eI5OnqOPBNLWSHKh2a30DoXe8/edit?usp=sharing"",""สตูล!J372"")"),0)</f>
        <v>0</v>
      </c>
      <c r="K477" s="169">
        <f t="shared" ca="1" si="117"/>
        <v>0</v>
      </c>
      <c r="L477" s="189"/>
      <c r="M477" s="189"/>
      <c r="N477" s="189"/>
      <c r="O477" s="189"/>
      <c r="P477" s="189"/>
    </row>
    <row r="478" spans="1:16" ht="21.75" customHeight="1" x14ac:dyDescent="0.35">
      <c r="A478" s="408"/>
      <c r="B478" s="409"/>
      <c r="C478" s="409"/>
      <c r="D478" s="410"/>
      <c r="E478" s="203"/>
      <c r="F478" s="203"/>
      <c r="G478" s="427"/>
      <c r="H478" s="428" t="s">
        <v>36</v>
      </c>
      <c r="I478" s="210">
        <f ca="1">IFERROR(__xludf.DUMMYFUNCTION("IMPORTRANGE(""https://docs.google.com/spreadsheets/d/1IYY_tgx_IHuhSq3AJ5eI5OnqOPBNLWSHKh2a30DoXe8/edit?usp=sharing"",""สตูล!I373"")"),0)</f>
        <v>0</v>
      </c>
      <c r="J478" s="196">
        <f ca="1">IFERROR(__xludf.DUMMYFUNCTION("IMPORTRANGE(""https://docs.google.com/spreadsheets/d/1IYY_tgx_IHuhSq3AJ5eI5OnqOPBNLWSHKh2a30DoXe8/edit?usp=sharing"",""สตูล!J373"")"),0)</f>
        <v>0</v>
      </c>
      <c r="K478" s="169">
        <f t="shared" ca="1" si="117"/>
        <v>0</v>
      </c>
      <c r="L478" s="189"/>
      <c r="M478" s="189"/>
      <c r="N478" s="189"/>
      <c r="O478" s="189"/>
      <c r="P478" s="189"/>
    </row>
    <row r="479" spans="1:16" ht="21.75" customHeight="1" x14ac:dyDescent="0.35">
      <c r="A479" s="408"/>
      <c r="B479" s="409"/>
      <c r="C479" s="409"/>
      <c r="D479" s="410"/>
      <c r="E479" s="203"/>
      <c r="F479" s="202" t="s">
        <v>174</v>
      </c>
      <c r="G479" s="427"/>
      <c r="H479" s="428" t="s">
        <v>122</v>
      </c>
      <c r="I479" s="210">
        <f ca="1">IFERROR(__xludf.DUMMYFUNCTION("IMPORTRANGE(""https://docs.google.com/spreadsheets/d/1IYY_tgx_IHuhSq3AJ5eI5OnqOPBNLWSHKh2a30DoXe8/edit?usp=sharing"",""สตูล!I374"")"),0)</f>
        <v>0</v>
      </c>
      <c r="J479" s="196">
        <f ca="1">IFERROR(__xludf.DUMMYFUNCTION("IMPORTRANGE(""https://docs.google.com/spreadsheets/d/1IYY_tgx_IHuhSq3AJ5eI5OnqOPBNLWSHKh2a30DoXe8/edit?usp=sharing"",""สตูล!J374"")"),0)</f>
        <v>0</v>
      </c>
      <c r="K479" s="169">
        <f t="shared" ca="1" si="117"/>
        <v>0</v>
      </c>
      <c r="L479" s="189"/>
      <c r="M479" s="189"/>
      <c r="N479" s="189"/>
      <c r="O479" s="189"/>
      <c r="P479" s="189"/>
    </row>
    <row r="480" spans="1:16" ht="21.75" customHeight="1" x14ac:dyDescent="0.35">
      <c r="A480" s="408"/>
      <c r="B480" s="409"/>
      <c r="C480" s="409"/>
      <c r="D480" s="410"/>
      <c r="E480" s="203"/>
      <c r="F480" s="203"/>
      <c r="G480" s="204"/>
      <c r="H480" s="428" t="s">
        <v>36</v>
      </c>
      <c r="I480" s="210">
        <f ca="1">IFERROR(__xludf.DUMMYFUNCTION("IMPORTRANGE(""https://docs.google.com/spreadsheets/d/1IYY_tgx_IHuhSq3AJ5eI5OnqOPBNLWSHKh2a30DoXe8/edit?usp=sharing"",""สตูล!I375"")"),0)</f>
        <v>0</v>
      </c>
      <c r="J480" s="196">
        <f ca="1">IFERROR(__xludf.DUMMYFUNCTION("IMPORTRANGE(""https://docs.google.com/spreadsheets/d/1IYY_tgx_IHuhSq3AJ5eI5OnqOPBNLWSHKh2a30DoXe8/edit?usp=sharing"",""สตูล!J375"")"),0)</f>
        <v>0</v>
      </c>
      <c r="K480" s="169">
        <f t="shared" ca="1" si="117"/>
        <v>0</v>
      </c>
      <c r="L480" s="189"/>
      <c r="M480" s="189"/>
      <c r="N480" s="189"/>
      <c r="O480" s="189"/>
      <c r="P480" s="189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IFERROR(__xludf.DUMMYFUNCTION("IMPORTRANGE(""https://docs.google.com/spreadsheets/d/1IYY_tgx_IHuhSq3AJ5eI5OnqOPBNLWSHKh2a30DoXe8/edit?usp=sharing"",""สตูล!I376"")"),9865)</f>
        <v>9865</v>
      </c>
      <c r="J481" s="426">
        <f ca="1">IFERROR(__xludf.DUMMYFUNCTION("IMPORTRANGE(""https://docs.google.com/spreadsheets/d/1IYY_tgx_IHuhSq3AJ5eI5OnqOPBNLWSHKh2a30DoXe8/edit?usp=sharing"",""สตูล!J376"")"),0)</f>
        <v>0</v>
      </c>
      <c r="K481" s="209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3"/>
      <c r="F482" s="203"/>
      <c r="G482" s="204"/>
      <c r="H482" s="424" t="s">
        <v>36</v>
      </c>
      <c r="I482" s="425">
        <f ca="1">IFERROR(__xludf.DUMMYFUNCTION("IMPORTRANGE(""https://docs.google.com/spreadsheets/d/1IYY_tgx_IHuhSq3AJ5eI5OnqOPBNLWSHKh2a30DoXe8/edit?usp=sharing"",""สตูล!I377"")"),1411)</f>
        <v>1411</v>
      </c>
      <c r="J482" s="426">
        <f ca="1">IFERROR(__xludf.DUMMYFUNCTION("IMPORTRANGE(""https://docs.google.com/spreadsheets/d/1IYY_tgx_IHuhSq3AJ5eI5OnqOPBNLWSHKh2a30DoXe8/edit?usp=sharing"",""สตูล!J377"")"),0)</f>
        <v>0</v>
      </c>
      <c r="K482" s="169">
        <f t="shared" ca="1" si="117"/>
        <v>0</v>
      </c>
      <c r="L482" s="189"/>
      <c r="M482" s="189"/>
      <c r="N482" s="189"/>
      <c r="O482" s="189"/>
      <c r="P482" s="189"/>
    </row>
    <row r="483" spans="1:16" ht="21.75" customHeight="1" x14ac:dyDescent="0.35">
      <c r="A483" s="408"/>
      <c r="B483" s="409"/>
      <c r="C483" s="409"/>
      <c r="D483" s="410"/>
      <c r="E483" s="203"/>
      <c r="F483" s="202" t="s">
        <v>176</v>
      </c>
      <c r="G483" s="427"/>
      <c r="H483" s="428" t="s">
        <v>122</v>
      </c>
      <c r="I483" s="210">
        <f ca="1">IFERROR(__xludf.DUMMYFUNCTION("IMPORTRANGE(""https://docs.google.com/spreadsheets/d/1IYY_tgx_IHuhSq3AJ5eI5OnqOPBNLWSHKh2a30DoXe8/edit?usp=sharing"",""สตูล!I378"")"),0)</f>
        <v>0</v>
      </c>
      <c r="J483" s="196">
        <f ca="1">IFERROR(__xludf.DUMMYFUNCTION("IMPORTRANGE(""https://docs.google.com/spreadsheets/d/1IYY_tgx_IHuhSq3AJ5eI5OnqOPBNLWSHKh2a30DoXe8/edit?usp=sharing"",""สตูล!J378"")"),0)</f>
        <v>0</v>
      </c>
      <c r="K483" s="169">
        <f t="shared" ca="1" si="117"/>
        <v>0</v>
      </c>
      <c r="L483" s="189"/>
      <c r="M483" s="189"/>
      <c r="N483" s="189"/>
      <c r="O483" s="189"/>
      <c r="P483" s="189"/>
    </row>
    <row r="484" spans="1:16" ht="21.75" customHeight="1" x14ac:dyDescent="0.35">
      <c r="A484" s="408"/>
      <c r="B484" s="409"/>
      <c r="C484" s="409"/>
      <c r="D484" s="410"/>
      <c r="E484" s="203"/>
      <c r="F484" s="203"/>
      <c r="G484" s="427"/>
      <c r="H484" s="428" t="s">
        <v>36</v>
      </c>
      <c r="I484" s="210">
        <f ca="1">IFERROR(__xludf.DUMMYFUNCTION("IMPORTRANGE(""https://docs.google.com/spreadsheets/d/1IYY_tgx_IHuhSq3AJ5eI5OnqOPBNLWSHKh2a30DoXe8/edit?usp=sharing"",""สตูล!I379"")"),0)</f>
        <v>0</v>
      </c>
      <c r="J484" s="196">
        <f ca="1">IFERROR(__xludf.DUMMYFUNCTION("IMPORTRANGE(""https://docs.google.com/spreadsheets/d/1IYY_tgx_IHuhSq3AJ5eI5OnqOPBNLWSHKh2a30DoXe8/edit?usp=sharing"",""สตูล!J379"")"),0)</f>
        <v>0</v>
      </c>
      <c r="K484" s="169">
        <f t="shared" ca="1" si="117"/>
        <v>0</v>
      </c>
      <c r="L484" s="189"/>
      <c r="M484" s="189"/>
      <c r="N484" s="189"/>
      <c r="O484" s="189"/>
      <c r="P484" s="189"/>
    </row>
    <row r="485" spans="1:16" ht="21.75" customHeight="1" x14ac:dyDescent="0.35">
      <c r="A485" s="408"/>
      <c r="B485" s="409"/>
      <c r="C485" s="409"/>
      <c r="D485" s="410"/>
      <c r="E485" s="203"/>
      <c r="F485" s="202" t="s">
        <v>177</v>
      </c>
      <c r="G485" s="427"/>
      <c r="H485" s="428" t="s">
        <v>122</v>
      </c>
      <c r="I485" s="210">
        <f ca="1">IFERROR(__xludf.DUMMYFUNCTION("IMPORTRANGE(""https://docs.google.com/spreadsheets/d/1IYY_tgx_IHuhSq3AJ5eI5OnqOPBNLWSHKh2a30DoXe8/edit?usp=sharing"",""สตูล!I380"")"),0)</f>
        <v>0</v>
      </c>
      <c r="J485" s="196">
        <f ca="1">IFERROR(__xludf.DUMMYFUNCTION("IMPORTRANGE(""https://docs.google.com/spreadsheets/d/1IYY_tgx_IHuhSq3AJ5eI5OnqOPBNLWSHKh2a30DoXe8/edit?usp=sharing"",""สตูล!J380"")"),0)</f>
        <v>0</v>
      </c>
      <c r="K485" s="169">
        <f t="shared" ca="1" si="117"/>
        <v>0</v>
      </c>
      <c r="L485" s="189"/>
      <c r="M485" s="189"/>
      <c r="N485" s="189"/>
      <c r="O485" s="189"/>
      <c r="P485" s="189"/>
    </row>
    <row r="486" spans="1:16" ht="21.75" customHeight="1" x14ac:dyDescent="0.35">
      <c r="A486" s="408"/>
      <c r="B486" s="409"/>
      <c r="C486" s="409"/>
      <c r="D486" s="410"/>
      <c r="E486" s="203"/>
      <c r="F486" s="203"/>
      <c r="G486" s="427"/>
      <c r="H486" s="428" t="s">
        <v>36</v>
      </c>
      <c r="I486" s="210">
        <f ca="1">IFERROR(__xludf.DUMMYFUNCTION("IMPORTRANGE(""https://docs.google.com/spreadsheets/d/1IYY_tgx_IHuhSq3AJ5eI5OnqOPBNLWSHKh2a30DoXe8/edit?usp=sharing"",""สตูล!I381"")"),0)</f>
        <v>0</v>
      </c>
      <c r="J486" s="196">
        <f ca="1">IFERROR(__xludf.DUMMYFUNCTION("IMPORTRANGE(""https://docs.google.com/spreadsheets/d/1IYY_tgx_IHuhSq3AJ5eI5OnqOPBNLWSHKh2a30DoXe8/edit?usp=sharing"",""สตูล!J381"")"),0)</f>
        <v>0</v>
      </c>
      <c r="K486" s="169">
        <f t="shared" ca="1" si="117"/>
        <v>0</v>
      </c>
      <c r="L486" s="189"/>
      <c r="M486" s="189"/>
      <c r="N486" s="189"/>
      <c r="O486" s="189"/>
      <c r="P486" s="189"/>
    </row>
    <row r="487" spans="1:16" ht="21.75" customHeight="1" x14ac:dyDescent="0.35">
      <c r="A487" s="408"/>
      <c r="B487" s="409"/>
      <c r="C487" s="409"/>
      <c r="D487" s="410"/>
      <c r="E487" s="203"/>
      <c r="F487" s="202" t="s">
        <v>178</v>
      </c>
      <c r="G487" s="427"/>
      <c r="H487" s="428" t="s">
        <v>122</v>
      </c>
      <c r="I487" s="210">
        <f ca="1">IFERROR(__xludf.DUMMYFUNCTION("IMPORTRANGE(""https://docs.google.com/spreadsheets/d/1IYY_tgx_IHuhSq3AJ5eI5OnqOPBNLWSHKh2a30DoXe8/edit?usp=sharing"",""สตูล!I382"")"),0)</f>
        <v>0</v>
      </c>
      <c r="J487" s="426">
        <f ca="1">IFERROR(__xludf.DUMMYFUNCTION("IMPORTRANGE(""https://docs.google.com/spreadsheets/d/1IYY_tgx_IHuhSq3AJ5eI5OnqOPBNLWSHKh2a30DoXe8/edit?usp=sharing"",""สตูล!J382"")"),0)</f>
        <v>0</v>
      </c>
      <c r="K487" s="169">
        <f t="shared" ca="1" si="117"/>
        <v>0</v>
      </c>
      <c r="L487" s="189"/>
      <c r="M487" s="189"/>
      <c r="N487" s="189"/>
      <c r="O487" s="189"/>
      <c r="P487" s="189"/>
    </row>
    <row r="488" spans="1:16" ht="21.75" customHeight="1" x14ac:dyDescent="0.35">
      <c r="A488" s="408"/>
      <c r="B488" s="409"/>
      <c r="C488" s="409"/>
      <c r="D488" s="410"/>
      <c r="E488" s="203"/>
      <c r="F488" s="203"/>
      <c r="G488" s="203"/>
      <c r="H488" s="428" t="s">
        <v>36</v>
      </c>
      <c r="I488" s="210">
        <f ca="1">IFERROR(__xludf.DUMMYFUNCTION("IMPORTRANGE(""https://docs.google.com/spreadsheets/d/1IYY_tgx_IHuhSq3AJ5eI5OnqOPBNLWSHKh2a30DoXe8/edit?usp=sharing"",""สตูล!I383"")"),0)</f>
        <v>0</v>
      </c>
      <c r="J488" s="426">
        <f ca="1">IFERROR(__xludf.DUMMYFUNCTION("IMPORTRANGE(""https://docs.google.com/spreadsheets/d/1IYY_tgx_IHuhSq3AJ5eI5OnqOPBNLWSHKh2a30DoXe8/edit?usp=sharing"",""สตูล!J383"")"),0)</f>
        <v>0</v>
      </c>
      <c r="K488" s="169">
        <f t="shared" ca="1" si="117"/>
        <v>0</v>
      </c>
      <c r="L488" s="189"/>
      <c r="M488" s="189"/>
      <c r="N488" s="189"/>
      <c r="O488" s="189"/>
      <c r="P488" s="189"/>
    </row>
    <row r="489" spans="1:16" ht="21.75" customHeight="1" x14ac:dyDescent="0.35">
      <c r="A489" s="408"/>
      <c r="B489" s="409"/>
      <c r="C489" s="409"/>
      <c r="D489" s="410"/>
      <c r="E489" s="203"/>
      <c r="F489" s="203"/>
      <c r="G489" s="202" t="s">
        <v>179</v>
      </c>
      <c r="H489" s="428" t="s">
        <v>122</v>
      </c>
      <c r="I489" s="210">
        <f ca="1">IFERROR(__xludf.DUMMYFUNCTION("IMPORTRANGE(""https://docs.google.com/spreadsheets/d/1IYY_tgx_IHuhSq3AJ5eI5OnqOPBNLWSHKh2a30DoXe8/edit?usp=sharing"",""สตูล!I384"")"),0)</f>
        <v>0</v>
      </c>
      <c r="J489" s="196">
        <f ca="1">IFERROR(__xludf.DUMMYFUNCTION("IMPORTRANGE(""https://docs.google.com/spreadsheets/d/1IYY_tgx_IHuhSq3AJ5eI5OnqOPBNLWSHKh2a30DoXe8/edit?usp=sharing"",""สตูล!J384"")"),0)</f>
        <v>0</v>
      </c>
      <c r="K489" s="169">
        <f t="shared" ca="1" si="117"/>
        <v>0</v>
      </c>
      <c r="L489" s="189"/>
      <c r="M489" s="189"/>
      <c r="N489" s="189"/>
      <c r="O489" s="189"/>
      <c r="P489" s="189"/>
    </row>
    <row r="490" spans="1:16" ht="21.75" customHeight="1" x14ac:dyDescent="0.35">
      <c r="A490" s="408"/>
      <c r="B490" s="409"/>
      <c r="C490" s="409"/>
      <c r="D490" s="410"/>
      <c r="E490" s="203"/>
      <c r="F490" s="203"/>
      <c r="G490" s="203"/>
      <c r="H490" s="428" t="s">
        <v>36</v>
      </c>
      <c r="I490" s="210">
        <f ca="1">IFERROR(__xludf.DUMMYFUNCTION("IMPORTRANGE(""https://docs.google.com/spreadsheets/d/1IYY_tgx_IHuhSq3AJ5eI5OnqOPBNLWSHKh2a30DoXe8/edit?usp=sharing"",""สตูล!I385"")"),0)</f>
        <v>0</v>
      </c>
      <c r="J490" s="196">
        <f ca="1">IFERROR(__xludf.DUMMYFUNCTION("IMPORTRANGE(""https://docs.google.com/spreadsheets/d/1IYY_tgx_IHuhSq3AJ5eI5OnqOPBNLWSHKh2a30DoXe8/edit?usp=sharing"",""สตูล!J385"")"),0)</f>
        <v>0</v>
      </c>
      <c r="K490" s="169">
        <f t="shared" ca="1" si="117"/>
        <v>0</v>
      </c>
      <c r="L490" s="189"/>
      <c r="M490" s="189"/>
      <c r="N490" s="189"/>
      <c r="O490" s="189"/>
      <c r="P490" s="189"/>
    </row>
    <row r="491" spans="1:16" ht="21.75" customHeight="1" x14ac:dyDescent="0.35">
      <c r="A491" s="408"/>
      <c r="B491" s="409"/>
      <c r="C491" s="409"/>
      <c r="D491" s="410"/>
      <c r="E491" s="203"/>
      <c r="F491" s="203"/>
      <c r="G491" s="202" t="s">
        <v>180</v>
      </c>
      <c r="H491" s="428" t="s">
        <v>122</v>
      </c>
      <c r="I491" s="210">
        <f ca="1">IFERROR(__xludf.DUMMYFUNCTION("IMPORTRANGE(""https://docs.google.com/spreadsheets/d/1IYY_tgx_IHuhSq3AJ5eI5OnqOPBNLWSHKh2a30DoXe8/edit?usp=sharing"",""สตูล!I386"")"),0)</f>
        <v>0</v>
      </c>
      <c r="J491" s="196">
        <f ca="1">IFERROR(__xludf.DUMMYFUNCTION("IMPORTRANGE(""https://docs.google.com/spreadsheets/d/1IYY_tgx_IHuhSq3AJ5eI5OnqOPBNLWSHKh2a30DoXe8/edit?usp=sharing"",""สตูล!J386"")"),0)</f>
        <v>0</v>
      </c>
      <c r="K491" s="169">
        <f t="shared" ca="1" si="117"/>
        <v>0</v>
      </c>
      <c r="L491" s="189"/>
      <c r="M491" s="189"/>
      <c r="N491" s="189"/>
      <c r="O491" s="189"/>
      <c r="P491" s="189"/>
    </row>
    <row r="492" spans="1:16" ht="21.75" customHeight="1" x14ac:dyDescent="0.35">
      <c r="A492" s="408"/>
      <c r="B492" s="409"/>
      <c r="C492" s="409"/>
      <c r="D492" s="410"/>
      <c r="E492" s="203"/>
      <c r="F492" s="203"/>
      <c r="G492" s="204"/>
      <c r="H492" s="428" t="s">
        <v>36</v>
      </c>
      <c r="I492" s="210">
        <f ca="1">IFERROR(__xludf.DUMMYFUNCTION("IMPORTRANGE(""https://docs.google.com/spreadsheets/d/1IYY_tgx_IHuhSq3AJ5eI5OnqOPBNLWSHKh2a30DoXe8/edit?usp=sharing"",""สตูล!I387"")"),0)</f>
        <v>0</v>
      </c>
      <c r="J492" s="196">
        <f ca="1">IFERROR(__xludf.DUMMYFUNCTION("IMPORTRANGE(""https://docs.google.com/spreadsheets/d/1IYY_tgx_IHuhSq3AJ5eI5OnqOPBNLWSHKh2a30DoXe8/edit?usp=sharing"",""สตูล!J387"")"),0)</f>
        <v>0</v>
      </c>
      <c r="K492" s="169">
        <f t="shared" ca="1" si="117"/>
        <v>0</v>
      </c>
      <c r="L492" s="189"/>
      <c r="M492" s="189"/>
      <c r="N492" s="189"/>
      <c r="O492" s="189"/>
      <c r="P492" s="189"/>
    </row>
    <row r="493" spans="1:16" ht="21.75" customHeight="1" x14ac:dyDescent="0.35">
      <c r="A493" s="408"/>
      <c r="B493" s="409"/>
      <c r="C493" s="409"/>
      <c r="D493" s="410"/>
      <c r="E493" s="203"/>
      <c r="F493" s="202" t="s">
        <v>181</v>
      </c>
      <c r="G493" s="427"/>
      <c r="H493" s="428" t="s">
        <v>122</v>
      </c>
      <c r="I493" s="210">
        <f ca="1">IFERROR(__xludf.DUMMYFUNCTION("IMPORTRANGE(""https://docs.google.com/spreadsheets/d/1IYY_tgx_IHuhSq3AJ5eI5OnqOPBNLWSHKh2a30DoXe8/edit?usp=sharing"",""สตูล!I388"")"),0)</f>
        <v>0</v>
      </c>
      <c r="J493" s="196">
        <f ca="1">IFERROR(__xludf.DUMMYFUNCTION("IMPORTRANGE(""https://docs.google.com/spreadsheets/d/1IYY_tgx_IHuhSq3AJ5eI5OnqOPBNLWSHKh2a30DoXe8/edit?usp=sharing"",""สตูล!J388"")"),0)</f>
        <v>0</v>
      </c>
      <c r="K493" s="169">
        <f t="shared" ca="1" si="117"/>
        <v>0</v>
      </c>
      <c r="L493" s="189"/>
      <c r="M493" s="189"/>
      <c r="N493" s="189"/>
      <c r="O493" s="189"/>
      <c r="P493" s="189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IFERROR(__xludf.DUMMYFUNCTION("IMPORTRANGE(""https://docs.google.com/spreadsheets/d/1IYY_tgx_IHuhSq3AJ5eI5OnqOPBNLWSHKh2a30DoXe8/edit?usp=sharing"",""สตูล!I389"")"),0)</f>
        <v>0</v>
      </c>
      <c r="J494" s="442">
        <f ca="1">IFERROR(__xludf.DUMMYFUNCTION("IMPORTRANGE(""https://docs.google.com/spreadsheets/d/1IYY_tgx_IHuhSq3AJ5eI5OnqOPBNLWSHKh2a30DoXe8/edit?usp=sharing"",""สตูล!J389"")"),0)</f>
        <v>0</v>
      </c>
      <c r="K494" s="294">
        <f t="shared" ca="1" si="117"/>
        <v>0</v>
      </c>
      <c r="L494" s="252"/>
      <c r="M494" s="252"/>
      <c r="N494" s="252"/>
      <c r="O494" s="252"/>
      <c r="P494" s="252"/>
    </row>
    <row r="495" spans="1:16" ht="21.75" customHeight="1" x14ac:dyDescent="0.35">
      <c r="A495" s="408"/>
      <c r="B495" s="409"/>
      <c r="C495" s="409"/>
      <c r="D495" s="410"/>
      <c r="E495" s="203"/>
      <c r="F495" s="203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IFERROR(__xludf.DUMMYFUNCTION("IMPORTRANGE(""https://docs.google.com/spreadsheets/d/1IYY_tgx_IHuhSq3AJ5eI5OnqOPBNLWSHKh2a30DoXe8/edit?usp=sharing"",""สตูล!I390"")"),0)</f>
        <v>0</v>
      </c>
      <c r="J495" s="442">
        <f ca="1">IFERROR(__xludf.DUMMYFUNCTION("IMPORTRANGE(""https://docs.google.com/spreadsheets/d/1IYY_tgx_IHuhSq3AJ5eI5OnqOPBNLWSHKh2a30DoXe8/edit?usp=sharing"",""สตูล!J390"")"),0)</f>
        <v>0</v>
      </c>
      <c r="K495" s="169">
        <f t="shared" ca="1" si="117"/>
        <v>0</v>
      </c>
      <c r="L495" s="189"/>
      <c r="M495" s="189"/>
      <c r="N495" s="189"/>
      <c r="O495" s="189"/>
      <c r="P495" s="189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IFERROR(__xludf.DUMMYFUNCTION("IMPORTRANGE(""https://docs.google.com/spreadsheets/d/1IYY_tgx_IHuhSq3AJ5eI5OnqOPBNLWSHKh2a30DoXe8/edit?usp=sharing"",""สตูล!I391"")"),0)</f>
        <v>0</v>
      </c>
      <c r="J496" s="442">
        <f ca="1">IFERROR(__xludf.DUMMYFUNCTION("IMPORTRANGE(""https://docs.google.com/spreadsheets/d/1IYY_tgx_IHuhSq3AJ5eI5OnqOPBNLWSHKh2a30DoXe8/edit?usp=sharing"",""สตูล!J391"")"),0)</f>
        <v>0</v>
      </c>
      <c r="K496" s="294">
        <f t="shared" ca="1" si="117"/>
        <v>0</v>
      </c>
      <c r="L496" s="252"/>
      <c r="M496" s="252"/>
      <c r="N496" s="252"/>
      <c r="O496" s="252"/>
      <c r="P496" s="252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IFERROR(__xludf.DUMMYFUNCTION("IMPORTRANGE(""https://docs.google.com/spreadsheets/d/1IYY_tgx_IHuhSq3AJ5eI5OnqOPBNLWSHKh2a30DoXe8/edit?usp=sharing"",""สตูล!I392"")"),0)</f>
        <v>0</v>
      </c>
      <c r="J497" s="449">
        <f ca="1">IFERROR(__xludf.DUMMYFUNCTION("IMPORTRANGE(""https://docs.google.com/spreadsheets/d/1IYY_tgx_IHuhSq3AJ5eI5OnqOPBNLWSHKh2a30DoXe8/edit?usp=sharing"",""สตูล!J392"")"),0)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3"/>
      <c r="B498" s="184"/>
      <c r="C498" s="184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IFERROR(__xludf.DUMMYFUNCTION("IMPORTRANGE(""https://docs.google.com/spreadsheets/d/1IYY_tgx_IHuhSq3AJ5eI5OnqOPBNLWSHKh2a30DoXe8/edit?usp=sharing"",""สตูล!I393"")"),0)</f>
        <v>0</v>
      </c>
      <c r="J498" s="426">
        <f ca="1">IFERROR(__xludf.DUMMYFUNCTION("IMPORTRANGE(""https://docs.google.com/spreadsheets/d/1IYY_tgx_IHuhSq3AJ5eI5OnqOPBNLWSHKh2a30DoXe8/edit?usp=sharing"",""สตูล!J393"")"),0)</f>
        <v>0</v>
      </c>
      <c r="K498" s="169">
        <f t="shared" ca="1" si="117"/>
        <v>0</v>
      </c>
      <c r="L498" s="189"/>
      <c r="M498" s="189"/>
      <c r="N498" s="189"/>
      <c r="O498" s="189"/>
      <c r="P498" s="189"/>
    </row>
    <row r="499" spans="1:16" ht="21.75" customHeight="1" x14ac:dyDescent="0.35">
      <c r="A499" s="183"/>
      <c r="B499" s="184"/>
      <c r="C499" s="184"/>
      <c r="D499" s="201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IFERROR(__xludf.DUMMYFUNCTION("IMPORTRANGE(""https://docs.google.com/spreadsheets/d/1IYY_tgx_IHuhSq3AJ5eI5OnqOPBNLWSHKh2a30DoXe8/edit?usp=sharing"",""สตูล!I394"")"),0)</f>
        <v>0</v>
      </c>
      <c r="J499" s="426">
        <f ca="1">IFERROR(__xludf.DUMMYFUNCTION("IMPORTRANGE(""https://docs.google.com/spreadsheets/d/1IYY_tgx_IHuhSq3AJ5eI5OnqOPBNLWSHKh2a30DoXe8/edit?usp=sharing"",""สตูล!J394"")"),0)</f>
        <v>0</v>
      </c>
      <c r="K499" s="209">
        <f t="shared" ca="1" si="117"/>
        <v>0</v>
      </c>
      <c r="L499" s="189"/>
      <c r="M499" s="189"/>
      <c r="N499" s="189"/>
      <c r="O499" s="189"/>
      <c r="P499" s="189"/>
    </row>
    <row r="500" spans="1:16" ht="21.75" customHeight="1" x14ac:dyDescent="0.35">
      <c r="A500" s="183"/>
      <c r="B500" s="184"/>
      <c r="C500" s="184"/>
      <c r="D500" s="410"/>
      <c r="E500" s="410" t="s">
        <v>185</v>
      </c>
      <c r="F500" s="203"/>
      <c r="G500" s="204"/>
      <c r="H500" s="428" t="s">
        <v>122</v>
      </c>
      <c r="I500" s="210">
        <f ca="1">IFERROR(__xludf.DUMMYFUNCTION("IMPORTRANGE(""https://docs.google.com/spreadsheets/d/1IYY_tgx_IHuhSq3AJ5eI5OnqOPBNLWSHKh2a30DoXe8/edit?usp=sharing"",""สตูล!I395"")"),0)</f>
        <v>0</v>
      </c>
      <c r="J500" s="168">
        <f ca="1">IFERROR(__xludf.DUMMYFUNCTION("IMPORTRANGE(""https://docs.google.com/spreadsheets/d/1IYY_tgx_IHuhSq3AJ5eI5OnqOPBNLWSHKh2a30DoXe8/edit?usp=sharing"",""สตูล!J395"")"),0)</f>
        <v>0</v>
      </c>
      <c r="K500" s="169">
        <f t="shared" ca="1" si="117"/>
        <v>0</v>
      </c>
      <c r="L500" s="189"/>
      <c r="M500" s="189"/>
      <c r="N500" s="189"/>
      <c r="O500" s="189"/>
      <c r="P500" s="189"/>
    </row>
    <row r="501" spans="1:16" ht="21.75" customHeight="1" x14ac:dyDescent="0.35">
      <c r="A501" s="183"/>
      <c r="B501" s="184"/>
      <c r="C501" s="184"/>
      <c r="D501" s="201"/>
      <c r="E501" s="203"/>
      <c r="F501" s="203"/>
      <c r="G501" s="204"/>
      <c r="H501" s="428" t="s">
        <v>36</v>
      </c>
      <c r="I501" s="210">
        <f ca="1">IFERROR(__xludf.DUMMYFUNCTION("IMPORTRANGE(""https://docs.google.com/spreadsheets/d/1IYY_tgx_IHuhSq3AJ5eI5OnqOPBNLWSHKh2a30DoXe8/edit?usp=sharing"",""สตูล!I396"")"),0)</f>
        <v>0</v>
      </c>
      <c r="J501" s="168">
        <f ca="1">IFERROR(__xludf.DUMMYFUNCTION("IMPORTRANGE(""https://docs.google.com/spreadsheets/d/1IYY_tgx_IHuhSq3AJ5eI5OnqOPBNLWSHKh2a30DoXe8/edit?usp=sharing"",""สตูล!J396"")"),0)</f>
        <v>0</v>
      </c>
      <c r="K501" s="169">
        <f t="shared" ca="1" si="117"/>
        <v>0</v>
      </c>
      <c r="L501" s="189"/>
      <c r="M501" s="189"/>
      <c r="N501" s="189"/>
      <c r="O501" s="189"/>
      <c r="P501" s="189"/>
    </row>
    <row r="502" spans="1:16" ht="21.75" customHeight="1" x14ac:dyDescent="0.35">
      <c r="A502" s="183"/>
      <c r="B502" s="184"/>
      <c r="C502" s="184"/>
      <c r="D502" s="201"/>
      <c r="E502" s="203"/>
      <c r="F502" s="405" t="s">
        <v>186</v>
      </c>
      <c r="G502" s="427"/>
      <c r="H502" s="428" t="s">
        <v>122</v>
      </c>
      <c r="I502" s="210">
        <f ca="1">IFERROR(__xludf.DUMMYFUNCTION("IMPORTRANGE(""https://docs.google.com/spreadsheets/d/1IYY_tgx_IHuhSq3AJ5eI5OnqOPBNLWSHKh2a30DoXe8/edit?usp=sharing"",""สตูล!I397"")"),0)</f>
        <v>0</v>
      </c>
      <c r="J502" s="196">
        <f ca="1">IFERROR(__xludf.DUMMYFUNCTION("IMPORTRANGE(""https://docs.google.com/spreadsheets/d/1IYY_tgx_IHuhSq3AJ5eI5OnqOPBNLWSHKh2a30DoXe8/edit?usp=sharing"",""สตูล!J397"")"),0)</f>
        <v>0</v>
      </c>
      <c r="K502" s="169">
        <f t="shared" ca="1" si="117"/>
        <v>0</v>
      </c>
      <c r="L502" s="189"/>
      <c r="M502" s="189"/>
      <c r="N502" s="189"/>
      <c r="O502" s="189"/>
      <c r="P502" s="189"/>
    </row>
    <row r="503" spans="1:16" ht="21.75" customHeight="1" x14ac:dyDescent="0.35">
      <c r="A503" s="183"/>
      <c r="B503" s="184"/>
      <c r="C503" s="184"/>
      <c r="D503" s="201"/>
      <c r="E503" s="203"/>
      <c r="F503" s="203"/>
      <c r="G503" s="427"/>
      <c r="H503" s="428" t="s">
        <v>36</v>
      </c>
      <c r="I503" s="195">
        <f ca="1">IFERROR(__xludf.DUMMYFUNCTION("IMPORTRANGE(""https://docs.google.com/spreadsheets/d/1IYY_tgx_IHuhSq3AJ5eI5OnqOPBNLWSHKh2a30DoXe8/edit?usp=sharing"",""สตูล!I398"")"),0)</f>
        <v>0</v>
      </c>
      <c r="J503" s="205">
        <f ca="1">IFERROR(__xludf.DUMMYFUNCTION("IMPORTRANGE(""https://docs.google.com/spreadsheets/d/1IYY_tgx_IHuhSq3AJ5eI5OnqOPBNLWSHKh2a30DoXe8/edit?usp=sharing"",""สตูล!J398"")"),0)</f>
        <v>0</v>
      </c>
      <c r="K503" s="169">
        <f t="shared" ca="1" si="117"/>
        <v>0</v>
      </c>
      <c r="L503" s="189"/>
      <c r="M503" s="189"/>
      <c r="N503" s="189"/>
      <c r="O503" s="189"/>
      <c r="P503" s="189"/>
    </row>
    <row r="504" spans="1:16" ht="21.75" customHeight="1" x14ac:dyDescent="0.35">
      <c r="A504" s="183"/>
      <c r="B504" s="184"/>
      <c r="C504" s="184"/>
      <c r="D504" s="201"/>
      <c r="E504" s="203"/>
      <c r="F504" s="396" t="s">
        <v>187</v>
      </c>
      <c r="G504" s="427"/>
      <c r="H504" s="428" t="s">
        <v>122</v>
      </c>
      <c r="I504" s="211">
        <f ca="1">IFERROR(__xludf.DUMMYFUNCTION("IMPORTRANGE(""https://docs.google.com/spreadsheets/d/1IYY_tgx_IHuhSq3AJ5eI5OnqOPBNLWSHKh2a30DoXe8/edit?usp=sharing"",""สตูล!I399"")"),0)</f>
        <v>0</v>
      </c>
      <c r="J504" s="196">
        <f ca="1">IFERROR(__xludf.DUMMYFUNCTION("IMPORTRANGE(""https://docs.google.com/spreadsheets/d/1IYY_tgx_IHuhSq3AJ5eI5OnqOPBNLWSHKh2a30DoXe8/edit?usp=sharing"",""สตูล!J399"")"),0)</f>
        <v>0</v>
      </c>
      <c r="K504" s="169">
        <f t="shared" ca="1" si="117"/>
        <v>0</v>
      </c>
      <c r="L504" s="189"/>
      <c r="M504" s="189"/>
      <c r="N504" s="189"/>
      <c r="O504" s="189"/>
      <c r="P504" s="189"/>
    </row>
    <row r="505" spans="1:16" ht="21.75" customHeight="1" x14ac:dyDescent="0.35">
      <c r="A505" s="183"/>
      <c r="B505" s="184"/>
      <c r="C505" s="184"/>
      <c r="D505" s="201"/>
      <c r="E505" s="203"/>
      <c r="F505" s="203"/>
      <c r="G505" s="427"/>
      <c r="H505" s="428" t="s">
        <v>36</v>
      </c>
      <c r="I505" s="195">
        <f ca="1">IFERROR(__xludf.DUMMYFUNCTION("IMPORTRANGE(""https://docs.google.com/spreadsheets/d/1IYY_tgx_IHuhSq3AJ5eI5OnqOPBNLWSHKh2a30DoXe8/edit?usp=sharing"",""สตูล!I400"")"),0)</f>
        <v>0</v>
      </c>
      <c r="J505" s="205">
        <f ca="1">IFERROR(__xludf.DUMMYFUNCTION("IMPORTRANGE(""https://docs.google.com/spreadsheets/d/1IYY_tgx_IHuhSq3AJ5eI5OnqOPBNLWSHKh2a30DoXe8/edit?usp=sharing"",""สตูล!J400"")"),0)</f>
        <v>0</v>
      </c>
      <c r="K505" s="169">
        <f t="shared" ca="1" si="117"/>
        <v>0</v>
      </c>
      <c r="L505" s="189"/>
      <c r="M505" s="189"/>
      <c r="N505" s="189"/>
      <c r="O505" s="189"/>
      <c r="P505" s="189"/>
    </row>
    <row r="506" spans="1:16" ht="21.75" customHeight="1" x14ac:dyDescent="0.35">
      <c r="A506" s="183"/>
      <c r="B506" s="184"/>
      <c r="C506" s="184"/>
      <c r="D506" s="201"/>
      <c r="E506" s="203"/>
      <c r="F506" s="405" t="s">
        <v>188</v>
      </c>
      <c r="G506" s="427"/>
      <c r="H506" s="428" t="s">
        <v>122</v>
      </c>
      <c r="I506" s="211">
        <f ca="1">IFERROR(__xludf.DUMMYFUNCTION("IMPORTRANGE(""https://docs.google.com/spreadsheets/d/1IYY_tgx_IHuhSq3AJ5eI5OnqOPBNLWSHKh2a30DoXe8/edit?usp=sharing"",""สตูล!I401"")"),0)</f>
        <v>0</v>
      </c>
      <c r="J506" s="196">
        <f ca="1">IFERROR(__xludf.DUMMYFUNCTION("IMPORTRANGE(""https://docs.google.com/spreadsheets/d/1IYY_tgx_IHuhSq3AJ5eI5OnqOPBNLWSHKh2a30DoXe8/edit?usp=sharing"",""สตูล!J401"")"),0)</f>
        <v>0</v>
      </c>
      <c r="K506" s="169">
        <f t="shared" ca="1" si="117"/>
        <v>0</v>
      </c>
      <c r="L506" s="189"/>
      <c r="M506" s="189"/>
      <c r="N506" s="189"/>
      <c r="O506" s="189"/>
      <c r="P506" s="189"/>
    </row>
    <row r="507" spans="1:16" ht="21.75" customHeight="1" x14ac:dyDescent="0.35">
      <c r="A507" s="183"/>
      <c r="B507" s="184"/>
      <c r="C507" s="184"/>
      <c r="D507" s="201"/>
      <c r="E507" s="203"/>
      <c r="F507" s="203"/>
      <c r="G507" s="203"/>
      <c r="H507" s="428" t="s">
        <v>36</v>
      </c>
      <c r="I507" s="195">
        <f ca="1">IFERROR(__xludf.DUMMYFUNCTION("IMPORTRANGE(""https://docs.google.com/spreadsheets/d/1IYY_tgx_IHuhSq3AJ5eI5OnqOPBNLWSHKh2a30DoXe8/edit?usp=sharing"",""สตูล!I402"")"),0)</f>
        <v>0</v>
      </c>
      <c r="J507" s="205">
        <f ca="1">IFERROR(__xludf.DUMMYFUNCTION("IMPORTRANGE(""https://docs.google.com/spreadsheets/d/1IYY_tgx_IHuhSq3AJ5eI5OnqOPBNLWSHKh2a30DoXe8/edit?usp=sharing"",""สตูล!J402"")"),0)</f>
        <v>0</v>
      </c>
      <c r="K507" s="169">
        <f t="shared" ca="1" si="117"/>
        <v>0</v>
      </c>
      <c r="L507" s="189"/>
      <c r="M507" s="189"/>
      <c r="N507" s="189"/>
      <c r="O507" s="189"/>
      <c r="P507" s="189"/>
    </row>
    <row r="508" spans="1:16" ht="21.75" customHeight="1" x14ac:dyDescent="0.35">
      <c r="A508" s="183"/>
      <c r="B508" s="184"/>
      <c r="C508" s="184"/>
      <c r="D508" s="201"/>
      <c r="E508" s="202" t="s">
        <v>189</v>
      </c>
      <c r="F508" s="203"/>
      <c r="G508" s="427"/>
      <c r="H508" s="428" t="s">
        <v>122</v>
      </c>
      <c r="I508" s="195">
        <f ca="1">IFERROR(__xludf.DUMMYFUNCTION("IMPORTRANGE(""https://docs.google.com/spreadsheets/d/1IYY_tgx_IHuhSq3AJ5eI5OnqOPBNLWSHKh2a30DoXe8/edit?usp=sharing"",""สตูล!I403"")"),0)</f>
        <v>0</v>
      </c>
      <c r="J508" s="168">
        <f ca="1">IFERROR(__xludf.DUMMYFUNCTION("IMPORTRANGE(""https://docs.google.com/spreadsheets/d/1IYY_tgx_IHuhSq3AJ5eI5OnqOPBNLWSHKh2a30DoXe8/edit?usp=sharing"",""สตูล!J403"")"),0)</f>
        <v>0</v>
      </c>
      <c r="K508" s="169">
        <f t="shared" ca="1" si="117"/>
        <v>0</v>
      </c>
      <c r="L508" s="189"/>
      <c r="M508" s="189"/>
      <c r="N508" s="189"/>
      <c r="O508" s="189"/>
      <c r="P508" s="189"/>
    </row>
    <row r="509" spans="1:16" ht="21.75" customHeight="1" x14ac:dyDescent="0.35">
      <c r="A509" s="183"/>
      <c r="B509" s="184"/>
      <c r="C509" s="184"/>
      <c r="D509" s="201"/>
      <c r="E509" s="203"/>
      <c r="F509" s="203"/>
      <c r="G509" s="203"/>
      <c r="H509" s="428" t="s">
        <v>36</v>
      </c>
      <c r="I509" s="195">
        <f ca="1">IFERROR(__xludf.DUMMYFUNCTION("IMPORTRANGE(""https://docs.google.com/spreadsheets/d/1IYY_tgx_IHuhSq3AJ5eI5OnqOPBNLWSHKh2a30DoXe8/edit?usp=sharing"",""สตูล!I404"")"),0)</f>
        <v>0</v>
      </c>
      <c r="J509" s="168">
        <f ca="1">IFERROR(__xludf.DUMMYFUNCTION("IMPORTRANGE(""https://docs.google.com/spreadsheets/d/1IYY_tgx_IHuhSq3AJ5eI5OnqOPBNLWSHKh2a30DoXe8/edit?usp=sharing"",""สตูล!J404"")"),0)</f>
        <v>0</v>
      </c>
      <c r="K509" s="169">
        <f t="shared" ca="1" si="117"/>
        <v>0</v>
      </c>
      <c r="L509" s="189"/>
      <c r="M509" s="189"/>
      <c r="N509" s="189"/>
      <c r="O509" s="189"/>
      <c r="P509" s="189"/>
    </row>
    <row r="510" spans="1:16" ht="21.75" customHeight="1" x14ac:dyDescent="0.35">
      <c r="A510" s="183"/>
      <c r="B510" s="184"/>
      <c r="C510" s="184"/>
      <c r="D510" s="201"/>
      <c r="E510" s="203"/>
      <c r="F510" s="202" t="s">
        <v>190</v>
      </c>
      <c r="G510" s="203"/>
      <c r="H510" s="428" t="s">
        <v>122</v>
      </c>
      <c r="I510" s="195">
        <f ca="1">IFERROR(__xludf.DUMMYFUNCTION("IMPORTRANGE(""https://docs.google.com/spreadsheets/d/1IYY_tgx_IHuhSq3AJ5eI5OnqOPBNLWSHKh2a30DoXe8/edit?usp=sharing"",""สตูล!I405"")"),0)</f>
        <v>0</v>
      </c>
      <c r="J510" s="205">
        <f ca="1">IFERROR(__xludf.DUMMYFUNCTION("IMPORTRANGE(""https://docs.google.com/spreadsheets/d/1IYY_tgx_IHuhSq3AJ5eI5OnqOPBNLWSHKh2a30DoXe8/edit?usp=sharing"",""สตูล!J405"")"),0)</f>
        <v>0</v>
      </c>
      <c r="K510" s="169">
        <f t="shared" ca="1" si="117"/>
        <v>0</v>
      </c>
      <c r="L510" s="189"/>
      <c r="M510" s="189"/>
      <c r="N510" s="189"/>
      <c r="O510" s="189"/>
      <c r="P510" s="189"/>
    </row>
    <row r="511" spans="1:16" ht="21.75" customHeight="1" x14ac:dyDescent="0.35">
      <c r="A511" s="183"/>
      <c r="B511" s="184"/>
      <c r="C511" s="184"/>
      <c r="D511" s="201"/>
      <c r="E511" s="203"/>
      <c r="F511" s="203"/>
      <c r="G511" s="203"/>
      <c r="H511" s="428" t="s">
        <v>36</v>
      </c>
      <c r="I511" s="195">
        <f ca="1">IFERROR(__xludf.DUMMYFUNCTION("IMPORTRANGE(""https://docs.google.com/spreadsheets/d/1IYY_tgx_IHuhSq3AJ5eI5OnqOPBNLWSHKh2a30DoXe8/edit?usp=sharing"",""สตูล!I406"")"),0)</f>
        <v>0</v>
      </c>
      <c r="J511" s="205">
        <f ca="1">IFERROR(__xludf.DUMMYFUNCTION("IMPORTRANGE(""https://docs.google.com/spreadsheets/d/1IYY_tgx_IHuhSq3AJ5eI5OnqOPBNLWSHKh2a30DoXe8/edit?usp=sharing"",""สตูล!J406"")"),0)</f>
        <v>0</v>
      </c>
      <c r="K511" s="169">
        <f t="shared" ca="1" si="117"/>
        <v>0</v>
      </c>
      <c r="L511" s="189"/>
      <c r="M511" s="189"/>
      <c r="N511" s="189"/>
      <c r="O511" s="189"/>
      <c r="P511" s="189"/>
    </row>
    <row r="512" spans="1:16" ht="21.75" customHeight="1" x14ac:dyDescent="0.35">
      <c r="A512" s="183"/>
      <c r="B512" s="184"/>
      <c r="C512" s="184"/>
      <c r="D512" s="201"/>
      <c r="E512" s="203"/>
      <c r="F512" s="202" t="s">
        <v>191</v>
      </c>
      <c r="G512" s="203"/>
      <c r="H512" s="428" t="s">
        <v>122</v>
      </c>
      <c r="I512" s="195">
        <f ca="1">IFERROR(__xludf.DUMMYFUNCTION("IMPORTRANGE(""https://docs.google.com/spreadsheets/d/1IYY_tgx_IHuhSq3AJ5eI5OnqOPBNLWSHKh2a30DoXe8/edit?usp=sharing"",""สตูล!I407"")"),0)</f>
        <v>0</v>
      </c>
      <c r="J512" s="205">
        <f ca="1">IFERROR(__xludf.DUMMYFUNCTION("IMPORTRANGE(""https://docs.google.com/spreadsheets/d/1IYY_tgx_IHuhSq3AJ5eI5OnqOPBNLWSHKh2a30DoXe8/edit?usp=sharing"",""สตูล!J407"")"),0)</f>
        <v>0</v>
      </c>
      <c r="K512" s="169">
        <f t="shared" ca="1" si="117"/>
        <v>0</v>
      </c>
      <c r="L512" s="189"/>
      <c r="M512" s="189"/>
      <c r="N512" s="189"/>
      <c r="O512" s="189"/>
      <c r="P512" s="189"/>
    </row>
    <row r="513" spans="1:16" ht="21.75" customHeight="1" x14ac:dyDescent="0.35">
      <c r="A513" s="183"/>
      <c r="B513" s="184"/>
      <c r="C513" s="184"/>
      <c r="D513" s="201"/>
      <c r="E513" s="203"/>
      <c r="F513" s="203"/>
      <c r="G513" s="204"/>
      <c r="H513" s="428" t="s">
        <v>36</v>
      </c>
      <c r="I513" s="195">
        <f ca="1">IFERROR(__xludf.DUMMYFUNCTION("IMPORTRANGE(""https://docs.google.com/spreadsheets/d/1IYY_tgx_IHuhSq3AJ5eI5OnqOPBNLWSHKh2a30DoXe8/edit?usp=sharing"",""สตูล!I408"")"),0)</f>
        <v>0</v>
      </c>
      <c r="J513" s="205">
        <f ca="1">IFERROR(__xludf.DUMMYFUNCTION("IMPORTRANGE(""https://docs.google.com/spreadsheets/d/1IYY_tgx_IHuhSq3AJ5eI5OnqOPBNLWSHKh2a30DoXe8/edit?usp=sharing"",""สตูล!J408"")"),0)</f>
        <v>0</v>
      </c>
      <c r="K513" s="169">
        <f t="shared" ca="1" si="117"/>
        <v>0</v>
      </c>
      <c r="L513" s="189"/>
      <c r="M513" s="189"/>
      <c r="N513" s="189"/>
      <c r="O513" s="189"/>
      <c r="P513" s="189"/>
    </row>
    <row r="514" spans="1:16" ht="21.75" customHeight="1" x14ac:dyDescent="0.35">
      <c r="A514" s="183"/>
      <c r="B514" s="184"/>
      <c r="C514" s="184"/>
      <c r="D514" s="410"/>
      <c r="E514" s="456" t="s">
        <v>192</v>
      </c>
      <c r="F514" s="203"/>
      <c r="G514" s="204"/>
      <c r="H514" s="428" t="s">
        <v>122</v>
      </c>
      <c r="I514" s="195">
        <f ca="1">IFERROR(__xludf.DUMMYFUNCTION("IMPORTRANGE(""https://docs.google.com/spreadsheets/d/1IYY_tgx_IHuhSq3AJ5eI5OnqOPBNLWSHKh2a30DoXe8/edit?usp=sharing"",""สตูล!I409"")"),0)</f>
        <v>0</v>
      </c>
      <c r="J514" s="205">
        <f ca="1">IFERROR(__xludf.DUMMYFUNCTION("IMPORTRANGE(""https://docs.google.com/spreadsheets/d/1IYY_tgx_IHuhSq3AJ5eI5OnqOPBNLWSHKh2a30DoXe8/edit?usp=sharing"",""สตูล!J409"")"),0)</f>
        <v>0</v>
      </c>
      <c r="K514" s="169">
        <f t="shared" ca="1" si="117"/>
        <v>0</v>
      </c>
      <c r="L514" s="189"/>
      <c r="M514" s="189"/>
      <c r="N514" s="189"/>
      <c r="O514" s="189"/>
      <c r="P514" s="189"/>
    </row>
    <row r="515" spans="1:16" ht="21.75" customHeight="1" x14ac:dyDescent="0.35">
      <c r="A515" s="183"/>
      <c r="B515" s="184"/>
      <c r="C515" s="184"/>
      <c r="D515" s="201"/>
      <c r="E515" s="203"/>
      <c r="F515" s="203"/>
      <c r="G515" s="204"/>
      <c r="H515" s="428" t="s">
        <v>36</v>
      </c>
      <c r="I515" s="195">
        <f ca="1">IFERROR(__xludf.DUMMYFUNCTION("IMPORTRANGE(""https://docs.google.com/spreadsheets/d/1IYY_tgx_IHuhSq3AJ5eI5OnqOPBNLWSHKh2a30DoXe8/edit?usp=sharing"",""สตูล!I410"")"),0)</f>
        <v>0</v>
      </c>
      <c r="J515" s="205">
        <f ca="1">IFERROR(__xludf.DUMMYFUNCTION("IMPORTRANGE(""https://docs.google.com/spreadsheets/d/1IYY_tgx_IHuhSq3AJ5eI5OnqOPBNLWSHKh2a30DoXe8/edit?usp=sharing"",""สตูล!J410"")"),0)</f>
        <v>0</v>
      </c>
      <c r="K515" s="169">
        <f t="shared" ca="1" si="117"/>
        <v>0</v>
      </c>
      <c r="L515" s="189"/>
      <c r="M515" s="189"/>
      <c r="N515" s="189"/>
      <c r="O515" s="189"/>
      <c r="P515" s="189"/>
    </row>
    <row r="516" spans="1:16" ht="21.75" customHeight="1" x14ac:dyDescent="0.35">
      <c r="A516" s="183"/>
      <c r="B516" s="184"/>
      <c r="C516" s="421" t="s">
        <v>193</v>
      </c>
      <c r="D516" s="421"/>
      <c r="E516" s="457"/>
      <c r="F516" s="457"/>
      <c r="G516" s="458"/>
      <c r="H516" s="459" t="s">
        <v>122</v>
      </c>
      <c r="I516" s="274">
        <f ca="1">IFERROR(__xludf.DUMMYFUNCTION("IMPORTRANGE(""https://docs.google.com/spreadsheets/d/1IYY_tgx_IHuhSq3AJ5eI5OnqOPBNLWSHKh2a30DoXe8/edit?usp=sharing"",""สตูล!I411"")"),0)</f>
        <v>0</v>
      </c>
      <c r="J516" s="274">
        <f ca="1">IFERROR(__xludf.DUMMYFUNCTION("IMPORTRANGE(""https://docs.google.com/spreadsheets/d/1IYY_tgx_IHuhSq3AJ5eI5OnqOPBNLWSHKh2a30DoXe8/edit?usp=sharing"",""สตูล!J411"")"),0)</f>
        <v>0</v>
      </c>
      <c r="K516" s="275">
        <v>0</v>
      </c>
      <c r="L516" s="189"/>
      <c r="M516" s="189"/>
      <c r="N516" s="189"/>
      <c r="O516" s="189"/>
      <c r="P516" s="189"/>
    </row>
    <row r="517" spans="1:16" ht="21.75" customHeight="1" x14ac:dyDescent="0.35">
      <c r="A517" s="183"/>
      <c r="B517" s="184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IFERROR(__xludf.DUMMYFUNCTION("IMPORTRANGE(""https://docs.google.com/spreadsheets/d/1IYY_tgx_IHuhSq3AJ5eI5OnqOPBNLWSHKh2a30DoXe8/edit?usp=sharing"",""สตูล!I412"")"),0)</f>
        <v>0</v>
      </c>
      <c r="J517" s="290">
        <f ca="1">IFERROR(__xludf.DUMMYFUNCTION("IMPORTRANGE(""https://docs.google.com/spreadsheets/d/1IYY_tgx_IHuhSq3AJ5eI5OnqOPBNLWSHKh2a30DoXe8/edit?usp=sharing"",""สตูล!J412"")"),0)</f>
        <v>0</v>
      </c>
      <c r="K517" s="291">
        <v>0</v>
      </c>
      <c r="L517" s="189"/>
      <c r="M517" s="189"/>
      <c r="N517" s="189"/>
      <c r="O517" s="189"/>
      <c r="P517" s="189"/>
    </row>
    <row r="518" spans="1:16" ht="21.75" customHeight="1" x14ac:dyDescent="0.35">
      <c r="A518" s="183"/>
      <c r="B518" s="184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IFERROR(__xludf.DUMMYFUNCTION("IMPORTRANGE(""https://docs.google.com/spreadsheets/d/1IYY_tgx_IHuhSq3AJ5eI5OnqOPBNLWSHKh2a30DoXe8/edit?usp=sharing"",""สตูล!I413"")"),0)</f>
        <v>0</v>
      </c>
      <c r="J518" s="290">
        <f ca="1">IFERROR(__xludf.DUMMYFUNCTION("IMPORTRANGE(""https://docs.google.com/spreadsheets/d/1IYY_tgx_IHuhSq3AJ5eI5OnqOPBNLWSHKh2a30DoXe8/edit?usp=sharing"",""สตูล!J413"")"),0)</f>
        <v>0</v>
      </c>
      <c r="K518" s="291">
        <v>0</v>
      </c>
      <c r="L518" s="189"/>
      <c r="M518" s="189"/>
      <c r="N518" s="189"/>
      <c r="O518" s="189"/>
      <c r="P518" s="189"/>
    </row>
    <row r="519" spans="1:16" ht="21.75" customHeight="1" x14ac:dyDescent="0.35">
      <c r="A519" s="183"/>
      <c r="B519" s="184"/>
      <c r="C519" s="184"/>
      <c r="D519" s="201"/>
      <c r="E519" s="203"/>
      <c r="F519" s="203"/>
      <c r="G519" s="233" t="s">
        <v>196</v>
      </c>
      <c r="H519" s="428" t="s">
        <v>122</v>
      </c>
      <c r="I519" s="195">
        <f ca="1">IFERROR(__xludf.DUMMYFUNCTION("IMPORTRANGE(""https://docs.google.com/spreadsheets/d/1IYY_tgx_IHuhSq3AJ5eI5OnqOPBNLWSHKh2a30DoXe8/edit?usp=sharing"",""สตูล!I414"")"),0)</f>
        <v>0</v>
      </c>
      <c r="J519" s="195">
        <f ca="1">IFERROR(__xludf.DUMMYFUNCTION("IMPORTRANGE(""https://docs.google.com/spreadsheets/d/1IYY_tgx_IHuhSq3AJ5eI5OnqOPBNLWSHKh2a30DoXe8/edit?usp=sharing"",""สตูล!J414"")"),0)</f>
        <v>0</v>
      </c>
      <c r="K519" s="169">
        <v>0</v>
      </c>
      <c r="L519" s="189"/>
      <c r="M519" s="189"/>
      <c r="N519" s="189"/>
      <c r="O519" s="189"/>
      <c r="P519" s="189"/>
    </row>
    <row r="520" spans="1:16" ht="21.75" customHeight="1" x14ac:dyDescent="0.35">
      <c r="A520" s="183"/>
      <c r="B520" s="184"/>
      <c r="C520" s="184"/>
      <c r="D520" s="201"/>
      <c r="E520" s="203"/>
      <c r="F520" s="203"/>
      <c r="G520" s="204"/>
      <c r="H520" s="428" t="s">
        <v>36</v>
      </c>
      <c r="I520" s="195">
        <f ca="1">IFERROR(__xludf.DUMMYFUNCTION("IMPORTRANGE(""https://docs.google.com/spreadsheets/d/1IYY_tgx_IHuhSq3AJ5eI5OnqOPBNLWSHKh2a30DoXe8/edit?usp=sharing"",""สตูล!I415"")"),0)</f>
        <v>0</v>
      </c>
      <c r="J520" s="195">
        <f ca="1">IFERROR(__xludf.DUMMYFUNCTION("IMPORTRANGE(""https://docs.google.com/spreadsheets/d/1IYY_tgx_IHuhSq3AJ5eI5OnqOPBNLWSHKh2a30DoXe8/edit?usp=sharing"",""สตูล!J415"")"),0)</f>
        <v>0</v>
      </c>
      <c r="K520" s="169">
        <v>0</v>
      </c>
      <c r="L520" s="189"/>
      <c r="M520" s="189"/>
      <c r="N520" s="189"/>
      <c r="O520" s="189"/>
      <c r="P520" s="189"/>
    </row>
    <row r="521" spans="1:16" ht="21.75" customHeight="1" x14ac:dyDescent="0.35">
      <c r="A521" s="183"/>
      <c r="B521" s="184"/>
      <c r="C521" s="184"/>
      <c r="D521" s="201"/>
      <c r="E521" s="203"/>
      <c r="F521" s="203"/>
      <c r="G521" s="233" t="s">
        <v>197</v>
      </c>
      <c r="H521" s="428" t="s">
        <v>122</v>
      </c>
      <c r="I521" s="195">
        <f ca="1">IFERROR(__xludf.DUMMYFUNCTION("IMPORTRANGE(""https://docs.google.com/spreadsheets/d/1IYY_tgx_IHuhSq3AJ5eI5OnqOPBNLWSHKh2a30DoXe8/edit?usp=sharing"",""สตูล!I416"")"),0)</f>
        <v>0</v>
      </c>
      <c r="J521" s="195">
        <f ca="1">IFERROR(__xludf.DUMMYFUNCTION("IMPORTRANGE(""https://docs.google.com/spreadsheets/d/1IYY_tgx_IHuhSq3AJ5eI5OnqOPBNLWSHKh2a30DoXe8/edit?usp=sharing"",""สตูล!J416"")"),0)</f>
        <v>0</v>
      </c>
      <c r="K521" s="169">
        <v>0</v>
      </c>
      <c r="L521" s="189"/>
      <c r="M521" s="189"/>
      <c r="N521" s="189"/>
      <c r="O521" s="189"/>
      <c r="P521" s="189"/>
    </row>
    <row r="522" spans="1:16" ht="21.75" customHeight="1" x14ac:dyDescent="0.35">
      <c r="A522" s="183"/>
      <c r="B522" s="184"/>
      <c r="C522" s="184"/>
      <c r="D522" s="201"/>
      <c r="E522" s="203"/>
      <c r="F522" s="203"/>
      <c r="G522" s="204"/>
      <c r="H522" s="428" t="s">
        <v>36</v>
      </c>
      <c r="I522" s="195">
        <f ca="1">IFERROR(__xludf.DUMMYFUNCTION("IMPORTRANGE(""https://docs.google.com/spreadsheets/d/1IYY_tgx_IHuhSq3AJ5eI5OnqOPBNLWSHKh2a30DoXe8/edit?usp=sharing"",""สตูล!I417"")"),0)</f>
        <v>0</v>
      </c>
      <c r="J522" s="195">
        <f ca="1">IFERROR(__xludf.DUMMYFUNCTION("IMPORTRANGE(""https://docs.google.com/spreadsheets/d/1IYY_tgx_IHuhSq3AJ5eI5OnqOPBNLWSHKh2a30DoXe8/edit?usp=sharing"",""สตูล!J417"")"),0)</f>
        <v>0</v>
      </c>
      <c r="K522" s="169">
        <v>0</v>
      </c>
      <c r="L522" s="189"/>
      <c r="M522" s="189"/>
      <c r="N522" s="189"/>
      <c r="O522" s="189"/>
      <c r="P522" s="189"/>
    </row>
    <row r="523" spans="1:16" ht="21.75" customHeight="1" x14ac:dyDescent="0.35">
      <c r="A523" s="183"/>
      <c r="B523" s="184"/>
      <c r="C523" s="184"/>
      <c r="D523" s="201"/>
      <c r="E523" s="203"/>
      <c r="F523" s="203"/>
      <c r="G523" s="464" t="s">
        <v>198</v>
      </c>
      <c r="H523" s="428" t="s">
        <v>122</v>
      </c>
      <c r="I523" s="195">
        <f ca="1">IFERROR(__xludf.DUMMYFUNCTION("IMPORTRANGE(""https://docs.google.com/spreadsheets/d/1IYY_tgx_IHuhSq3AJ5eI5OnqOPBNLWSHKh2a30DoXe8/edit?usp=sharing"",""สตูล!I418"")"),0)</f>
        <v>0</v>
      </c>
      <c r="J523" s="195">
        <f ca="1">IFERROR(__xludf.DUMMYFUNCTION("IMPORTRANGE(""https://docs.google.com/spreadsheets/d/1IYY_tgx_IHuhSq3AJ5eI5OnqOPBNLWSHKh2a30DoXe8/edit?usp=sharing"",""สตูล!J418"")"),2)</f>
        <v>2</v>
      </c>
      <c r="K523" s="169">
        <v>0</v>
      </c>
      <c r="L523" s="189"/>
      <c r="M523" s="189"/>
      <c r="N523" s="189"/>
      <c r="O523" s="189"/>
      <c r="P523" s="189"/>
    </row>
    <row r="524" spans="1:16" ht="21.75" customHeight="1" x14ac:dyDescent="0.35">
      <c r="A524" s="183"/>
      <c r="B524" s="184"/>
      <c r="C524" s="184"/>
      <c r="D524" s="201"/>
      <c r="E524" s="203"/>
      <c r="F524" s="203"/>
      <c r="G524" s="204"/>
      <c r="H524" s="428" t="s">
        <v>36</v>
      </c>
      <c r="I524" s="195">
        <f ca="1">IFERROR(__xludf.DUMMYFUNCTION("IMPORTRANGE(""https://docs.google.com/spreadsheets/d/1IYY_tgx_IHuhSq3AJ5eI5OnqOPBNLWSHKh2a30DoXe8/edit?usp=sharing"",""สตูล!I419"")"),0)</f>
        <v>0</v>
      </c>
      <c r="J524" s="195">
        <f ca="1">IFERROR(__xludf.DUMMYFUNCTION("IMPORTRANGE(""https://docs.google.com/spreadsheets/d/1IYY_tgx_IHuhSq3AJ5eI5OnqOPBNLWSHKh2a30DoXe8/edit?usp=sharing"",""สตูล!J419"")"),1)</f>
        <v>1</v>
      </c>
      <c r="K524" s="169">
        <v>0</v>
      </c>
      <c r="L524" s="189"/>
      <c r="M524" s="189"/>
      <c r="N524" s="189"/>
      <c r="O524" s="189"/>
      <c r="P524" s="189"/>
    </row>
    <row r="525" spans="1:16" ht="21.75" customHeight="1" x14ac:dyDescent="0.35">
      <c r="A525" s="183"/>
      <c r="B525" s="184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IFERROR(__xludf.DUMMYFUNCTION("IMPORTRANGE(""https://docs.google.com/spreadsheets/d/1IYY_tgx_IHuhSq3AJ5eI5OnqOPBNLWSHKh2a30DoXe8/edit?usp=sharing"",""สตูล!I420"")"),2)</f>
        <v>2</v>
      </c>
      <c r="J525" s="290">
        <f ca="1">IFERROR(__xludf.DUMMYFUNCTION("IMPORTRANGE(""https://docs.google.com/spreadsheets/d/1IYY_tgx_IHuhSq3AJ5eI5OnqOPBNLWSHKh2a30DoXe8/edit?usp=sharing"",""สตูล!J420"")"),0)</f>
        <v>0</v>
      </c>
      <c r="K525" s="291">
        <v>0</v>
      </c>
      <c r="L525" s="189"/>
      <c r="M525" s="189"/>
      <c r="N525" s="189"/>
      <c r="O525" s="189"/>
      <c r="P525" s="189"/>
    </row>
    <row r="526" spans="1:16" ht="21.75" customHeight="1" x14ac:dyDescent="0.35">
      <c r="A526" s="183"/>
      <c r="B526" s="184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IFERROR(__xludf.DUMMYFUNCTION("IMPORTRANGE(""https://docs.google.com/spreadsheets/d/1IYY_tgx_IHuhSq3AJ5eI5OnqOPBNLWSHKh2a30DoXe8/edit?usp=sharing"",""สตูล!I421"")"),1)</f>
        <v>1</v>
      </c>
      <c r="J526" s="290">
        <f ca="1">IFERROR(__xludf.DUMMYFUNCTION("IMPORTRANGE(""https://docs.google.com/spreadsheets/d/1IYY_tgx_IHuhSq3AJ5eI5OnqOPBNLWSHKh2a30DoXe8/edit?usp=sharing"",""สตูล!J421"")"),0)</f>
        <v>0</v>
      </c>
      <c r="K526" s="291">
        <v>0</v>
      </c>
      <c r="L526" s="189"/>
      <c r="M526" s="189"/>
      <c r="N526" s="189"/>
      <c r="O526" s="189"/>
      <c r="P526" s="189"/>
    </row>
    <row r="527" spans="1:16" ht="21.75" customHeight="1" x14ac:dyDescent="0.35">
      <c r="A527" s="183"/>
      <c r="B527" s="184"/>
      <c r="C527" s="184"/>
      <c r="D527" s="201"/>
      <c r="E527" s="203"/>
      <c r="F527" s="203"/>
      <c r="G527" s="233" t="s">
        <v>196</v>
      </c>
      <c r="H527" s="428" t="s">
        <v>122</v>
      </c>
      <c r="I527" s="195">
        <f ca="1">IFERROR(__xludf.DUMMYFUNCTION("IMPORTRANGE(""https://docs.google.com/spreadsheets/d/1IYY_tgx_IHuhSq3AJ5eI5OnqOPBNLWSHKh2a30DoXe8/edit?usp=sharing"",""สตูล!I422"")"),0)</f>
        <v>0</v>
      </c>
      <c r="J527" s="205">
        <f ca="1">IFERROR(__xludf.DUMMYFUNCTION("IMPORTRANGE(""https://docs.google.com/spreadsheets/d/1IYY_tgx_IHuhSq3AJ5eI5OnqOPBNLWSHKh2a30DoXe8/edit?usp=sharing"",""สตูล!J422"")"),0)</f>
        <v>0</v>
      </c>
      <c r="K527" s="169">
        <v>0</v>
      </c>
      <c r="L527" s="189"/>
      <c r="M527" s="189"/>
      <c r="N527" s="189"/>
      <c r="O527" s="189"/>
      <c r="P527" s="189"/>
    </row>
    <row r="528" spans="1:16" ht="21.75" customHeight="1" x14ac:dyDescent="0.35">
      <c r="A528" s="183"/>
      <c r="B528" s="184"/>
      <c r="C528" s="184"/>
      <c r="D528" s="201"/>
      <c r="E528" s="203"/>
      <c r="F528" s="203"/>
      <c r="G528" s="204"/>
      <c r="H528" s="428" t="s">
        <v>36</v>
      </c>
      <c r="I528" s="195">
        <f ca="1">IFERROR(__xludf.DUMMYFUNCTION("IMPORTRANGE(""https://docs.google.com/spreadsheets/d/1IYY_tgx_IHuhSq3AJ5eI5OnqOPBNLWSHKh2a30DoXe8/edit?usp=sharing"",""สตูล!I423"")"),0)</f>
        <v>0</v>
      </c>
      <c r="J528" s="205">
        <f ca="1">IFERROR(__xludf.DUMMYFUNCTION("IMPORTRANGE(""https://docs.google.com/spreadsheets/d/1IYY_tgx_IHuhSq3AJ5eI5OnqOPBNLWSHKh2a30DoXe8/edit?usp=sharing"",""สตูล!J423"")"),0)</f>
        <v>0</v>
      </c>
      <c r="K528" s="169">
        <v>0</v>
      </c>
      <c r="L528" s="189"/>
      <c r="M528" s="189"/>
      <c r="N528" s="189"/>
      <c r="O528" s="189"/>
      <c r="P528" s="189"/>
    </row>
    <row r="529" spans="1:16" ht="21.75" customHeight="1" x14ac:dyDescent="0.35">
      <c r="A529" s="183"/>
      <c r="B529" s="184"/>
      <c r="C529" s="184"/>
      <c r="D529" s="201"/>
      <c r="E529" s="203"/>
      <c r="F529" s="203"/>
      <c r="G529" s="233" t="s">
        <v>197</v>
      </c>
      <c r="H529" s="428" t="s">
        <v>122</v>
      </c>
      <c r="I529" s="195">
        <f ca="1">IFERROR(__xludf.DUMMYFUNCTION("IMPORTRANGE(""https://docs.google.com/spreadsheets/d/1IYY_tgx_IHuhSq3AJ5eI5OnqOPBNLWSHKh2a30DoXe8/edit?usp=sharing"",""สตูล!I424"")"),0)</f>
        <v>0</v>
      </c>
      <c r="J529" s="205">
        <f ca="1">IFERROR(__xludf.DUMMYFUNCTION("IMPORTRANGE(""https://docs.google.com/spreadsheets/d/1IYY_tgx_IHuhSq3AJ5eI5OnqOPBNLWSHKh2a30DoXe8/edit?usp=sharing"",""สตูล!J424"")"),0)</f>
        <v>0</v>
      </c>
      <c r="K529" s="169">
        <v>0</v>
      </c>
      <c r="L529" s="189"/>
      <c r="M529" s="189"/>
      <c r="N529" s="189"/>
      <c r="O529" s="189"/>
      <c r="P529" s="189"/>
    </row>
    <row r="530" spans="1:16" ht="21.75" customHeight="1" x14ac:dyDescent="0.35">
      <c r="A530" s="183"/>
      <c r="B530" s="184"/>
      <c r="C530" s="184"/>
      <c r="D530" s="201"/>
      <c r="E530" s="203"/>
      <c r="F530" s="203"/>
      <c r="G530" s="204"/>
      <c r="H530" s="428" t="s">
        <v>36</v>
      </c>
      <c r="I530" s="195">
        <f ca="1">IFERROR(__xludf.DUMMYFUNCTION("IMPORTRANGE(""https://docs.google.com/spreadsheets/d/1IYY_tgx_IHuhSq3AJ5eI5OnqOPBNLWSHKh2a30DoXe8/edit?usp=sharing"",""สตูล!I425"")"),0)</f>
        <v>0</v>
      </c>
      <c r="J530" s="205">
        <f ca="1">IFERROR(__xludf.DUMMYFUNCTION("IMPORTRANGE(""https://docs.google.com/spreadsheets/d/1IYY_tgx_IHuhSq3AJ5eI5OnqOPBNLWSHKh2a30DoXe8/edit?usp=sharing"",""สตูล!J425"")"),0)</f>
        <v>0</v>
      </c>
      <c r="K530" s="169">
        <v>0</v>
      </c>
      <c r="L530" s="189"/>
      <c r="M530" s="189"/>
      <c r="N530" s="189"/>
      <c r="O530" s="189"/>
      <c r="P530" s="189"/>
    </row>
    <row r="531" spans="1:16" ht="21.75" customHeight="1" x14ac:dyDescent="0.35">
      <c r="A531" s="183"/>
      <c r="B531" s="184"/>
      <c r="C531" s="184"/>
      <c r="D531" s="201"/>
      <c r="E531" s="203"/>
      <c r="F531" s="203"/>
      <c r="G531" s="233" t="s">
        <v>201</v>
      </c>
      <c r="H531" s="428" t="s">
        <v>122</v>
      </c>
      <c r="I531" s="195">
        <f ca="1">IFERROR(__xludf.DUMMYFUNCTION("IMPORTRANGE(""https://docs.google.com/spreadsheets/d/1IYY_tgx_IHuhSq3AJ5eI5OnqOPBNLWSHKh2a30DoXe8/edit?usp=sharing"",""สตูล!I426"")"),0)</f>
        <v>0</v>
      </c>
      <c r="J531" s="205">
        <f ca="1">IFERROR(__xludf.DUMMYFUNCTION("IMPORTRANGE(""https://docs.google.com/spreadsheets/d/1IYY_tgx_IHuhSq3AJ5eI5OnqOPBNLWSHKh2a30DoXe8/edit?usp=sharing"",""สตูล!J426"")"),0)</f>
        <v>0</v>
      </c>
      <c r="K531" s="169">
        <v>0</v>
      </c>
      <c r="L531" s="189"/>
      <c r="M531" s="189"/>
      <c r="N531" s="189"/>
      <c r="O531" s="189"/>
      <c r="P531" s="189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IFERROR(__xludf.DUMMYFUNCTION("IMPORTRANGE(""https://docs.google.com/spreadsheets/d/1IYY_tgx_IHuhSq3AJ5eI5OnqOPBNLWSHKh2a30DoXe8/edit?usp=sharing"",""สตูล!I427"")"),0)</f>
        <v>0</v>
      </c>
      <c r="J532" s="472">
        <f ca="1">IFERROR(__xludf.DUMMYFUNCTION("IMPORTRANGE(""https://docs.google.com/spreadsheets/d/1IYY_tgx_IHuhSq3AJ5eI5OnqOPBNLWSHKh2a30DoXe8/edit?usp=sharing"",""สตูล!J427"")"),0)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IFERROR(__xludf.DUMMYFUNCTION("IMPORTRANGE(""https://docs.google.com/spreadsheets/d/1IYY_tgx_IHuhSq3AJ5eI5OnqOPBNLWSHKh2a30DoXe8/edit?usp=sharing"",""สตูล!I428"")"),20)</f>
        <v>20</v>
      </c>
      <c r="J533" s="416">
        <f ca="1">IFERROR(__xludf.DUMMYFUNCTION("IMPORTRANGE(""https://docs.google.com/spreadsheets/d/1IYY_tgx_IHuhSq3AJ5eI5OnqOPBNLWSHKh2a30DoXe8/edit?usp=sharing"",""สตูล!J428"")"),20)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IFERROR(__xludf.DUMMYFUNCTION("IMPORTRANGE(""https://docs.google.com/spreadsheets/d/1IYY_tgx_IHuhSq3AJ5eI5OnqOPBNLWSHKh2a30DoXe8/edit?usp=sharing"",""สตูล!L428"")"),32640)</f>
        <v>32640</v>
      </c>
      <c r="M533" s="418"/>
      <c r="N533" s="418">
        <f ca="1">IFERROR(__xludf.DUMMYFUNCTION("IMPORTRANGE(""https://docs.google.com/spreadsheets/d/1IYY_tgx_IHuhSq3AJ5eI5OnqOPBNLWSHKh2a30DoXe8/edit?usp=sharing"",""สตูล!M428"")"),23520)</f>
        <v>23520</v>
      </c>
      <c r="O533" s="418">
        <f t="shared" ref="O533:O537" ca="1" si="118">+IF(L533&gt;0,N533*100/L533,0)</f>
        <v>72.058823529411768</v>
      </c>
      <c r="P533" s="418"/>
    </row>
    <row r="534" spans="1:16" ht="21.75" customHeight="1" x14ac:dyDescent="0.35">
      <c r="A534" s="162"/>
      <c r="B534" s="163"/>
      <c r="C534" s="163" t="s">
        <v>16</v>
      </c>
      <c r="D534" s="164" t="s">
        <v>38</v>
      </c>
      <c r="E534" s="165"/>
      <c r="F534" s="165"/>
      <c r="G534" s="166" t="s">
        <v>39</v>
      </c>
      <c r="H534" s="167" t="s">
        <v>12</v>
      </c>
      <c r="I534" s="168" t="s">
        <v>40</v>
      </c>
      <c r="J534" s="168"/>
      <c r="K534" s="169"/>
      <c r="L534" s="170">
        <f ca="1">IFERROR(__xludf.DUMMYFUNCTION("IMPORTRANGE(""https://docs.google.com/spreadsheets/d/1IYY_tgx_IHuhSq3AJ5eI5OnqOPBNLWSHKh2a30DoXe8/edit?usp=sharing"",""สตูล!L429"")"),0)</f>
        <v>0</v>
      </c>
      <c r="M534" s="170"/>
      <c r="N534" s="176">
        <f ca="1">IFERROR(__xludf.DUMMYFUNCTION("IMPORTRANGE(""https://docs.google.com/spreadsheets/d/1IYY_tgx_IHuhSq3AJ5eI5OnqOPBNLWSHKh2a30DoXe8/edit?usp=sharing"",""สตูล!M429"")"),0)</f>
        <v>0</v>
      </c>
      <c r="O534" s="176">
        <f t="shared" ca="1" si="118"/>
        <v>0</v>
      </c>
      <c r="P534" s="176"/>
    </row>
    <row r="535" spans="1:16" ht="21.75" customHeight="1" x14ac:dyDescent="0.35">
      <c r="A535" s="162"/>
      <c r="B535" s="163"/>
      <c r="C535" s="163"/>
      <c r="D535" s="172"/>
      <c r="E535" s="165"/>
      <c r="F535" s="165" t="s">
        <v>40</v>
      </c>
      <c r="G535" s="166" t="s">
        <v>41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IFERROR(__xludf.DUMMYFUNCTION("IMPORTRANGE(""https://docs.google.com/spreadsheets/d/1IYY_tgx_IHuhSq3AJ5eI5OnqOPBNLWSHKh2a30DoXe8/edit?usp=sharing"",""สตูล!L430"")"),32640)</f>
        <v>32640</v>
      </c>
      <c r="M535" s="171"/>
      <c r="N535" s="176">
        <f ca="1">IFERROR(__xludf.DUMMYFUNCTION("IMPORTRANGE(""https://docs.google.com/spreadsheets/d/1IYY_tgx_IHuhSq3AJ5eI5OnqOPBNLWSHKh2a30DoXe8/edit?usp=sharing"",""สตูล!M430"")"),23520)</f>
        <v>23520</v>
      </c>
      <c r="O535" s="176">
        <f t="shared" ca="1" si="118"/>
        <v>72.058823529411768</v>
      </c>
      <c r="P535" s="176"/>
    </row>
    <row r="536" spans="1:16" ht="21.75" customHeight="1" x14ac:dyDescent="0.35">
      <c r="A536" s="162"/>
      <c r="B536" s="163"/>
      <c r="C536" s="163"/>
      <c r="D536" s="172"/>
      <c r="E536" s="165"/>
      <c r="F536" s="165"/>
      <c r="G536" s="380" t="s">
        <v>129</v>
      </c>
      <c r="H536" s="167" t="s">
        <v>12</v>
      </c>
      <c r="I536" s="168"/>
      <c r="J536" s="168"/>
      <c r="K536" s="169"/>
      <c r="L536" s="176">
        <f ca="1">IFERROR(__xludf.DUMMYFUNCTION("IMPORTRANGE(""https://docs.google.com/spreadsheets/d/1IYY_tgx_IHuhSq3AJ5eI5OnqOPBNLWSHKh2a30DoXe8/edit?usp=sharing"",""สตูล!L431"")"),0)</f>
        <v>0</v>
      </c>
      <c r="M536" s="176"/>
      <c r="N536" s="176">
        <f ca="1">IFERROR(__xludf.DUMMYFUNCTION("IMPORTRANGE(""https://docs.google.com/spreadsheets/d/1IYY_tgx_IHuhSq3AJ5eI5OnqOPBNLWSHKh2a30DoXe8/edit?usp=sharing"",""สตูล!M431"")"),0)</f>
        <v>0</v>
      </c>
      <c r="O536" s="176">
        <f t="shared" ca="1" si="118"/>
        <v>0</v>
      </c>
      <c r="P536" s="176"/>
    </row>
    <row r="537" spans="1:16" ht="21.75" customHeight="1" x14ac:dyDescent="0.35">
      <c r="A537" s="162"/>
      <c r="B537" s="163"/>
      <c r="C537" s="163"/>
      <c r="D537" s="172"/>
      <c r="E537" s="165"/>
      <c r="F537" s="165"/>
      <c r="G537" s="380" t="s">
        <v>130</v>
      </c>
      <c r="H537" s="167" t="s">
        <v>12</v>
      </c>
      <c r="I537" s="168"/>
      <c r="J537" s="168"/>
      <c r="K537" s="169"/>
      <c r="L537" s="176">
        <f ca="1">IFERROR(__xludf.DUMMYFUNCTION("IMPORTRANGE(""https://docs.google.com/spreadsheets/d/1IYY_tgx_IHuhSq3AJ5eI5OnqOPBNLWSHKh2a30DoXe8/edit?usp=sharing"",""สตูล!L432"")"),32640)</f>
        <v>32640</v>
      </c>
      <c r="M537" s="176"/>
      <c r="N537" s="176">
        <f ca="1">IFERROR(__xludf.DUMMYFUNCTION("IMPORTRANGE(""https://docs.google.com/spreadsheets/d/1IYY_tgx_IHuhSq3AJ5eI5OnqOPBNLWSHKh2a30DoXe8/edit?usp=sharing"",""สตูล!M432"")"),23520)</f>
        <v>23520</v>
      </c>
      <c r="O537" s="176">
        <f t="shared" ca="1" si="118"/>
        <v>72.058823529411768</v>
      </c>
      <c r="P537" s="176"/>
    </row>
    <row r="538" spans="1:16" ht="21.75" customHeight="1" x14ac:dyDescent="0.35">
      <c r="A538" s="381"/>
      <c r="B538" s="382"/>
      <c r="C538" s="163"/>
      <c r="D538" s="383"/>
      <c r="E538" s="165"/>
      <c r="F538" s="165"/>
      <c r="G538" s="384" t="s">
        <v>131</v>
      </c>
      <c r="H538" s="167" t="s">
        <v>12</v>
      </c>
      <c r="I538" s="195"/>
      <c r="J538" s="195"/>
      <c r="K538" s="231"/>
      <c r="L538" s="176"/>
      <c r="M538" s="176"/>
      <c r="N538" s="385">
        <f ca="1">IFERROR(__xludf.DUMMYFUNCTION("IMPORTRANGE(""https://docs.google.com/spreadsheets/d/1IYY_tgx_IHuhSq3AJ5eI5OnqOPBNLWSHKh2a30DoXe8/edit?usp=sharing"",""สตูล!M433"")"),17040)</f>
        <v>17040</v>
      </c>
      <c r="O538" s="176"/>
      <c r="P538" s="176"/>
    </row>
    <row r="539" spans="1:16" ht="21.75" customHeight="1" x14ac:dyDescent="0.35">
      <c r="A539" s="381"/>
      <c r="B539" s="382"/>
      <c r="C539" s="163"/>
      <c r="D539" s="383"/>
      <c r="E539" s="165"/>
      <c r="F539" s="165"/>
      <c r="G539" s="384" t="s">
        <v>132</v>
      </c>
      <c r="H539" s="167" t="s">
        <v>12</v>
      </c>
      <c r="I539" s="195"/>
      <c r="J539" s="195"/>
      <c r="K539" s="231"/>
      <c r="L539" s="176"/>
      <c r="M539" s="176"/>
      <c r="N539" s="385">
        <f ca="1">IFERROR(__xludf.DUMMYFUNCTION("IMPORTRANGE(""https://docs.google.com/spreadsheets/d/1IYY_tgx_IHuhSq3AJ5eI5OnqOPBNLWSHKh2a30DoXe8/edit?usp=sharing"",""สตูล!M434"")"),0)</f>
        <v>0</v>
      </c>
      <c r="O539" s="176"/>
      <c r="P539" s="176"/>
    </row>
    <row r="540" spans="1:16" ht="21.75" customHeight="1" x14ac:dyDescent="0.35">
      <c r="A540" s="381"/>
      <c r="B540" s="382"/>
      <c r="C540" s="163"/>
      <c r="D540" s="383"/>
      <c r="E540" s="165"/>
      <c r="F540" s="165"/>
      <c r="G540" s="384" t="s">
        <v>133</v>
      </c>
      <c r="H540" s="167" t="s">
        <v>12</v>
      </c>
      <c r="I540" s="195"/>
      <c r="J540" s="195"/>
      <c r="K540" s="231"/>
      <c r="L540" s="176"/>
      <c r="M540" s="176"/>
      <c r="N540" s="385">
        <f ca="1">IFERROR(__xludf.DUMMYFUNCTION("IMPORTRANGE(""https://docs.google.com/spreadsheets/d/1IYY_tgx_IHuhSq3AJ5eI5OnqOPBNLWSHKh2a30DoXe8/edit?usp=sharing"",""สตูล!M435"")"),0)</f>
        <v>0</v>
      </c>
      <c r="O540" s="176"/>
      <c r="P540" s="176"/>
    </row>
    <row r="541" spans="1:16" ht="21.75" customHeight="1" x14ac:dyDescent="0.35">
      <c r="A541" s="381"/>
      <c r="B541" s="382"/>
      <c r="C541" s="163"/>
      <c r="D541" s="383"/>
      <c r="E541" s="165"/>
      <c r="F541" s="165"/>
      <c r="G541" s="384" t="s">
        <v>134</v>
      </c>
      <c r="H541" s="167" t="s">
        <v>12</v>
      </c>
      <c r="I541" s="195"/>
      <c r="J541" s="195"/>
      <c r="K541" s="231"/>
      <c r="L541" s="176"/>
      <c r="M541" s="176"/>
      <c r="N541" s="385">
        <f ca="1">IFERROR(__xludf.DUMMYFUNCTION("IMPORTRANGE(""https://docs.google.com/spreadsheets/d/1IYY_tgx_IHuhSq3AJ5eI5OnqOPBNLWSHKh2a30DoXe8/edit?usp=sharing"",""สตูล!M436"")"),6480)</f>
        <v>6480</v>
      </c>
      <c r="O541" s="176"/>
      <c r="P541" s="176"/>
    </row>
    <row r="542" spans="1:16" ht="21.75" customHeight="1" x14ac:dyDescent="0.35">
      <c r="A542" s="183"/>
      <c r="B542" s="184"/>
      <c r="C542" s="163" t="s">
        <v>16</v>
      </c>
      <c r="D542" s="185" t="s">
        <v>44</v>
      </c>
      <c r="E542" s="186"/>
      <c r="F542" s="186"/>
      <c r="G542" s="187"/>
      <c r="H542" s="188"/>
      <c r="I542" s="168"/>
      <c r="J542" s="168"/>
      <c r="K542" s="169"/>
      <c r="L542" s="189"/>
      <c r="M542" s="189"/>
      <c r="N542" s="189"/>
      <c r="O542" s="189"/>
      <c r="P542" s="189"/>
    </row>
    <row r="543" spans="1:16" ht="21.75" customHeight="1" x14ac:dyDescent="0.35">
      <c r="A543" s="183"/>
      <c r="B543" s="184"/>
      <c r="C543" s="184"/>
      <c r="D543" s="190">
        <v>1</v>
      </c>
      <c r="E543" s="191" t="s">
        <v>45</v>
      </c>
      <c r="F543" s="192"/>
      <c r="G543" s="193"/>
      <c r="H543" s="194"/>
      <c r="I543" s="195"/>
      <c r="J543" s="205">
        <f ca="1">IFERROR(__xludf.DUMMYFUNCTION("IMPORTRANGE(""https://docs.google.com/spreadsheets/d/1IYY_tgx_IHuhSq3AJ5eI5OnqOPBNLWSHKh2a30DoXe8/edit?usp=sharing"",""สตูล!J438"")"),0)</f>
        <v>0</v>
      </c>
      <c r="K543" s="169"/>
      <c r="L543" s="189"/>
      <c r="M543" s="189"/>
      <c r="N543" s="189"/>
      <c r="O543" s="189"/>
      <c r="P543" s="189"/>
    </row>
    <row r="544" spans="1:16" ht="21.75" customHeight="1" x14ac:dyDescent="0.35">
      <c r="A544" s="183"/>
      <c r="B544" s="184"/>
      <c r="C544" s="184"/>
      <c r="D544" s="197">
        <v>2</v>
      </c>
      <c r="E544" s="198" t="s">
        <v>46</v>
      </c>
      <c r="F544" s="199"/>
      <c r="G544" s="200"/>
      <c r="H544" s="194"/>
      <c r="I544" s="195"/>
      <c r="J544" s="196">
        <f ca="1">IFERROR(__xludf.DUMMYFUNCTION("IMPORTRANGE(""https://docs.google.com/spreadsheets/d/1IYY_tgx_IHuhSq3AJ5eI5OnqOPBNLWSHKh2a30DoXe8/edit?usp=sharing"",""สตูล!J439"")"),1)</f>
        <v>1</v>
      </c>
      <c r="K544" s="169"/>
      <c r="L544" s="189" t="s">
        <v>40</v>
      </c>
      <c r="M544" s="189"/>
      <c r="N544" s="189" t="s">
        <v>40</v>
      </c>
      <c r="O544" s="189"/>
      <c r="P544" s="189"/>
    </row>
    <row r="545" spans="1:16" ht="21.75" customHeight="1" x14ac:dyDescent="0.35">
      <c r="A545" s="183"/>
      <c r="B545" s="184"/>
      <c r="C545" s="184"/>
      <c r="D545" s="201"/>
      <c r="E545" s="202" t="s">
        <v>47</v>
      </c>
      <c r="F545" s="203"/>
      <c r="G545" s="204"/>
      <c r="H545" s="194"/>
      <c r="I545" s="195"/>
      <c r="J545" s="196">
        <f ca="1">IFERROR(__xludf.DUMMYFUNCTION("IMPORTRANGE(""https://docs.google.com/spreadsheets/d/1IYY_tgx_IHuhSq3AJ5eI5OnqOPBNLWSHKh2a30DoXe8/edit?usp=sharing"",""สตูล!J440"")"),1)</f>
        <v>1</v>
      </c>
      <c r="K545" s="169"/>
      <c r="L545" s="189"/>
      <c r="M545" s="189"/>
      <c r="N545" s="189"/>
      <c r="O545" s="189"/>
      <c r="P545" s="189"/>
    </row>
    <row r="546" spans="1:16" ht="21.75" customHeight="1" x14ac:dyDescent="0.35">
      <c r="A546" s="183"/>
      <c r="B546" s="184"/>
      <c r="C546" s="184"/>
      <c r="D546" s="201"/>
      <c r="E546" s="202" t="s">
        <v>48</v>
      </c>
      <c r="F546" s="203"/>
      <c r="G546" s="204"/>
      <c r="H546" s="194"/>
      <c r="I546" s="195"/>
      <c r="J546" s="205">
        <f ca="1">IFERROR(__xludf.DUMMYFUNCTION("IMPORTRANGE(""https://docs.google.com/spreadsheets/d/1IYY_tgx_IHuhSq3AJ5eI5OnqOPBNLWSHKh2a30DoXe8/edit?usp=sharing"",""สตูล!J441"")"),1)</f>
        <v>1</v>
      </c>
      <c r="K546" s="169"/>
      <c r="L546" s="189"/>
      <c r="M546" s="189"/>
      <c r="N546" s="189"/>
      <c r="O546" s="189"/>
      <c r="P546" s="189"/>
    </row>
    <row r="547" spans="1:16" ht="21.75" customHeight="1" x14ac:dyDescent="0.35">
      <c r="A547" s="183"/>
      <c r="B547" s="184"/>
      <c r="C547" s="184"/>
      <c r="D547" s="201"/>
      <c r="E547" s="206"/>
      <c r="F547" s="203"/>
      <c r="G547" s="233" t="s">
        <v>203</v>
      </c>
      <c r="H547" s="194" t="s">
        <v>37</v>
      </c>
      <c r="I547" s="211">
        <f ca="1">IFERROR(__xludf.DUMMYFUNCTION("IMPORTRANGE(""https://docs.google.com/spreadsheets/d/1IYY_tgx_IHuhSq3AJ5eI5OnqOPBNLWSHKh2a30DoXe8/edit?usp=sharing"",""สตูล!I442"")"),20)</f>
        <v>20</v>
      </c>
      <c r="J547" s="196">
        <f ca="1">IFERROR(__xludf.DUMMYFUNCTION("IMPORTRANGE(""https://docs.google.com/spreadsheets/d/1IYY_tgx_IHuhSq3AJ5eI5OnqOPBNLWSHKh2a30DoXe8/edit?usp=sharing"",""สตูล!J442"")"),20)</f>
        <v>20</v>
      </c>
      <c r="K547" s="169">
        <f t="shared" ref="K547:K548" ca="1" si="119">IF(I547&gt;0,J547*100/I547,0)</f>
        <v>100</v>
      </c>
      <c r="L547" s="189"/>
      <c r="M547" s="189"/>
      <c r="N547" s="189"/>
      <c r="O547" s="189"/>
      <c r="P547" s="189"/>
    </row>
    <row r="548" spans="1:16" ht="21.75" hidden="1" customHeight="1" x14ac:dyDescent="0.35">
      <c r="A548" s="183"/>
      <c r="B548" s="184"/>
      <c r="C548" s="184"/>
      <c r="D548" s="201"/>
      <c r="E548" s="206"/>
      <c r="F548" s="203"/>
      <c r="G548" s="233" t="s">
        <v>204</v>
      </c>
      <c r="H548" s="194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5">
        <f ca="1">IFERROR(__xludf.DUMMYFUNCTION("IMPORTRANGE(""https://docs.google.com/spreadsheets/d/1IYY_tgx_IHuhSq3AJ5eI5OnqOPBNLWSHKh2a30DoXe8/edit?usp=sharing"",""สตูล!J166"")"),0)</f>
        <v>0</v>
      </c>
      <c r="K548" s="169">
        <f t="shared" ca="1" si="119"/>
        <v>0</v>
      </c>
      <c r="L548" s="189"/>
      <c r="M548" s="189"/>
      <c r="N548" s="189"/>
      <c r="O548" s="189"/>
      <c r="P548" s="189"/>
    </row>
    <row r="549" spans="1:16" ht="21.75" customHeight="1" x14ac:dyDescent="0.35">
      <c r="A549" s="183"/>
      <c r="B549" s="184"/>
      <c r="C549" s="184"/>
      <c r="D549" s="201"/>
      <c r="E549" s="202" t="s">
        <v>54</v>
      </c>
      <c r="F549" s="203"/>
      <c r="G549" s="204"/>
      <c r="H549" s="194"/>
      <c r="I549" s="195"/>
      <c r="J549" s="205">
        <f ca="1">IFERROR(__xludf.DUMMYFUNCTION("IMPORTRANGE(""https://docs.google.com/spreadsheets/d/1IYY_tgx_IHuhSq3AJ5eI5OnqOPBNLWSHKh2a30DoXe8/edit?usp=sharing"",""สตูล!J444"")"),0)</f>
        <v>0</v>
      </c>
      <c r="K549" s="169"/>
      <c r="L549" s="189"/>
      <c r="M549" s="189"/>
      <c r="N549" s="189"/>
      <c r="O549" s="189"/>
      <c r="P549" s="189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IFERROR(__xludf.DUMMYFUNCTION("IMPORTRANGE(""https://docs.google.com/spreadsheets/d/1IYY_tgx_IHuhSq3AJ5eI5OnqOPBNLWSHKh2a30DoXe8/edit?usp=sharing"",""สตูล!J445"")"),0)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IFERROR(__xludf.DUMMYFUNCTION("IMPORTRANGE(""https://docs.google.com/spreadsheets/d/1IYY_tgx_IHuhSq3AJ5eI5OnqOPBNLWSHKh2a30DoXe8/edit?usp=sharing"",""สตูล!I446"")"),0)</f>
        <v>0</v>
      </c>
      <c r="J551" s="416">
        <f ca="1">IFERROR(__xludf.DUMMYFUNCTION("IMPORTRANGE(""https://docs.google.com/spreadsheets/d/1IYY_tgx_IHuhSq3AJ5eI5OnqOPBNLWSHKh2a30DoXe8/edit?usp=sharing"",""สตูล!J446"")"),0)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IFERROR(__xludf.DUMMYFUNCTION("IMPORTRANGE(""https://docs.google.com/spreadsheets/d/1IYY_tgx_IHuhSq3AJ5eI5OnqOPBNLWSHKh2a30DoXe8/edit?usp=sharing"",""สตูล!L446"")"),0)</f>
        <v>0</v>
      </c>
      <c r="M551" s="418"/>
      <c r="N551" s="418">
        <f ca="1">IFERROR(__xludf.DUMMYFUNCTION("IMPORTRANGE(""https://docs.google.com/spreadsheets/d/1IYY_tgx_IHuhSq3AJ5eI5OnqOPBNLWSHKh2a30DoXe8/edit?usp=sharing"",""สตูล!M446"")"),0)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164" t="s">
        <v>38</v>
      </c>
      <c r="E552" s="165"/>
      <c r="F552" s="165"/>
      <c r="G552" s="166" t="s">
        <v>39</v>
      </c>
      <c r="H552" s="167" t="s">
        <v>12</v>
      </c>
      <c r="I552" s="168" t="s">
        <v>40</v>
      </c>
      <c r="J552" s="168"/>
      <c r="K552" s="169"/>
      <c r="L552" s="170">
        <f ca="1">IFERROR(__xludf.DUMMYFUNCTION("IMPORTRANGE(""https://docs.google.com/spreadsheets/d/1IYY_tgx_IHuhSq3AJ5eI5OnqOPBNLWSHKh2a30DoXe8/edit?usp=sharing"",""สตูล!L447"")"),0)</f>
        <v>0</v>
      </c>
      <c r="M552" s="170"/>
      <c r="N552" s="176">
        <f ca="1">IFERROR(__xludf.DUMMYFUNCTION("IMPORTRANGE(""https://docs.google.com/spreadsheets/d/1IYY_tgx_IHuhSq3AJ5eI5OnqOPBNLWSHKh2a30DoXe8/edit?usp=sharing"",""สตูล!M447"")"),0)</f>
        <v>0</v>
      </c>
      <c r="O552" s="176">
        <f t="shared" ca="1" si="120"/>
        <v>0</v>
      </c>
      <c r="P552" s="176"/>
    </row>
    <row r="553" spans="1:16" ht="21.75" customHeight="1" x14ac:dyDescent="0.35">
      <c r="A553" s="162"/>
      <c r="B553" s="163"/>
      <c r="C553" s="163"/>
      <c r="D553" s="172"/>
      <c r="E553" s="165"/>
      <c r="F553" s="165" t="s">
        <v>40</v>
      </c>
      <c r="G553" s="166" t="s">
        <v>41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IFERROR(__xludf.DUMMYFUNCTION("IMPORTRANGE(""https://docs.google.com/spreadsheets/d/1IYY_tgx_IHuhSq3AJ5eI5OnqOPBNLWSHKh2a30DoXe8/edit?usp=sharing"",""สตูล!L448"")"),0)</f>
        <v>0</v>
      </c>
      <c r="M553" s="171"/>
      <c r="N553" s="176">
        <f ca="1">IFERROR(__xludf.DUMMYFUNCTION("IMPORTRANGE(""https://docs.google.com/spreadsheets/d/1IYY_tgx_IHuhSq3AJ5eI5OnqOPBNLWSHKh2a30DoXe8/edit?usp=sharing"",""สตูล!M448"")"),0)</f>
        <v>0</v>
      </c>
      <c r="O553" s="176">
        <f t="shared" ca="1" si="120"/>
        <v>0</v>
      </c>
      <c r="P553" s="176"/>
    </row>
    <row r="554" spans="1:16" ht="21.75" customHeight="1" x14ac:dyDescent="0.35">
      <c r="A554" s="162"/>
      <c r="B554" s="163"/>
      <c r="C554" s="163"/>
      <c r="D554" s="172"/>
      <c r="E554" s="165"/>
      <c r="F554" s="165"/>
      <c r="G554" s="380" t="s">
        <v>129</v>
      </c>
      <c r="H554" s="167" t="s">
        <v>12</v>
      </c>
      <c r="I554" s="168"/>
      <c r="J554" s="168"/>
      <c r="K554" s="169"/>
      <c r="L554" s="176">
        <f ca="1">IFERROR(__xludf.DUMMYFUNCTION("IMPORTRANGE(""https://docs.google.com/spreadsheets/d/1IYY_tgx_IHuhSq3AJ5eI5OnqOPBNLWSHKh2a30DoXe8/edit?usp=sharing"",""สตูล!L449"")"),0)</f>
        <v>0</v>
      </c>
      <c r="M554" s="176"/>
      <c r="N554" s="176">
        <f ca="1">IFERROR(__xludf.DUMMYFUNCTION("IMPORTRANGE(""https://docs.google.com/spreadsheets/d/1IYY_tgx_IHuhSq3AJ5eI5OnqOPBNLWSHKh2a30DoXe8/edit?usp=sharing"",""สตูล!M449"")"),0)</f>
        <v>0</v>
      </c>
      <c r="O554" s="176">
        <f t="shared" ca="1" si="120"/>
        <v>0</v>
      </c>
      <c r="P554" s="176"/>
    </row>
    <row r="555" spans="1:16" ht="21.75" customHeight="1" x14ac:dyDescent="0.35">
      <c r="A555" s="162"/>
      <c r="B555" s="163"/>
      <c r="C555" s="163"/>
      <c r="D555" s="172"/>
      <c r="E555" s="165"/>
      <c r="F555" s="165"/>
      <c r="G555" s="380" t="s">
        <v>130</v>
      </c>
      <c r="H555" s="167" t="s">
        <v>12</v>
      </c>
      <c r="I555" s="168"/>
      <c r="J555" s="168"/>
      <c r="K555" s="169"/>
      <c r="L555" s="176">
        <f ca="1">IFERROR(__xludf.DUMMYFUNCTION("IMPORTRANGE(""https://docs.google.com/spreadsheets/d/1IYY_tgx_IHuhSq3AJ5eI5OnqOPBNLWSHKh2a30DoXe8/edit?usp=sharing"",""สตูล!L450"")"),0)</f>
        <v>0</v>
      </c>
      <c r="M555" s="176"/>
      <c r="N555" s="176">
        <f ca="1">IFERROR(__xludf.DUMMYFUNCTION("IMPORTRANGE(""https://docs.google.com/spreadsheets/d/1IYY_tgx_IHuhSq3AJ5eI5OnqOPBNLWSHKh2a30DoXe8/edit?usp=sharing"",""สตูล!M450"")"),0)</f>
        <v>0</v>
      </c>
      <c r="O555" s="176">
        <f t="shared" ca="1" si="120"/>
        <v>0</v>
      </c>
      <c r="P555" s="176"/>
    </row>
    <row r="556" spans="1:16" ht="21.75" customHeight="1" x14ac:dyDescent="0.35">
      <c r="A556" s="381"/>
      <c r="B556" s="382"/>
      <c r="C556" s="163"/>
      <c r="D556" s="383"/>
      <c r="E556" s="165"/>
      <c r="F556" s="165"/>
      <c r="G556" s="384" t="s">
        <v>131</v>
      </c>
      <c r="H556" s="167" t="s">
        <v>12</v>
      </c>
      <c r="I556" s="195"/>
      <c r="J556" s="195"/>
      <c r="K556" s="231"/>
      <c r="L556" s="176"/>
      <c r="M556" s="176"/>
      <c r="N556" s="173">
        <f ca="1">IFERROR(__xludf.DUMMYFUNCTION("IMPORTRANGE(""https://docs.google.com/spreadsheets/d/1IYY_tgx_IHuhSq3AJ5eI5OnqOPBNLWSHKh2a30DoXe8/edit?usp=sharing"",""สตูล!M451"")"),0)</f>
        <v>0</v>
      </c>
      <c r="O556" s="176"/>
      <c r="P556" s="176"/>
    </row>
    <row r="557" spans="1:16" ht="21.75" customHeight="1" x14ac:dyDescent="0.35">
      <c r="A557" s="381"/>
      <c r="B557" s="382"/>
      <c r="C557" s="163"/>
      <c r="D557" s="383"/>
      <c r="E557" s="165"/>
      <c r="F557" s="165"/>
      <c r="G557" s="384" t="s">
        <v>132</v>
      </c>
      <c r="H557" s="167" t="s">
        <v>12</v>
      </c>
      <c r="I557" s="195"/>
      <c r="J557" s="195"/>
      <c r="K557" s="231"/>
      <c r="L557" s="176"/>
      <c r="M557" s="176"/>
      <c r="N557" s="173">
        <f ca="1">IFERROR(__xludf.DUMMYFUNCTION("IMPORTRANGE(""https://docs.google.com/spreadsheets/d/1IYY_tgx_IHuhSq3AJ5eI5OnqOPBNLWSHKh2a30DoXe8/edit?usp=sharing"",""สตูล!M452"")"),0)</f>
        <v>0</v>
      </c>
      <c r="O557" s="176"/>
      <c r="P557" s="176"/>
    </row>
    <row r="558" spans="1:16" ht="21.75" customHeight="1" x14ac:dyDescent="0.35">
      <c r="A558" s="381"/>
      <c r="B558" s="382"/>
      <c r="C558" s="163"/>
      <c r="D558" s="383"/>
      <c r="E558" s="165"/>
      <c r="F558" s="165"/>
      <c r="G558" s="384" t="s">
        <v>133</v>
      </c>
      <c r="H558" s="167" t="s">
        <v>12</v>
      </c>
      <c r="I558" s="195"/>
      <c r="J558" s="195"/>
      <c r="K558" s="231"/>
      <c r="L558" s="176"/>
      <c r="M558" s="176"/>
      <c r="N558" s="173">
        <f ca="1">IFERROR(__xludf.DUMMYFUNCTION("IMPORTRANGE(""https://docs.google.com/spreadsheets/d/1IYY_tgx_IHuhSq3AJ5eI5OnqOPBNLWSHKh2a30DoXe8/edit?usp=sharing"",""สตูล!M453"")"),0)</f>
        <v>0</v>
      </c>
      <c r="O558" s="176"/>
      <c r="P558" s="176"/>
    </row>
    <row r="559" spans="1:16" ht="21.75" customHeight="1" x14ac:dyDescent="0.35">
      <c r="A559" s="381"/>
      <c r="B559" s="382"/>
      <c r="C559" s="163"/>
      <c r="D559" s="383"/>
      <c r="E559" s="165"/>
      <c r="F559" s="165"/>
      <c r="G559" s="384" t="s">
        <v>134</v>
      </c>
      <c r="H559" s="167" t="s">
        <v>12</v>
      </c>
      <c r="I559" s="195"/>
      <c r="J559" s="195"/>
      <c r="K559" s="231"/>
      <c r="L559" s="176"/>
      <c r="M559" s="176"/>
      <c r="N559" s="173">
        <f ca="1">IFERROR(__xludf.DUMMYFUNCTION("IMPORTRANGE(""https://docs.google.com/spreadsheets/d/1IYY_tgx_IHuhSq3AJ5eI5OnqOPBNLWSHKh2a30DoXe8/edit?usp=sharing"",""สตูล!M454"")"),0)</f>
        <v>0</v>
      </c>
      <c r="O559" s="176"/>
      <c r="P559" s="176"/>
    </row>
    <row r="560" spans="1:16" ht="21.75" customHeight="1" x14ac:dyDescent="0.35">
      <c r="A560" s="183"/>
      <c r="B560" s="184"/>
      <c r="C560" s="184"/>
      <c r="D560" s="201"/>
      <c r="E560" s="203"/>
      <c r="F560" s="285" t="s">
        <v>206</v>
      </c>
      <c r="G560" s="204"/>
      <c r="H560" s="481" t="s">
        <v>122</v>
      </c>
      <c r="I560" s="168">
        <f ca="1">IFERROR(__xludf.DUMMYFUNCTION("IMPORTRANGE(""https://docs.google.com/spreadsheets/d/1IYY_tgx_IHuhSq3AJ5eI5OnqOPBNLWSHKh2a30DoXe8/edit?usp=sharing"",""สตูล!I455"")"),0)</f>
        <v>0</v>
      </c>
      <c r="J560" s="168">
        <f ca="1">IFERROR(__xludf.DUMMYFUNCTION("IMPORTRANGE(""https://docs.google.com/spreadsheets/d/1IYY_tgx_IHuhSq3AJ5eI5OnqOPBNLWSHKh2a30DoXe8/edit?usp=sharing"",""สตูล!J455"")"),0)</f>
        <v>0</v>
      </c>
      <c r="K560" s="231">
        <f t="shared" ref="K560:K564" ca="1" si="121">IF(I560&gt;0,J560*100/I560,0)</f>
        <v>0</v>
      </c>
      <c r="L560" s="176"/>
      <c r="M560" s="176"/>
      <c r="N560" s="176"/>
      <c r="O560" s="189"/>
      <c r="P560" s="189"/>
    </row>
    <row r="561" spans="1:16" ht="21.75" customHeight="1" x14ac:dyDescent="0.35">
      <c r="A561" s="183"/>
      <c r="B561" s="184"/>
      <c r="C561" s="184"/>
      <c r="D561" s="201"/>
      <c r="E561" s="203"/>
      <c r="F561" s="203"/>
      <c r="G561" s="204"/>
      <c r="H561" s="481" t="s">
        <v>36</v>
      </c>
      <c r="I561" s="168">
        <f ca="1">IFERROR(__xludf.DUMMYFUNCTION("IMPORTRANGE(""https://docs.google.com/spreadsheets/d/1IYY_tgx_IHuhSq3AJ5eI5OnqOPBNLWSHKh2a30DoXe8/edit?usp=sharing"",""สตูล!I456"")"),0)</f>
        <v>0</v>
      </c>
      <c r="J561" s="211">
        <f ca="1">IFERROR(__xludf.DUMMYFUNCTION("IMPORTRANGE(""https://docs.google.com/spreadsheets/d/1IYY_tgx_IHuhSq3AJ5eI5OnqOPBNLWSHKh2a30DoXe8/edit?usp=sharing"",""สตูล!J456"")"),0)</f>
        <v>0</v>
      </c>
      <c r="K561" s="231">
        <f t="shared" ca="1" si="121"/>
        <v>0</v>
      </c>
      <c r="L561" s="176"/>
      <c r="M561" s="176"/>
      <c r="N561" s="176"/>
      <c r="O561" s="189"/>
      <c r="P561" s="189"/>
    </row>
    <row r="562" spans="1:16" ht="21.75" customHeight="1" x14ac:dyDescent="0.35">
      <c r="A562" s="183"/>
      <c r="B562" s="184"/>
      <c r="C562" s="184"/>
      <c r="D562" s="201"/>
      <c r="E562" s="203"/>
      <c r="F562" s="203" t="s">
        <v>207</v>
      </c>
      <c r="G562" s="204"/>
      <c r="H562" s="481" t="s">
        <v>122</v>
      </c>
      <c r="I562" s="168">
        <f ca="1">IFERROR(__xludf.DUMMYFUNCTION("IMPORTRANGE(""https://docs.google.com/spreadsheets/d/1IYY_tgx_IHuhSq3AJ5eI5OnqOPBNLWSHKh2a30DoXe8/edit?usp=sharing"",""สตูล!I457"")"),0)</f>
        <v>0</v>
      </c>
      <c r="J562" s="211" t="str">
        <f ca="1">IFERROR(__xludf.DUMMYFUNCTION("IMPORTRANGE(""https://docs.google.com/spreadsheets/d/1IYY_tgx_IHuhSq3AJ5eI5OnqOPBNLWSHKh2a30DoXe8/edit?usp=sharing"",""สตูล!J457"")"),"")</f>
        <v/>
      </c>
      <c r="K562" s="169">
        <f t="shared" ca="1" si="121"/>
        <v>0</v>
      </c>
      <c r="L562" s="189"/>
      <c r="M562" s="189"/>
      <c r="N562" s="189"/>
      <c r="O562" s="189"/>
      <c r="P562" s="189"/>
    </row>
    <row r="563" spans="1:16" ht="21.75" customHeight="1" x14ac:dyDescent="0.35">
      <c r="A563" s="183"/>
      <c r="B563" s="184"/>
      <c r="C563" s="184"/>
      <c r="D563" s="201"/>
      <c r="E563" s="203"/>
      <c r="F563" s="203"/>
      <c r="G563" s="204"/>
      <c r="H563" s="481" t="s">
        <v>36</v>
      </c>
      <c r="I563" s="168">
        <f ca="1">IFERROR(__xludf.DUMMYFUNCTION("IMPORTRANGE(""https://docs.google.com/spreadsheets/d/1IYY_tgx_IHuhSq3AJ5eI5OnqOPBNLWSHKh2a30DoXe8/edit?usp=sharing"",""สตูล!I458"")"),0)</f>
        <v>0</v>
      </c>
      <c r="J563" s="195" t="str">
        <f ca="1">IFERROR(__xludf.DUMMYFUNCTION("IMPORTRANGE(""https://docs.google.com/spreadsheets/d/1IYY_tgx_IHuhSq3AJ5eI5OnqOPBNLWSHKh2a30DoXe8/edit?usp=sharing"",""สตูล!J458"")"),"")</f>
        <v/>
      </c>
      <c r="K563" s="169">
        <f t="shared" ca="1" si="121"/>
        <v>0</v>
      </c>
      <c r="L563" s="189"/>
      <c r="M563" s="189"/>
      <c r="N563" s="189"/>
      <c r="O563" s="189"/>
      <c r="P563" s="189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IFERROR(__xludf.DUMMYFUNCTION("IMPORTRANGE(""https://docs.google.com/spreadsheets/d/1IYY_tgx_IHuhSq3AJ5eI5OnqOPBNLWSHKh2a30DoXe8/edit?usp=sharing"",""สตูล!I459"")"),200)</f>
        <v>200</v>
      </c>
      <c r="J564" s="377">
        <f ca="1">IFERROR(__xludf.DUMMYFUNCTION("IMPORTRANGE(""https://docs.google.com/spreadsheets/d/1IYY_tgx_IHuhSq3AJ5eI5OnqOPBNLWSHKh2a30DoXe8/edit?usp=sharing"",""สตูล!J459"")"),100)</f>
        <v>100</v>
      </c>
      <c r="K564" s="378">
        <f t="shared" ca="1" si="121"/>
        <v>50</v>
      </c>
      <c r="L564" s="379">
        <f ca="1">IFERROR(__xludf.DUMMYFUNCTION("IMPORTRANGE(""https://docs.google.com/spreadsheets/d/1IYY_tgx_IHuhSq3AJ5eI5OnqOPBNLWSHKh2a30DoXe8/edit?usp=sharing"",""สตูล!L459"")"),124480)</f>
        <v>124480</v>
      </c>
      <c r="M564" s="379"/>
      <c r="N564" s="379">
        <f ca="1">IFERROR(__xludf.DUMMYFUNCTION("IMPORTRANGE(""https://docs.google.com/spreadsheets/d/1IYY_tgx_IHuhSq3AJ5eI5OnqOPBNLWSHKh2a30DoXe8/edit?usp=sharing"",""สตูล!M459"")"),14855)</f>
        <v>14855</v>
      </c>
      <c r="O564" s="379">
        <f t="shared" ref="O564:O568" ca="1" si="122">+IF(L564&gt;0,N564*100/L564,0)</f>
        <v>11.933643958868895</v>
      </c>
      <c r="P564" s="379"/>
    </row>
    <row r="565" spans="1:16" ht="21.75" customHeight="1" x14ac:dyDescent="0.35">
      <c r="A565" s="162"/>
      <c r="B565" s="163"/>
      <c r="C565" s="163" t="s">
        <v>16</v>
      </c>
      <c r="D565" s="164" t="s">
        <v>38</v>
      </c>
      <c r="E565" s="165"/>
      <c r="F565" s="165"/>
      <c r="G565" s="166" t="s">
        <v>39</v>
      </c>
      <c r="H565" s="167" t="s">
        <v>12</v>
      </c>
      <c r="I565" s="168" t="s">
        <v>40</v>
      </c>
      <c r="J565" s="168"/>
      <c r="K565" s="169"/>
      <c r="L565" s="170">
        <f ca="1">IFERROR(__xludf.DUMMYFUNCTION("IMPORTRANGE(""https://docs.google.com/spreadsheets/d/1IYY_tgx_IHuhSq3AJ5eI5OnqOPBNLWSHKh2a30DoXe8/edit?usp=sharing"",""สตูล!L460"")"),0)</f>
        <v>0</v>
      </c>
      <c r="M565" s="170"/>
      <c r="N565" s="176">
        <f ca="1">IFERROR(__xludf.DUMMYFUNCTION("IMPORTRANGE(""https://docs.google.com/spreadsheets/d/1IYY_tgx_IHuhSq3AJ5eI5OnqOPBNLWSHKh2a30DoXe8/edit?usp=sharing"",""สตูล!M460"")"),0)</f>
        <v>0</v>
      </c>
      <c r="O565" s="176">
        <f t="shared" ca="1" si="122"/>
        <v>0</v>
      </c>
      <c r="P565" s="176"/>
    </row>
    <row r="566" spans="1:16" ht="21.75" customHeight="1" x14ac:dyDescent="0.35">
      <c r="A566" s="162"/>
      <c r="B566" s="163"/>
      <c r="C566" s="163"/>
      <c r="D566" s="172"/>
      <c r="E566" s="165"/>
      <c r="F566" s="165" t="s">
        <v>40</v>
      </c>
      <c r="G566" s="166" t="s">
        <v>41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IFERROR(__xludf.DUMMYFUNCTION("IMPORTRANGE(""https://docs.google.com/spreadsheets/d/1IYY_tgx_IHuhSq3AJ5eI5OnqOPBNLWSHKh2a30DoXe8/edit?usp=sharing"",""สตูล!L461"")"),124480)</f>
        <v>124480</v>
      </c>
      <c r="M566" s="171"/>
      <c r="N566" s="176">
        <f ca="1">IFERROR(__xludf.DUMMYFUNCTION("IMPORTRANGE(""https://docs.google.com/spreadsheets/d/1IYY_tgx_IHuhSq3AJ5eI5OnqOPBNLWSHKh2a30DoXe8/edit?usp=sharing"",""สตูล!M461"")"),14855)</f>
        <v>14855</v>
      </c>
      <c r="O566" s="176">
        <f t="shared" ca="1" si="122"/>
        <v>11.933643958868895</v>
      </c>
      <c r="P566" s="176"/>
    </row>
    <row r="567" spans="1:16" ht="21.75" customHeight="1" x14ac:dyDescent="0.35">
      <c r="A567" s="162"/>
      <c r="B567" s="163"/>
      <c r="C567" s="163"/>
      <c r="D567" s="172"/>
      <c r="E567" s="165"/>
      <c r="F567" s="165"/>
      <c r="G567" s="380" t="s">
        <v>129</v>
      </c>
      <c r="H567" s="167" t="s">
        <v>12</v>
      </c>
      <c r="I567" s="168"/>
      <c r="J567" s="168"/>
      <c r="K567" s="169"/>
      <c r="L567" s="176">
        <f ca="1">IFERROR(__xludf.DUMMYFUNCTION("IMPORTRANGE(""https://docs.google.com/spreadsheets/d/1IYY_tgx_IHuhSq3AJ5eI5OnqOPBNLWSHKh2a30DoXe8/edit?usp=sharing"",""สตูล!L462"")"),0)</f>
        <v>0</v>
      </c>
      <c r="M567" s="176"/>
      <c r="N567" s="176">
        <f ca="1">IFERROR(__xludf.DUMMYFUNCTION("IMPORTRANGE(""https://docs.google.com/spreadsheets/d/1IYY_tgx_IHuhSq3AJ5eI5OnqOPBNLWSHKh2a30DoXe8/edit?usp=sharing"",""สตูล!M462"")"),0)</f>
        <v>0</v>
      </c>
      <c r="O567" s="176">
        <f t="shared" ca="1" si="122"/>
        <v>0</v>
      </c>
      <c r="P567" s="176"/>
    </row>
    <row r="568" spans="1:16" ht="21.75" customHeight="1" x14ac:dyDescent="0.35">
      <c r="A568" s="162"/>
      <c r="B568" s="163"/>
      <c r="C568" s="163"/>
      <c r="D568" s="172"/>
      <c r="E568" s="165"/>
      <c r="F568" s="165"/>
      <c r="G568" s="380" t="s">
        <v>130</v>
      </c>
      <c r="H568" s="167" t="s">
        <v>12</v>
      </c>
      <c r="I568" s="168"/>
      <c r="J568" s="168"/>
      <c r="K568" s="169"/>
      <c r="L568" s="176">
        <f ca="1">IFERROR(__xludf.DUMMYFUNCTION("IMPORTRANGE(""https://docs.google.com/spreadsheets/d/1IYY_tgx_IHuhSq3AJ5eI5OnqOPBNLWSHKh2a30DoXe8/edit?usp=sharing"",""สตูล!L463"")"),124480)</f>
        <v>124480</v>
      </c>
      <c r="M568" s="176"/>
      <c r="N568" s="176">
        <f ca="1">IFERROR(__xludf.DUMMYFUNCTION("IMPORTRANGE(""https://docs.google.com/spreadsheets/d/1IYY_tgx_IHuhSq3AJ5eI5OnqOPBNLWSHKh2a30DoXe8/edit?usp=sharing"",""สตูล!M463"")"),14855)</f>
        <v>14855</v>
      </c>
      <c r="O568" s="176">
        <f t="shared" ca="1" si="122"/>
        <v>11.933643958868895</v>
      </c>
      <c r="P568" s="176"/>
    </row>
    <row r="569" spans="1:16" ht="21.75" customHeight="1" x14ac:dyDescent="0.35">
      <c r="A569" s="381"/>
      <c r="B569" s="382"/>
      <c r="C569" s="163"/>
      <c r="D569" s="383"/>
      <c r="E569" s="165"/>
      <c r="F569" s="165"/>
      <c r="G569" s="384" t="s">
        <v>131</v>
      </c>
      <c r="H569" s="167" t="s">
        <v>12</v>
      </c>
      <c r="I569" s="195"/>
      <c r="J569" s="195"/>
      <c r="K569" s="231"/>
      <c r="L569" s="176"/>
      <c r="M569" s="176"/>
      <c r="N569" s="173">
        <f ca="1">IFERROR(__xludf.DUMMYFUNCTION("IMPORTRANGE(""https://docs.google.com/spreadsheets/d/1IYY_tgx_IHuhSq3AJ5eI5OnqOPBNLWSHKh2a30DoXe8/edit?usp=sharing"",""สตูล!M464"")"),0)</f>
        <v>0</v>
      </c>
      <c r="O569" s="176"/>
      <c r="P569" s="176"/>
    </row>
    <row r="570" spans="1:16" ht="21.75" customHeight="1" x14ac:dyDescent="0.35">
      <c r="A570" s="381"/>
      <c r="B570" s="382"/>
      <c r="C570" s="163"/>
      <c r="D570" s="383"/>
      <c r="E570" s="165"/>
      <c r="F570" s="165"/>
      <c r="G570" s="384" t="s">
        <v>132</v>
      </c>
      <c r="H570" s="167" t="s">
        <v>12</v>
      </c>
      <c r="I570" s="195"/>
      <c r="J570" s="195"/>
      <c r="K570" s="231"/>
      <c r="L570" s="176"/>
      <c r="M570" s="176"/>
      <c r="N570" s="173">
        <f ca="1">IFERROR(__xludf.DUMMYFUNCTION("IMPORTRANGE(""https://docs.google.com/spreadsheets/d/1IYY_tgx_IHuhSq3AJ5eI5OnqOPBNLWSHKh2a30DoXe8/edit?usp=sharing"",""สตูล!M465"")"),0)</f>
        <v>0</v>
      </c>
      <c r="O570" s="176"/>
      <c r="P570" s="176"/>
    </row>
    <row r="571" spans="1:16" ht="21.75" customHeight="1" x14ac:dyDescent="0.35">
      <c r="A571" s="381"/>
      <c r="B571" s="382"/>
      <c r="C571" s="163"/>
      <c r="D571" s="383"/>
      <c r="E571" s="165"/>
      <c r="F571" s="165"/>
      <c r="G571" s="384" t="s">
        <v>133</v>
      </c>
      <c r="H571" s="167" t="s">
        <v>12</v>
      </c>
      <c r="I571" s="195"/>
      <c r="J571" s="195"/>
      <c r="K571" s="231"/>
      <c r="L571" s="176"/>
      <c r="M571" s="176"/>
      <c r="N571" s="385">
        <f ca="1">IFERROR(__xludf.DUMMYFUNCTION("IMPORTRANGE(""https://docs.google.com/spreadsheets/d/1IYY_tgx_IHuhSq3AJ5eI5OnqOPBNLWSHKh2a30DoXe8/edit?usp=sharing"",""สตูล!M466"")"),0)</f>
        <v>0</v>
      </c>
      <c r="O571" s="176"/>
      <c r="P571" s="176"/>
    </row>
    <row r="572" spans="1:16" ht="21.75" customHeight="1" x14ac:dyDescent="0.35">
      <c r="A572" s="381"/>
      <c r="B572" s="382"/>
      <c r="C572" s="163"/>
      <c r="D572" s="383"/>
      <c r="E572" s="165"/>
      <c r="F572" s="165"/>
      <c r="G572" s="384" t="s">
        <v>134</v>
      </c>
      <c r="H572" s="167" t="s">
        <v>12</v>
      </c>
      <c r="I572" s="195"/>
      <c r="J572" s="195"/>
      <c r="K572" s="231"/>
      <c r="L572" s="176"/>
      <c r="M572" s="176"/>
      <c r="N572" s="385">
        <f ca="1">IFERROR(__xludf.DUMMYFUNCTION("IMPORTRANGE(""https://docs.google.com/spreadsheets/d/1IYY_tgx_IHuhSq3AJ5eI5OnqOPBNLWSHKh2a30DoXe8/edit?usp=sharing"",""สตูล!M467"")"),14855)</f>
        <v>14855</v>
      </c>
      <c r="O572" s="176"/>
      <c r="P572" s="176"/>
    </row>
    <row r="573" spans="1:16" ht="21.75" customHeight="1" x14ac:dyDescent="0.35">
      <c r="A573" s="183"/>
      <c r="B573" s="184"/>
      <c r="C573" s="184"/>
      <c r="D573" s="203"/>
      <c r="E573" s="202" t="s">
        <v>40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IFERROR(__xludf.DUMMYFUNCTION("IMPORTRANGE(""https://docs.google.com/spreadsheets/d/1IYY_tgx_IHuhSq3AJ5eI5OnqOPBNLWSHKh2a30DoXe8/edit?usp=sharing"",""สตูล!I468"")"),200)</f>
        <v>200</v>
      </c>
      <c r="J573" s="426">
        <f ca="1">IFERROR(__xludf.DUMMYFUNCTION("IMPORTRANGE(""https://docs.google.com/spreadsheets/d/1IYY_tgx_IHuhSq3AJ5eI5OnqOPBNLWSHKh2a30DoXe8/edit?usp=sharing"",""สตูล!J468"")"),100)</f>
        <v>100</v>
      </c>
      <c r="K573" s="209">
        <f ca="1">IF(I573&gt;0,J573*100/I573,0)</f>
        <v>50</v>
      </c>
      <c r="L573" s="189"/>
      <c r="M573" s="189"/>
      <c r="N573" s="189"/>
      <c r="O573" s="189"/>
      <c r="P573" s="189"/>
    </row>
    <row r="574" spans="1:16" ht="21.75" customHeight="1" x14ac:dyDescent="0.35">
      <c r="A574" s="183"/>
      <c r="B574" s="184"/>
      <c r="C574" s="184"/>
      <c r="D574" s="203"/>
      <c r="E574" s="203"/>
      <c r="F574" s="202" t="s">
        <v>210</v>
      </c>
      <c r="G574" s="204"/>
      <c r="H574" s="481"/>
      <c r="I574" s="168"/>
      <c r="J574" s="168"/>
      <c r="K574" s="169"/>
      <c r="L574" s="189"/>
      <c r="M574" s="189"/>
      <c r="N574" s="189"/>
      <c r="O574" s="189"/>
      <c r="P574" s="189"/>
    </row>
    <row r="575" spans="1:16" ht="21.75" customHeight="1" x14ac:dyDescent="0.35">
      <c r="A575" s="183"/>
      <c r="B575" s="184"/>
      <c r="C575" s="184"/>
      <c r="D575" s="203"/>
      <c r="E575" s="202" t="s">
        <v>40</v>
      </c>
      <c r="F575" s="202" t="s">
        <v>211</v>
      </c>
      <c r="G575" s="204"/>
      <c r="H575" s="481" t="s">
        <v>77</v>
      </c>
      <c r="I575" s="210">
        <f ca="1">IFERROR(__xludf.DUMMYFUNCTION("IMPORTRANGE(""https://docs.google.com/spreadsheets/d/1IYY_tgx_IHuhSq3AJ5eI5OnqOPBNLWSHKh2a30DoXe8/edit?usp=sharing"",""สตูล!I470"")"),0)</f>
        <v>0</v>
      </c>
      <c r="J575" s="205">
        <f ca="1">IFERROR(__xludf.DUMMYFUNCTION("IMPORTRANGE(""https://docs.google.com/spreadsheets/d/1IYY_tgx_IHuhSq3AJ5eI5OnqOPBNLWSHKh2a30DoXe8/edit?usp=sharing"",""สตูล!J470"")"),6)</f>
        <v>6</v>
      </c>
      <c r="K575" s="169">
        <f t="shared" ref="K575:K579" ca="1" si="123">IF(I575&gt;0,J575*100/I575,0)</f>
        <v>0</v>
      </c>
      <c r="L575" s="189"/>
      <c r="M575" s="189"/>
      <c r="N575" s="189"/>
      <c r="O575" s="189"/>
      <c r="P575" s="189"/>
    </row>
    <row r="576" spans="1:16" ht="21.75" customHeight="1" x14ac:dyDescent="0.35">
      <c r="A576" s="183"/>
      <c r="B576" s="184"/>
      <c r="C576" s="184"/>
      <c r="D576" s="203"/>
      <c r="E576" s="203"/>
      <c r="F576" s="202" t="s">
        <v>212</v>
      </c>
      <c r="G576" s="204"/>
      <c r="H576" s="481" t="s">
        <v>37</v>
      </c>
      <c r="I576" s="210">
        <f ca="1">IFERROR(__xludf.DUMMYFUNCTION("IMPORTRANGE(""https://docs.google.com/spreadsheets/d/1IYY_tgx_IHuhSq3AJ5eI5OnqOPBNLWSHKh2a30DoXe8/edit?usp=sharing"",""สตูล!I471"")"),0)</f>
        <v>0</v>
      </c>
      <c r="J576" s="205">
        <f ca="1">IFERROR(__xludf.DUMMYFUNCTION("IMPORTRANGE(""https://docs.google.com/spreadsheets/d/1IYY_tgx_IHuhSq3AJ5eI5OnqOPBNLWSHKh2a30DoXe8/edit?usp=sharing"",""สตูล!J471"")"),100)</f>
        <v>100</v>
      </c>
      <c r="K576" s="169">
        <f t="shared" ca="1" si="123"/>
        <v>0</v>
      </c>
      <c r="L576" s="189"/>
      <c r="M576" s="189"/>
      <c r="N576" s="189"/>
      <c r="O576" s="189"/>
      <c r="P576" s="189"/>
    </row>
    <row r="577" spans="1:16" ht="21.75" customHeight="1" x14ac:dyDescent="0.35">
      <c r="A577" s="183"/>
      <c r="B577" s="184"/>
      <c r="C577" s="184"/>
      <c r="D577" s="203"/>
      <c r="E577" s="203"/>
      <c r="F577" s="202" t="s">
        <v>213</v>
      </c>
      <c r="G577" s="204"/>
      <c r="H577" s="481" t="s">
        <v>37</v>
      </c>
      <c r="I577" s="210">
        <f ca="1">IFERROR(__xludf.DUMMYFUNCTION("IMPORTRANGE(""https://docs.google.com/spreadsheets/d/1IYY_tgx_IHuhSq3AJ5eI5OnqOPBNLWSHKh2a30DoXe8/edit?usp=sharing"",""สตูล!I472"")"),0)</f>
        <v>0</v>
      </c>
      <c r="J577" s="196">
        <f ca="1">IFERROR(__xludf.DUMMYFUNCTION("IMPORTRANGE(""https://docs.google.com/spreadsheets/d/1IYY_tgx_IHuhSq3AJ5eI5OnqOPBNLWSHKh2a30DoXe8/edit?usp=sharing"",""สตูล!J472"")"),0)</f>
        <v>0</v>
      </c>
      <c r="K577" s="169">
        <f t="shared" ca="1" si="123"/>
        <v>0</v>
      </c>
      <c r="L577" s="189"/>
      <c r="M577" s="189"/>
      <c r="N577" s="189"/>
      <c r="O577" s="189"/>
      <c r="P577" s="189"/>
    </row>
    <row r="578" spans="1:16" ht="21.75" customHeight="1" x14ac:dyDescent="0.35">
      <c r="A578" s="183"/>
      <c r="B578" s="184"/>
      <c r="C578" s="184"/>
      <c r="D578" s="203"/>
      <c r="E578" s="203"/>
      <c r="F578" s="202" t="s">
        <v>214</v>
      </c>
      <c r="G578" s="427"/>
      <c r="H578" s="481" t="s">
        <v>37</v>
      </c>
      <c r="I578" s="210">
        <f ca="1">IFERROR(__xludf.DUMMYFUNCTION("IMPORTRANGE(""https://docs.google.com/spreadsheets/d/1IYY_tgx_IHuhSq3AJ5eI5OnqOPBNLWSHKh2a30DoXe8/edit?usp=sharing"",""สตูล!I473"")"),0)</f>
        <v>0</v>
      </c>
      <c r="J578" s="205">
        <f ca="1">IFERROR(__xludf.DUMMYFUNCTION("IMPORTRANGE(""https://docs.google.com/spreadsheets/d/1IYY_tgx_IHuhSq3AJ5eI5OnqOPBNLWSHKh2a30DoXe8/edit?usp=sharing"",""สตูล!J473"")"),0)</f>
        <v>0</v>
      </c>
      <c r="K578" s="169">
        <f t="shared" ca="1" si="123"/>
        <v>0</v>
      </c>
      <c r="L578" s="189"/>
      <c r="M578" s="189"/>
      <c r="N578" s="189"/>
      <c r="O578" s="189"/>
      <c r="P578" s="189"/>
    </row>
    <row r="579" spans="1:16" ht="21.75" customHeight="1" x14ac:dyDescent="0.35">
      <c r="A579" s="183"/>
      <c r="B579" s="184"/>
      <c r="C579" s="184"/>
      <c r="D579" s="203"/>
      <c r="E579" s="203"/>
      <c r="F579" s="202" t="s">
        <v>215</v>
      </c>
      <c r="G579" s="427"/>
      <c r="H579" s="481" t="s">
        <v>37</v>
      </c>
      <c r="I579" s="210">
        <f ca="1">IFERROR(__xludf.DUMMYFUNCTION("IMPORTRANGE(""https://docs.google.com/spreadsheets/d/1IYY_tgx_IHuhSq3AJ5eI5OnqOPBNLWSHKh2a30DoXe8/edit?usp=sharing"",""สตูล!I474"")"),0)</f>
        <v>0</v>
      </c>
      <c r="J579" s="205">
        <f ca="1">IFERROR(__xludf.DUMMYFUNCTION("IMPORTRANGE(""https://docs.google.com/spreadsheets/d/1IYY_tgx_IHuhSq3AJ5eI5OnqOPBNLWSHKh2a30DoXe8/edit?usp=sharing"",""สตูล!J474"")"),0)</f>
        <v>0</v>
      </c>
      <c r="K579" s="169">
        <f t="shared" ca="1" si="123"/>
        <v>0</v>
      </c>
      <c r="L579" s="189"/>
      <c r="M579" s="189"/>
      <c r="N579" s="189"/>
      <c r="O579" s="189"/>
      <c r="P579" s="189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IFERROR(__xludf.DUMMYFUNCTION("IMPORTRANGE(""https://docs.google.com/spreadsheets/d/1IYY_tgx_IHuhSq3AJ5eI5OnqOPBNLWSHKh2a30DoXe8/edit?usp=sharing"",""สตูล!I475"")"),0)</f>
        <v>0</v>
      </c>
      <c r="J580" s="377">
        <f ca="1">IFERROR(__xludf.DUMMYFUNCTION("IMPORTRANGE(""https://docs.google.com/spreadsheets/d/1IYY_tgx_IHuhSq3AJ5eI5OnqOPBNLWSHKh2a30DoXe8/edit?usp=sharing"",""สตูล!J475"")"),0)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IFERROR(__xludf.DUMMYFUNCTION("IMPORTRANGE(""https://docs.google.com/spreadsheets/d/1IYY_tgx_IHuhSq3AJ5eI5OnqOPBNLWSHKh2a30DoXe8/edit?usp=sharing"",""สตูล!L475"")"),0)</f>
        <v>0</v>
      </c>
      <c r="M580" s="379"/>
      <c r="N580" s="379">
        <f ca="1">IFERROR(__xludf.DUMMYFUNCTION("IMPORTRANGE(""https://docs.google.com/spreadsheets/d/1IYY_tgx_IHuhSq3AJ5eI5OnqOPBNLWSHKh2a30DoXe8/edit?usp=sharing"",""สตูล!M475"")"),0)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164" t="s">
        <v>38</v>
      </c>
      <c r="E581" s="165"/>
      <c r="F581" s="165"/>
      <c r="G581" s="166" t="s">
        <v>39</v>
      </c>
      <c r="H581" s="167" t="s">
        <v>12</v>
      </c>
      <c r="I581" s="168" t="s">
        <v>40</v>
      </c>
      <c r="J581" s="168"/>
      <c r="K581" s="169"/>
      <c r="L581" s="170">
        <f ca="1">IFERROR(__xludf.DUMMYFUNCTION("IMPORTRANGE(""https://docs.google.com/spreadsheets/d/1IYY_tgx_IHuhSq3AJ5eI5OnqOPBNLWSHKh2a30DoXe8/edit?usp=sharing"",""สตูล!L476"")"),0)</f>
        <v>0</v>
      </c>
      <c r="M581" s="170"/>
      <c r="N581" s="176">
        <f ca="1">IFERROR(__xludf.DUMMYFUNCTION("IMPORTRANGE(""https://docs.google.com/spreadsheets/d/1IYY_tgx_IHuhSq3AJ5eI5OnqOPBNLWSHKh2a30DoXe8/edit?usp=sharing"",""สตูล!M476"")"),0)</f>
        <v>0</v>
      </c>
      <c r="O581" s="176">
        <f t="shared" ca="1" si="124"/>
        <v>0</v>
      </c>
      <c r="P581" s="176"/>
    </row>
    <row r="582" spans="1:16" ht="21.75" customHeight="1" x14ac:dyDescent="0.35">
      <c r="A582" s="162"/>
      <c r="B582" s="163"/>
      <c r="C582" s="163"/>
      <c r="D582" s="172"/>
      <c r="E582" s="165"/>
      <c r="F582" s="165" t="s">
        <v>40</v>
      </c>
      <c r="G582" s="166" t="s">
        <v>41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IFERROR(__xludf.DUMMYFUNCTION("IMPORTRANGE(""https://docs.google.com/spreadsheets/d/1IYY_tgx_IHuhSq3AJ5eI5OnqOPBNLWSHKh2a30DoXe8/edit?usp=sharing"",""สตูล!L477"")"),0)</f>
        <v>0</v>
      </c>
      <c r="M582" s="171"/>
      <c r="N582" s="176">
        <f ca="1">IFERROR(__xludf.DUMMYFUNCTION("IMPORTRANGE(""https://docs.google.com/spreadsheets/d/1IYY_tgx_IHuhSq3AJ5eI5OnqOPBNLWSHKh2a30DoXe8/edit?usp=sharing"",""สตูล!M477"")"),0)</f>
        <v>0</v>
      </c>
      <c r="O582" s="176">
        <f t="shared" ca="1" si="124"/>
        <v>0</v>
      </c>
      <c r="P582" s="176"/>
    </row>
    <row r="583" spans="1:16" ht="21.75" customHeight="1" x14ac:dyDescent="0.35">
      <c r="A583" s="162"/>
      <c r="B583" s="163"/>
      <c r="C583" s="163"/>
      <c r="D583" s="172"/>
      <c r="E583" s="165"/>
      <c r="F583" s="165"/>
      <c r="G583" s="380" t="s">
        <v>129</v>
      </c>
      <c r="H583" s="167" t="s">
        <v>12</v>
      </c>
      <c r="I583" s="168"/>
      <c r="J583" s="168"/>
      <c r="K583" s="169"/>
      <c r="L583" s="176">
        <f ca="1">IFERROR(__xludf.DUMMYFUNCTION("IMPORTRANGE(""https://docs.google.com/spreadsheets/d/1IYY_tgx_IHuhSq3AJ5eI5OnqOPBNLWSHKh2a30DoXe8/edit?usp=sharing"",""สตูล!L478"")"),0)</f>
        <v>0</v>
      </c>
      <c r="M583" s="176"/>
      <c r="N583" s="176">
        <f ca="1">IFERROR(__xludf.DUMMYFUNCTION("IMPORTRANGE(""https://docs.google.com/spreadsheets/d/1IYY_tgx_IHuhSq3AJ5eI5OnqOPBNLWSHKh2a30DoXe8/edit?usp=sharing"",""สตูล!M478"")"),0)</f>
        <v>0</v>
      </c>
      <c r="O583" s="176">
        <f t="shared" ca="1" si="124"/>
        <v>0</v>
      </c>
      <c r="P583" s="176"/>
    </row>
    <row r="584" spans="1:16" ht="21.75" customHeight="1" x14ac:dyDescent="0.35">
      <c r="A584" s="162"/>
      <c r="B584" s="163"/>
      <c r="C584" s="163"/>
      <c r="D584" s="172"/>
      <c r="E584" s="165"/>
      <c r="F584" s="165"/>
      <c r="G584" s="380" t="s">
        <v>130</v>
      </c>
      <c r="H584" s="167" t="s">
        <v>12</v>
      </c>
      <c r="I584" s="168"/>
      <c r="J584" s="168"/>
      <c r="K584" s="169"/>
      <c r="L584" s="176">
        <f ca="1">IFERROR(__xludf.DUMMYFUNCTION("IMPORTRANGE(""https://docs.google.com/spreadsheets/d/1IYY_tgx_IHuhSq3AJ5eI5OnqOPBNLWSHKh2a30DoXe8/edit?usp=sharing"",""สตูล!L479"")"),0)</f>
        <v>0</v>
      </c>
      <c r="M584" s="176"/>
      <c r="N584" s="176">
        <f ca="1">IFERROR(__xludf.DUMMYFUNCTION("IMPORTRANGE(""https://docs.google.com/spreadsheets/d/1IYY_tgx_IHuhSq3AJ5eI5OnqOPBNLWSHKh2a30DoXe8/edit?usp=sharing"",""สตูล!M479"")"),0)</f>
        <v>0</v>
      </c>
      <c r="O584" s="176">
        <f t="shared" ca="1" si="124"/>
        <v>0</v>
      </c>
      <c r="P584" s="176"/>
    </row>
    <row r="585" spans="1:16" ht="21.75" customHeight="1" x14ac:dyDescent="0.35">
      <c r="A585" s="381"/>
      <c r="B585" s="382"/>
      <c r="C585" s="163"/>
      <c r="D585" s="383"/>
      <c r="E585" s="165"/>
      <c r="F585" s="165"/>
      <c r="G585" s="384" t="s">
        <v>131</v>
      </c>
      <c r="H585" s="167" t="s">
        <v>12</v>
      </c>
      <c r="I585" s="195"/>
      <c r="J585" s="195"/>
      <c r="K585" s="231"/>
      <c r="L585" s="176"/>
      <c r="M585" s="176"/>
      <c r="N585" s="173">
        <f ca="1">IFERROR(__xludf.DUMMYFUNCTION("IMPORTRANGE(""https://docs.google.com/spreadsheets/d/1IYY_tgx_IHuhSq3AJ5eI5OnqOPBNLWSHKh2a30DoXe8/edit?usp=sharing"",""สตูล!M480"")"),0)</f>
        <v>0</v>
      </c>
      <c r="O585" s="176"/>
      <c r="P585" s="176"/>
    </row>
    <row r="586" spans="1:16" ht="21.75" customHeight="1" x14ac:dyDescent="0.35">
      <c r="A586" s="381"/>
      <c r="B586" s="382"/>
      <c r="C586" s="163"/>
      <c r="D586" s="383"/>
      <c r="E586" s="165"/>
      <c r="F586" s="165"/>
      <c r="G586" s="384" t="s">
        <v>132</v>
      </c>
      <c r="H586" s="167" t="s">
        <v>12</v>
      </c>
      <c r="I586" s="195"/>
      <c r="J586" s="195"/>
      <c r="K586" s="231"/>
      <c r="L586" s="176"/>
      <c r="M586" s="176"/>
      <c r="N586" s="173">
        <f ca="1">IFERROR(__xludf.DUMMYFUNCTION("IMPORTRANGE(""https://docs.google.com/spreadsheets/d/1IYY_tgx_IHuhSq3AJ5eI5OnqOPBNLWSHKh2a30DoXe8/edit?usp=sharing"",""สตูล!M481"")"),0)</f>
        <v>0</v>
      </c>
      <c r="O586" s="176"/>
      <c r="P586" s="176"/>
    </row>
    <row r="587" spans="1:16" ht="21.75" customHeight="1" x14ac:dyDescent="0.35">
      <c r="A587" s="381"/>
      <c r="B587" s="382"/>
      <c r="C587" s="163"/>
      <c r="D587" s="383"/>
      <c r="E587" s="165"/>
      <c r="F587" s="165"/>
      <c r="G587" s="384" t="s">
        <v>133</v>
      </c>
      <c r="H587" s="167" t="s">
        <v>12</v>
      </c>
      <c r="I587" s="195"/>
      <c r="J587" s="195"/>
      <c r="K587" s="231"/>
      <c r="L587" s="176"/>
      <c r="M587" s="176"/>
      <c r="N587" s="173">
        <f ca="1">IFERROR(__xludf.DUMMYFUNCTION("IMPORTRANGE(""https://docs.google.com/spreadsheets/d/1IYY_tgx_IHuhSq3AJ5eI5OnqOPBNLWSHKh2a30DoXe8/edit?usp=sharing"",""สตูล!M482"")"),0)</f>
        <v>0</v>
      </c>
      <c r="O587" s="176"/>
      <c r="P587" s="176"/>
    </row>
    <row r="588" spans="1:16" ht="21.75" customHeight="1" x14ac:dyDescent="0.35">
      <c r="A588" s="381"/>
      <c r="B588" s="382"/>
      <c r="C588" s="163"/>
      <c r="D588" s="383"/>
      <c r="E588" s="165"/>
      <c r="F588" s="165"/>
      <c r="G588" s="384" t="s">
        <v>134</v>
      </c>
      <c r="H588" s="167" t="s">
        <v>12</v>
      </c>
      <c r="I588" s="195"/>
      <c r="J588" s="195"/>
      <c r="K588" s="231"/>
      <c r="L588" s="176"/>
      <c r="M588" s="176"/>
      <c r="N588" s="173">
        <f ca="1">IFERROR(__xludf.DUMMYFUNCTION("IMPORTRANGE(""https://docs.google.com/spreadsheets/d/1IYY_tgx_IHuhSq3AJ5eI5OnqOPBNLWSHKh2a30DoXe8/edit?usp=sharing"",""สตูล!M483"")"),0)</f>
        <v>0</v>
      </c>
      <c r="O588" s="176"/>
      <c r="P588" s="176"/>
    </row>
    <row r="589" spans="1:16" ht="21.75" customHeight="1" x14ac:dyDescent="0.35">
      <c r="A589" s="484"/>
      <c r="B589" s="172"/>
      <c r="C589" s="163"/>
      <c r="D589" s="297"/>
      <c r="E589" s="202" t="s">
        <v>217</v>
      </c>
      <c r="F589" s="203"/>
      <c r="G589" s="204"/>
      <c r="H589" s="188" t="s">
        <v>36</v>
      </c>
      <c r="I589" s="347">
        <f ca="1">IFERROR(__xludf.DUMMYFUNCTION("IMPORTRANGE(""https://docs.google.com/spreadsheets/d/1IYY_tgx_IHuhSq3AJ5eI5OnqOPBNLWSHKh2a30DoXe8/edit?usp=sharing"",""สตูล!I484"")"),0)</f>
        <v>0</v>
      </c>
      <c r="J589" s="195">
        <f ca="1">IFERROR(__xludf.DUMMYFUNCTION("IMPORTRANGE(""https://docs.google.com/spreadsheets/d/1IYY_tgx_IHuhSq3AJ5eI5OnqOPBNLWSHKh2a30DoXe8/edit?usp=sharing"",""สตูล!J484"")"),0)</f>
        <v>0</v>
      </c>
      <c r="K589" s="169">
        <f t="shared" ref="K589:K596" ca="1" si="125">IF(I589&gt;0,J589*100/I589,0)</f>
        <v>0</v>
      </c>
      <c r="L589" s="189"/>
      <c r="M589" s="189"/>
      <c r="N589" s="176"/>
      <c r="O589" s="189"/>
      <c r="P589" s="189"/>
    </row>
    <row r="590" spans="1:16" ht="21.75" customHeight="1" x14ac:dyDescent="0.35">
      <c r="A590" s="484"/>
      <c r="B590" s="172"/>
      <c r="C590" s="163"/>
      <c r="D590" s="297"/>
      <c r="E590" s="203"/>
      <c r="F590" s="203"/>
      <c r="G590" s="204"/>
      <c r="H590" s="188" t="s">
        <v>122</v>
      </c>
      <c r="I590" s="351">
        <f ca="1">IFERROR(__xludf.DUMMYFUNCTION("IMPORTRANGE(""https://docs.google.com/spreadsheets/d/1IYY_tgx_IHuhSq3AJ5eI5OnqOPBNLWSHKh2a30DoXe8/edit?usp=sharing"",""สตูล!I485"")"),0)</f>
        <v>0</v>
      </c>
      <c r="J590" s="195">
        <f ca="1">IFERROR(__xludf.DUMMYFUNCTION("IMPORTRANGE(""https://docs.google.com/spreadsheets/d/1IYY_tgx_IHuhSq3AJ5eI5OnqOPBNLWSHKh2a30DoXe8/edit?usp=sharing"",""สตูล!J485"")"),0)</f>
        <v>0</v>
      </c>
      <c r="K590" s="485">
        <f t="shared" ca="1" si="125"/>
        <v>0</v>
      </c>
      <c r="L590" s="189"/>
      <c r="M590" s="189"/>
      <c r="N590" s="176"/>
      <c r="O590" s="189"/>
      <c r="P590" s="189"/>
    </row>
    <row r="591" spans="1:16" ht="21.75" customHeight="1" x14ac:dyDescent="0.35">
      <c r="A591" s="484"/>
      <c r="B591" s="172"/>
      <c r="C591" s="163"/>
      <c r="D591" s="297"/>
      <c r="E591" s="202" t="s">
        <v>123</v>
      </c>
      <c r="F591" s="203"/>
      <c r="G591" s="204"/>
      <c r="H591" s="188" t="s">
        <v>37</v>
      </c>
      <c r="I591" s="347">
        <f ca="1">IFERROR(__xludf.DUMMYFUNCTION("IMPORTRANGE(""https://docs.google.com/spreadsheets/d/1IYY_tgx_IHuhSq3AJ5eI5OnqOPBNLWSHKh2a30DoXe8/edit?usp=sharing"",""สตูล!I486"")"),0)</f>
        <v>0</v>
      </c>
      <c r="J591" s="195">
        <f ca="1">IFERROR(__xludf.DUMMYFUNCTION("IMPORTRANGE(""https://docs.google.com/spreadsheets/d/1IYY_tgx_IHuhSq3AJ5eI5OnqOPBNLWSHKh2a30DoXe8/edit?usp=sharing"",""สตูล!J486"")"),0)</f>
        <v>0</v>
      </c>
      <c r="K591" s="169">
        <f t="shared" ca="1" si="125"/>
        <v>0</v>
      </c>
      <c r="L591" s="189"/>
      <c r="M591" s="189"/>
      <c r="N591" s="189"/>
      <c r="O591" s="189"/>
      <c r="P591" s="189"/>
    </row>
    <row r="592" spans="1:16" ht="21.75" customHeight="1" x14ac:dyDescent="0.35">
      <c r="A592" s="484"/>
      <c r="B592" s="172"/>
      <c r="C592" s="163"/>
      <c r="D592" s="297"/>
      <c r="E592" s="203"/>
      <c r="F592" s="203"/>
      <c r="G592" s="204"/>
      <c r="H592" s="188" t="s">
        <v>122</v>
      </c>
      <c r="I592" s="351">
        <f ca="1">IFERROR(__xludf.DUMMYFUNCTION("IMPORTRANGE(""https://docs.google.com/spreadsheets/d/1IYY_tgx_IHuhSq3AJ5eI5OnqOPBNLWSHKh2a30DoXe8/edit?usp=sharing"",""สตูล!I487"")"),0)</f>
        <v>0</v>
      </c>
      <c r="J592" s="195">
        <f ca="1">IFERROR(__xludf.DUMMYFUNCTION("IMPORTRANGE(""https://docs.google.com/spreadsheets/d/1IYY_tgx_IHuhSq3AJ5eI5OnqOPBNLWSHKh2a30DoXe8/edit?usp=sharing"",""สตูล!J487"")"),0)</f>
        <v>0</v>
      </c>
      <c r="K592" s="348">
        <f t="shared" ca="1" si="125"/>
        <v>0</v>
      </c>
      <c r="L592" s="189"/>
      <c r="M592" s="189"/>
      <c r="N592" s="189"/>
      <c r="O592" s="189"/>
      <c r="P592" s="189"/>
    </row>
    <row r="593" spans="1:16" ht="21.75" customHeight="1" x14ac:dyDescent="0.35">
      <c r="A593" s="484"/>
      <c r="B593" s="172"/>
      <c r="C593" s="163"/>
      <c r="D593" s="297"/>
      <c r="E593" s="202" t="s">
        <v>124</v>
      </c>
      <c r="F593" s="203"/>
      <c r="G593" s="204"/>
      <c r="H593" s="188" t="s">
        <v>37</v>
      </c>
      <c r="I593" s="347">
        <f ca="1">IFERROR(__xludf.DUMMYFUNCTION("IMPORTRANGE(""https://docs.google.com/spreadsheets/d/1IYY_tgx_IHuhSq3AJ5eI5OnqOPBNLWSHKh2a30DoXe8/edit?usp=sharing"",""สตูล!I488"")"),0)</f>
        <v>0</v>
      </c>
      <c r="J593" s="195">
        <f ca="1">IFERROR(__xludf.DUMMYFUNCTION("IMPORTRANGE(""https://docs.google.com/spreadsheets/d/1IYY_tgx_IHuhSq3AJ5eI5OnqOPBNLWSHKh2a30DoXe8/edit?usp=sharing"",""สตูล!J488"")"),0)</f>
        <v>0</v>
      </c>
      <c r="K593" s="169">
        <f t="shared" ca="1" si="125"/>
        <v>0</v>
      </c>
      <c r="L593" s="189"/>
      <c r="M593" s="189"/>
      <c r="N593" s="189"/>
      <c r="O593" s="189"/>
      <c r="P593" s="189"/>
    </row>
    <row r="594" spans="1:16" ht="21.75" customHeight="1" x14ac:dyDescent="0.35">
      <c r="A594" s="484"/>
      <c r="B594" s="172"/>
      <c r="C594" s="163"/>
      <c r="D594" s="297"/>
      <c r="E594" s="203"/>
      <c r="F594" s="203"/>
      <c r="G594" s="204"/>
      <c r="H594" s="188" t="s">
        <v>122</v>
      </c>
      <c r="I594" s="351">
        <f ca="1">IFERROR(__xludf.DUMMYFUNCTION("IMPORTRANGE(""https://docs.google.com/spreadsheets/d/1IYY_tgx_IHuhSq3AJ5eI5OnqOPBNLWSHKh2a30DoXe8/edit?usp=sharing"",""สตูล!I489"")"),0)</f>
        <v>0</v>
      </c>
      <c r="J594" s="195">
        <f ca="1">IFERROR(__xludf.DUMMYFUNCTION("IMPORTRANGE(""https://docs.google.com/spreadsheets/d/1IYY_tgx_IHuhSq3AJ5eI5OnqOPBNLWSHKh2a30DoXe8/edit?usp=sharing"",""สตูล!J489"")"),0)</f>
        <v>0</v>
      </c>
      <c r="K594" s="348">
        <f t="shared" ca="1" si="125"/>
        <v>0</v>
      </c>
      <c r="L594" s="189"/>
      <c r="M594" s="189"/>
      <c r="N594" s="189"/>
      <c r="O594" s="189"/>
      <c r="P594" s="189"/>
    </row>
    <row r="595" spans="1:16" ht="21.75" customHeight="1" x14ac:dyDescent="0.35">
      <c r="A595" s="484"/>
      <c r="B595" s="172"/>
      <c r="C595" s="163"/>
      <c r="D595" s="297"/>
      <c r="E595" s="202" t="s">
        <v>125</v>
      </c>
      <c r="F595" s="203"/>
      <c r="G595" s="204"/>
      <c r="H595" s="188" t="s">
        <v>37</v>
      </c>
      <c r="I595" s="347">
        <f ca="1">IFERROR(__xludf.DUMMYFUNCTION("IMPORTRANGE(""https://docs.google.com/spreadsheets/d/1IYY_tgx_IHuhSq3AJ5eI5OnqOPBNLWSHKh2a30DoXe8/edit?usp=sharing"",""สตูล!I490"")"),0)</f>
        <v>0</v>
      </c>
      <c r="J595" s="195">
        <f ca="1">IFERROR(__xludf.DUMMYFUNCTION("IMPORTRANGE(""https://docs.google.com/spreadsheets/d/1IYY_tgx_IHuhSq3AJ5eI5OnqOPBNLWSHKh2a30DoXe8/edit?usp=sharing"",""สตูล!J490"")"),0)</f>
        <v>0</v>
      </c>
      <c r="K595" s="169">
        <f t="shared" ca="1" si="125"/>
        <v>0</v>
      </c>
      <c r="L595" s="189"/>
      <c r="M595" s="189"/>
      <c r="N595" s="189"/>
      <c r="O595" s="189"/>
      <c r="P595" s="189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IFERROR(__xludf.DUMMYFUNCTION("IMPORTRANGE(""https://docs.google.com/spreadsheets/d/1IYY_tgx_IHuhSq3AJ5eI5OnqOPBNLWSHKh2a30DoXe8/edit?usp=sharing"",""สตูล!I491"")"),0)</f>
        <v>0</v>
      </c>
      <c r="J596" s="248">
        <f ca="1">IFERROR(__xludf.DUMMYFUNCTION("IMPORTRANGE(""https://docs.google.com/spreadsheets/d/1IYY_tgx_IHuhSq3AJ5eI5OnqOPBNLWSHKh2a30DoXe8/edit?usp=sharing"",""สตูล!J491"")"),0)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IFERROR(__xludf.DUMMYFUNCTION("IMPORTRANGE(""https://docs.google.com/spreadsheets/d/1IYY_tgx_IHuhSq3AJ5eI5OnqOPBNLWSHKh2a30DoXe8/edit?usp=sharing"",""สตูล!I492"")"),100)</f>
        <v>100</v>
      </c>
      <c r="J597" s="493">
        <f ca="1">IFERROR(__xludf.DUMMYFUNCTION("IMPORTRANGE(""https://docs.google.com/spreadsheets/d/1IYY_tgx_IHuhSq3AJ5eI5OnqOPBNLWSHKh2a30DoXe8/edit?usp=sharing"",""สตูล!J492"")"),0)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IFERROR(__xludf.DUMMYFUNCTION("IMPORTRANGE(""https://docs.google.com/spreadsheets/d/1IYY_tgx_IHuhSq3AJ5eI5OnqOPBNLWSHKh2a30DoXe8/edit?usp=sharing"",""สตูล!L492"")"),8100)</f>
        <v>8100</v>
      </c>
      <c r="M597" s="418"/>
      <c r="N597" s="418">
        <f ca="1">IFERROR(__xludf.DUMMYFUNCTION("IMPORTRANGE(""https://docs.google.com/spreadsheets/d/1IYY_tgx_IHuhSq3AJ5eI5OnqOPBNLWSHKh2a30DoXe8/edit?usp=sharing"",""สตูล!M492"")"),900)</f>
        <v>900</v>
      </c>
      <c r="O597" s="418">
        <f t="shared" ref="O597:O601" ca="1" si="126">+IF(L597&gt;0,N597*100/L597,0)</f>
        <v>11.111111111111111</v>
      </c>
      <c r="P597" s="418"/>
    </row>
    <row r="598" spans="1:16" ht="21.75" customHeight="1" x14ac:dyDescent="0.35">
      <c r="A598" s="162"/>
      <c r="B598" s="163"/>
      <c r="C598" s="163" t="s">
        <v>16</v>
      </c>
      <c r="D598" s="164" t="s">
        <v>38</v>
      </c>
      <c r="E598" s="165"/>
      <c r="F598" s="165"/>
      <c r="G598" s="166" t="s">
        <v>39</v>
      </c>
      <c r="H598" s="167" t="s">
        <v>12</v>
      </c>
      <c r="I598" s="168" t="s">
        <v>40</v>
      </c>
      <c r="J598" s="168"/>
      <c r="K598" s="169"/>
      <c r="L598" s="170">
        <f ca="1">IFERROR(__xludf.DUMMYFUNCTION("IMPORTRANGE(""https://docs.google.com/spreadsheets/d/1IYY_tgx_IHuhSq3AJ5eI5OnqOPBNLWSHKh2a30DoXe8/edit?usp=sharing"",""สตูล!L493"")"),0)</f>
        <v>0</v>
      </c>
      <c r="M598" s="170"/>
      <c r="N598" s="176">
        <f ca="1">IFERROR(__xludf.DUMMYFUNCTION("IMPORTRANGE(""https://docs.google.com/spreadsheets/d/1IYY_tgx_IHuhSq3AJ5eI5OnqOPBNLWSHKh2a30DoXe8/edit?usp=sharing"",""สตูล!M493"")"),0)</f>
        <v>0</v>
      </c>
      <c r="O598" s="176">
        <f t="shared" ca="1" si="126"/>
        <v>0</v>
      </c>
      <c r="P598" s="176"/>
    </row>
    <row r="599" spans="1:16" ht="21.75" customHeight="1" x14ac:dyDescent="0.35">
      <c r="A599" s="162"/>
      <c r="B599" s="163"/>
      <c r="C599" s="163"/>
      <c r="D599" s="172"/>
      <c r="E599" s="165"/>
      <c r="F599" s="165" t="s">
        <v>40</v>
      </c>
      <c r="G599" s="166" t="s">
        <v>41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IFERROR(__xludf.DUMMYFUNCTION("IMPORTRANGE(""https://docs.google.com/spreadsheets/d/1IYY_tgx_IHuhSq3AJ5eI5OnqOPBNLWSHKh2a30DoXe8/edit?usp=sharing"",""สตูล!L494"")"),8100)</f>
        <v>8100</v>
      </c>
      <c r="M599" s="171"/>
      <c r="N599" s="176">
        <f ca="1">IFERROR(__xludf.DUMMYFUNCTION("IMPORTRANGE(""https://docs.google.com/spreadsheets/d/1IYY_tgx_IHuhSq3AJ5eI5OnqOPBNLWSHKh2a30DoXe8/edit?usp=sharing"",""สตูล!M494"")"),900)</f>
        <v>900</v>
      </c>
      <c r="O599" s="176">
        <f t="shared" ca="1" si="126"/>
        <v>11.111111111111111</v>
      </c>
      <c r="P599" s="176"/>
    </row>
    <row r="600" spans="1:16" ht="21.75" customHeight="1" x14ac:dyDescent="0.35">
      <c r="A600" s="162"/>
      <c r="B600" s="163"/>
      <c r="C600" s="163"/>
      <c r="D600" s="172"/>
      <c r="E600" s="165"/>
      <c r="F600" s="165"/>
      <c r="G600" s="380" t="s">
        <v>129</v>
      </c>
      <c r="H600" s="167" t="s">
        <v>12</v>
      </c>
      <c r="I600" s="168"/>
      <c r="J600" s="168"/>
      <c r="K600" s="169"/>
      <c r="L600" s="176">
        <f ca="1">IFERROR(__xludf.DUMMYFUNCTION("IMPORTRANGE(""https://docs.google.com/spreadsheets/d/1IYY_tgx_IHuhSq3AJ5eI5OnqOPBNLWSHKh2a30DoXe8/edit?usp=sharing"",""สตูล!L495"")"),0)</f>
        <v>0</v>
      </c>
      <c r="M600" s="176"/>
      <c r="N600" s="176">
        <f ca="1">IFERROR(__xludf.DUMMYFUNCTION("IMPORTRANGE(""https://docs.google.com/spreadsheets/d/1IYY_tgx_IHuhSq3AJ5eI5OnqOPBNLWSHKh2a30DoXe8/edit?usp=sharing"",""สตูล!M495"")"),0)</f>
        <v>0</v>
      </c>
      <c r="O600" s="176">
        <f t="shared" ca="1" si="126"/>
        <v>0</v>
      </c>
      <c r="P600" s="176"/>
    </row>
    <row r="601" spans="1:16" ht="21.75" customHeight="1" x14ac:dyDescent="0.35">
      <c r="A601" s="162"/>
      <c r="B601" s="163"/>
      <c r="C601" s="163"/>
      <c r="D601" s="172"/>
      <c r="E601" s="165"/>
      <c r="F601" s="165"/>
      <c r="G601" s="380" t="s">
        <v>130</v>
      </c>
      <c r="H601" s="167" t="s">
        <v>12</v>
      </c>
      <c r="I601" s="168"/>
      <c r="J601" s="168"/>
      <c r="K601" s="169"/>
      <c r="L601" s="176">
        <f ca="1">IFERROR(__xludf.DUMMYFUNCTION("IMPORTRANGE(""https://docs.google.com/spreadsheets/d/1IYY_tgx_IHuhSq3AJ5eI5OnqOPBNLWSHKh2a30DoXe8/edit?usp=sharing"",""สตูล!L496"")"),8100)</f>
        <v>8100</v>
      </c>
      <c r="M601" s="176"/>
      <c r="N601" s="176">
        <f ca="1">IFERROR(__xludf.DUMMYFUNCTION("IMPORTRANGE(""https://docs.google.com/spreadsheets/d/1IYY_tgx_IHuhSq3AJ5eI5OnqOPBNLWSHKh2a30DoXe8/edit?usp=sharing"",""สตูล!M496"")"),900)</f>
        <v>900</v>
      </c>
      <c r="O601" s="176">
        <f t="shared" ca="1" si="126"/>
        <v>11.111111111111111</v>
      </c>
      <c r="P601" s="176"/>
    </row>
    <row r="602" spans="1:16" ht="21.75" customHeight="1" x14ac:dyDescent="0.35">
      <c r="A602" s="381"/>
      <c r="B602" s="382"/>
      <c r="C602" s="163"/>
      <c r="D602" s="383"/>
      <c r="E602" s="165"/>
      <c r="F602" s="165"/>
      <c r="G602" s="384" t="s">
        <v>131</v>
      </c>
      <c r="H602" s="167" t="s">
        <v>12</v>
      </c>
      <c r="I602" s="195"/>
      <c r="J602" s="195"/>
      <c r="K602" s="231"/>
      <c r="L602" s="176"/>
      <c r="M602" s="176"/>
      <c r="N602" s="173">
        <f ca="1">IFERROR(__xludf.DUMMYFUNCTION("IMPORTRANGE(""https://docs.google.com/spreadsheets/d/1IYY_tgx_IHuhSq3AJ5eI5OnqOPBNLWSHKh2a30DoXe8/edit?usp=sharing"",""สตูล!M497"")"),0)</f>
        <v>0</v>
      </c>
      <c r="O602" s="176"/>
      <c r="P602" s="176"/>
    </row>
    <row r="603" spans="1:16" ht="21.75" customHeight="1" x14ac:dyDescent="0.35">
      <c r="A603" s="381"/>
      <c r="B603" s="382"/>
      <c r="C603" s="163"/>
      <c r="D603" s="383"/>
      <c r="E603" s="165"/>
      <c r="F603" s="165"/>
      <c r="G603" s="384" t="s">
        <v>132</v>
      </c>
      <c r="H603" s="167" t="s">
        <v>12</v>
      </c>
      <c r="I603" s="195"/>
      <c r="J603" s="195"/>
      <c r="K603" s="231"/>
      <c r="L603" s="176"/>
      <c r="M603" s="176"/>
      <c r="N603" s="173">
        <f ca="1">IFERROR(__xludf.DUMMYFUNCTION("IMPORTRANGE(""https://docs.google.com/spreadsheets/d/1IYY_tgx_IHuhSq3AJ5eI5OnqOPBNLWSHKh2a30DoXe8/edit?usp=sharing"",""สตูล!M498"")"),0)</f>
        <v>0</v>
      </c>
      <c r="O603" s="176"/>
      <c r="P603" s="176"/>
    </row>
    <row r="604" spans="1:16" ht="21.75" customHeight="1" x14ac:dyDescent="0.35">
      <c r="A604" s="381"/>
      <c r="B604" s="382"/>
      <c r="C604" s="163"/>
      <c r="D604" s="383"/>
      <c r="E604" s="165"/>
      <c r="F604" s="165"/>
      <c r="G604" s="384" t="s">
        <v>133</v>
      </c>
      <c r="H604" s="167" t="s">
        <v>12</v>
      </c>
      <c r="I604" s="195"/>
      <c r="J604" s="195"/>
      <c r="K604" s="231"/>
      <c r="L604" s="176"/>
      <c r="M604" s="176"/>
      <c r="N604" s="385">
        <f ca="1">IFERROR(__xludf.DUMMYFUNCTION("IMPORTRANGE(""https://docs.google.com/spreadsheets/d/1IYY_tgx_IHuhSq3AJ5eI5OnqOPBNLWSHKh2a30DoXe8/edit?usp=sharing"",""สตูล!M499"")"),0)</f>
        <v>0</v>
      </c>
      <c r="O604" s="176"/>
      <c r="P604" s="176"/>
    </row>
    <row r="605" spans="1:16" ht="21.75" customHeight="1" x14ac:dyDescent="0.35">
      <c r="A605" s="381"/>
      <c r="B605" s="382"/>
      <c r="C605" s="163"/>
      <c r="D605" s="383"/>
      <c r="E605" s="165"/>
      <c r="F605" s="165"/>
      <c r="G605" s="384" t="s">
        <v>134</v>
      </c>
      <c r="H605" s="167" t="s">
        <v>12</v>
      </c>
      <c r="I605" s="195"/>
      <c r="J605" s="195"/>
      <c r="K605" s="231"/>
      <c r="L605" s="176"/>
      <c r="M605" s="176"/>
      <c r="N605" s="385">
        <f ca="1">IFERROR(__xludf.DUMMYFUNCTION("IMPORTRANGE(""https://docs.google.com/spreadsheets/d/1IYY_tgx_IHuhSq3AJ5eI5OnqOPBNLWSHKh2a30DoXe8/edit?usp=sharing"",""สตูล!M500"")"),900)</f>
        <v>900</v>
      </c>
      <c r="O605" s="176"/>
      <c r="P605" s="176"/>
    </row>
    <row r="606" spans="1:16" ht="21.75" customHeight="1" x14ac:dyDescent="0.35">
      <c r="A606" s="183"/>
      <c r="B606" s="184"/>
      <c r="C606" s="163" t="s">
        <v>16</v>
      </c>
      <c r="D606" s="185" t="s">
        <v>44</v>
      </c>
      <c r="E606" s="186"/>
      <c r="F606" s="186"/>
      <c r="G606" s="187"/>
      <c r="H606" s="188"/>
      <c r="I606" s="168"/>
      <c r="J606" s="168"/>
      <c r="K606" s="169"/>
      <c r="L606" s="189"/>
      <c r="M606" s="189"/>
      <c r="N606" s="189"/>
      <c r="O606" s="189"/>
      <c r="P606" s="189"/>
    </row>
    <row r="607" spans="1:16" ht="21.75" customHeight="1" x14ac:dyDescent="0.35">
      <c r="A607" s="183"/>
      <c r="B607" s="184"/>
      <c r="C607" s="184"/>
      <c r="D607" s="190">
        <v>1</v>
      </c>
      <c r="E607" s="191" t="s">
        <v>45</v>
      </c>
      <c r="F607" s="192"/>
      <c r="G607" s="193"/>
      <c r="H607" s="194"/>
      <c r="I607" s="195"/>
      <c r="J607" s="205">
        <f ca="1">IFERROR(__xludf.DUMMYFUNCTION("IMPORTRANGE(""https://docs.google.com/spreadsheets/d/1IYY_tgx_IHuhSq3AJ5eI5OnqOPBNLWSHKh2a30DoXe8/edit?usp=sharing"",""สตูล!J502"")"),0)</f>
        <v>0</v>
      </c>
      <c r="K607" s="169"/>
      <c r="L607" s="189"/>
      <c r="M607" s="189"/>
      <c r="N607" s="189"/>
      <c r="O607" s="189"/>
      <c r="P607" s="189"/>
    </row>
    <row r="608" spans="1:16" ht="21.75" customHeight="1" x14ac:dyDescent="0.35">
      <c r="A608" s="183"/>
      <c r="B608" s="184"/>
      <c r="C608" s="184"/>
      <c r="D608" s="197">
        <v>2</v>
      </c>
      <c r="E608" s="198" t="s">
        <v>46</v>
      </c>
      <c r="F608" s="199"/>
      <c r="G608" s="200"/>
      <c r="H608" s="194"/>
      <c r="I608" s="195"/>
      <c r="J608" s="205">
        <f ca="1">IFERROR(__xludf.DUMMYFUNCTION("IMPORTRANGE(""https://docs.google.com/spreadsheets/d/1IYY_tgx_IHuhSq3AJ5eI5OnqOPBNLWSHKh2a30DoXe8/edit?usp=sharing"",""สตูล!J503"")"),1)</f>
        <v>1</v>
      </c>
      <c r="K608" s="169"/>
      <c r="L608" s="189" t="s">
        <v>40</v>
      </c>
      <c r="M608" s="189"/>
      <c r="N608" s="189" t="s">
        <v>40</v>
      </c>
      <c r="O608" s="189"/>
      <c r="P608" s="189"/>
    </row>
    <row r="609" spans="1:16" ht="21.75" hidden="1" customHeight="1" x14ac:dyDescent="0.35">
      <c r="A609" s="494"/>
      <c r="B609" s="495"/>
      <c r="C609" s="495"/>
      <c r="D609" s="496"/>
      <c r="E609" s="497" t="s">
        <v>47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IFERROR(__xludf.DUMMYFUNCTION("IMPORTRANGE(""https://docs.google.com/spreadsheets/d/1IYY_tgx_IHuhSq3AJ5eI5OnqOPBNLWSHKh2a30DoXe8/edit?usp=sharing"",""สตูล!J166"")"),0)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48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IFERROR(__xludf.DUMMYFUNCTION("IMPORTRANGE(""https://docs.google.com/spreadsheets/d/1IYY_tgx_IHuhSq3AJ5eI5OnqOPBNLWSHKh2a30DoXe8/edit?usp=sharing"",""สตูล!J166"")"),0)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3"/>
      <c r="B611" s="184"/>
      <c r="C611" s="184"/>
      <c r="D611" s="201"/>
      <c r="E611" s="203"/>
      <c r="F611" s="203" t="s">
        <v>219</v>
      </c>
      <c r="G611" s="204"/>
      <c r="H611" s="188" t="s">
        <v>122</v>
      </c>
      <c r="I611" s="195">
        <f ca="1">IFERROR(__xludf.DUMMYFUNCTION("IMPORTRANGE(""https://docs.google.com/spreadsheets/d/1IYY_tgx_IHuhSq3AJ5eI5OnqOPBNLWSHKh2a30DoXe8/edit?usp=sharing"",""สตูล!I506"")"),100)</f>
        <v>100</v>
      </c>
      <c r="J611" s="168">
        <f ca="1">IFERROR(__xludf.DUMMYFUNCTION("IMPORTRANGE(""https://docs.google.com/spreadsheets/d/1IYY_tgx_IHuhSq3AJ5eI5OnqOPBNLWSHKh2a30DoXe8/edit?usp=sharing"",""สตูล!J506"")"),0)</f>
        <v>0</v>
      </c>
      <c r="K611" s="169">
        <f t="shared" ref="K611:K619" ca="1" si="127">IF(I$611&gt;0,J611*100/I$611,0)</f>
        <v>0</v>
      </c>
      <c r="L611" s="189"/>
      <c r="M611" s="189"/>
      <c r="N611" s="189"/>
      <c r="O611" s="189"/>
      <c r="P611" s="189"/>
    </row>
    <row r="612" spans="1:16" ht="21.75" customHeight="1" x14ac:dyDescent="0.35">
      <c r="A612" s="183"/>
      <c r="B612" s="184"/>
      <c r="C612" s="184"/>
      <c r="D612" s="201"/>
      <c r="E612" s="206"/>
      <c r="F612" s="203"/>
      <c r="G612" s="233" t="s">
        <v>220</v>
      </c>
      <c r="H612" s="188" t="s">
        <v>122</v>
      </c>
      <c r="I612" s="211">
        <f ca="1">IFERROR(__xludf.DUMMYFUNCTION("IMPORTRANGE(""https://docs.google.com/spreadsheets/d/1IYY_tgx_IHuhSq3AJ5eI5OnqOPBNLWSHKh2a30DoXe8/edit?usp=sharing"",""สตูล!I507"")"),0)</f>
        <v>0</v>
      </c>
      <c r="J612" s="205">
        <f ca="1">IFERROR(__xludf.DUMMYFUNCTION("IMPORTRANGE(""https://docs.google.com/spreadsheets/d/1IYY_tgx_IHuhSq3AJ5eI5OnqOPBNLWSHKh2a30DoXe8/edit?usp=sharing"",""สตูล!J507"")"),0)</f>
        <v>0</v>
      </c>
      <c r="K612" s="169">
        <f t="shared" ca="1" si="127"/>
        <v>0</v>
      </c>
      <c r="L612" s="189"/>
      <c r="M612" s="189"/>
      <c r="N612" s="189"/>
      <c r="O612" s="189"/>
      <c r="P612" s="189"/>
    </row>
    <row r="613" spans="1:16" ht="21.75" customHeight="1" x14ac:dyDescent="0.35">
      <c r="A613" s="183"/>
      <c r="B613" s="184"/>
      <c r="C613" s="184"/>
      <c r="D613" s="201"/>
      <c r="E613" s="206"/>
      <c r="F613" s="203"/>
      <c r="G613" s="233" t="s">
        <v>221</v>
      </c>
      <c r="H613" s="188" t="s">
        <v>122</v>
      </c>
      <c r="I613" s="211">
        <f ca="1">IFERROR(__xludf.DUMMYFUNCTION("IMPORTRANGE(""https://docs.google.com/spreadsheets/d/1IYY_tgx_IHuhSq3AJ5eI5OnqOPBNLWSHKh2a30DoXe8/edit?usp=sharing"",""สตูล!I508"")"),0)</f>
        <v>0</v>
      </c>
      <c r="J613" s="205">
        <f ca="1">IFERROR(__xludf.DUMMYFUNCTION("IMPORTRANGE(""https://docs.google.com/spreadsheets/d/1IYY_tgx_IHuhSq3AJ5eI5OnqOPBNLWSHKh2a30DoXe8/edit?usp=sharing"",""สตูล!J508"")"),0)</f>
        <v>0</v>
      </c>
      <c r="K613" s="169">
        <f t="shared" ca="1" si="127"/>
        <v>0</v>
      </c>
      <c r="L613" s="189"/>
      <c r="M613" s="189"/>
      <c r="N613" s="189"/>
      <c r="O613" s="189"/>
      <c r="P613" s="189"/>
    </row>
    <row r="614" spans="1:16" ht="21.75" customHeight="1" x14ac:dyDescent="0.35">
      <c r="A614" s="183"/>
      <c r="B614" s="184"/>
      <c r="C614" s="184"/>
      <c r="D614" s="201"/>
      <c r="E614" s="206"/>
      <c r="F614" s="203"/>
      <c r="G614" s="233" t="s">
        <v>222</v>
      </c>
      <c r="H614" s="188" t="s">
        <v>122</v>
      </c>
      <c r="I614" s="211">
        <f ca="1">IFERROR(__xludf.DUMMYFUNCTION("IMPORTRANGE(""https://docs.google.com/spreadsheets/d/1IYY_tgx_IHuhSq3AJ5eI5OnqOPBNLWSHKh2a30DoXe8/edit?usp=sharing"",""สตูล!I509"")"),0)</f>
        <v>0</v>
      </c>
      <c r="J614" s="205">
        <f ca="1">IFERROR(__xludf.DUMMYFUNCTION("IMPORTRANGE(""https://docs.google.com/spreadsheets/d/1IYY_tgx_IHuhSq3AJ5eI5OnqOPBNLWSHKh2a30DoXe8/edit?usp=sharing"",""สตูล!J509"")"),0)</f>
        <v>0</v>
      </c>
      <c r="K614" s="169">
        <f t="shared" ca="1" si="127"/>
        <v>0</v>
      </c>
      <c r="L614" s="189"/>
      <c r="M614" s="189"/>
      <c r="N614" s="189"/>
      <c r="O614" s="189"/>
      <c r="P614" s="189"/>
    </row>
    <row r="615" spans="1:16" ht="21.75" customHeight="1" x14ac:dyDescent="0.35">
      <c r="A615" s="183"/>
      <c r="B615" s="184"/>
      <c r="C615" s="184"/>
      <c r="D615" s="201"/>
      <c r="E615" s="206"/>
      <c r="F615" s="203"/>
      <c r="G615" s="233" t="s">
        <v>223</v>
      </c>
      <c r="H615" s="188" t="s">
        <v>122</v>
      </c>
      <c r="I615" s="211">
        <f ca="1">IFERROR(__xludf.DUMMYFUNCTION("IMPORTRANGE(""https://docs.google.com/spreadsheets/d/1IYY_tgx_IHuhSq3AJ5eI5OnqOPBNLWSHKh2a30DoXe8/edit?usp=sharing"",""สตูล!I510"")"),0)</f>
        <v>0</v>
      </c>
      <c r="J615" s="205">
        <f ca="1">IFERROR(__xludf.DUMMYFUNCTION("IMPORTRANGE(""https://docs.google.com/spreadsheets/d/1IYY_tgx_IHuhSq3AJ5eI5OnqOPBNLWSHKh2a30DoXe8/edit?usp=sharing"",""สตูล!J510"")"),0)</f>
        <v>0</v>
      </c>
      <c r="K615" s="169">
        <f t="shared" ca="1" si="127"/>
        <v>0</v>
      </c>
      <c r="L615" s="189"/>
      <c r="M615" s="189"/>
      <c r="N615" s="189"/>
      <c r="O615" s="189"/>
      <c r="P615" s="189"/>
    </row>
    <row r="616" spans="1:16" ht="21.75" customHeight="1" x14ac:dyDescent="0.35">
      <c r="A616" s="183"/>
      <c r="B616" s="184"/>
      <c r="C616" s="184"/>
      <c r="D616" s="201"/>
      <c r="E616" s="206"/>
      <c r="F616" s="203"/>
      <c r="G616" s="202" t="s">
        <v>224</v>
      </c>
      <c r="H616" s="188" t="s">
        <v>122</v>
      </c>
      <c r="I616" s="211">
        <f ca="1">IFERROR(__xludf.DUMMYFUNCTION("IMPORTRANGE(""https://docs.google.com/spreadsheets/d/1IYY_tgx_IHuhSq3AJ5eI5OnqOPBNLWSHKh2a30DoXe8/edit?usp=sharing"",""สตูล!I511"")"),0)</f>
        <v>0</v>
      </c>
      <c r="J616" s="205">
        <f ca="1">IFERROR(__xludf.DUMMYFUNCTION("IMPORTRANGE(""https://docs.google.com/spreadsheets/d/1IYY_tgx_IHuhSq3AJ5eI5OnqOPBNLWSHKh2a30DoXe8/edit?usp=sharing"",""สตูล!J511"")"),0)</f>
        <v>0</v>
      </c>
      <c r="K616" s="169">
        <f t="shared" ca="1" si="127"/>
        <v>0</v>
      </c>
      <c r="L616" s="189"/>
      <c r="M616" s="189"/>
      <c r="N616" s="189"/>
      <c r="O616" s="189"/>
      <c r="P616" s="189"/>
    </row>
    <row r="617" spans="1:16" ht="21.75" customHeight="1" x14ac:dyDescent="0.35">
      <c r="A617" s="183"/>
      <c r="B617" s="184"/>
      <c r="C617" s="184"/>
      <c r="D617" s="201"/>
      <c r="E617" s="206"/>
      <c r="F617" s="203"/>
      <c r="G617" s="202" t="s">
        <v>225</v>
      </c>
      <c r="H617" s="188" t="s">
        <v>122</v>
      </c>
      <c r="I617" s="195">
        <f ca="1">IFERROR(__xludf.DUMMYFUNCTION("IMPORTRANGE(""https://docs.google.com/spreadsheets/d/1IYY_tgx_IHuhSq3AJ5eI5OnqOPBNLWSHKh2a30DoXe8/edit?usp=sharing"",""สตูล!I512"")"),0)</f>
        <v>0</v>
      </c>
      <c r="J617" s="195">
        <f ca="1">IFERROR(__xludf.DUMMYFUNCTION("IMPORTRANGE(""https://docs.google.com/spreadsheets/d/1IYY_tgx_IHuhSq3AJ5eI5OnqOPBNLWSHKh2a30DoXe8/edit?usp=sharing"",""สตูล!J512"")"),0)</f>
        <v>0</v>
      </c>
      <c r="K617" s="169">
        <f t="shared" ca="1" si="127"/>
        <v>0</v>
      </c>
      <c r="L617" s="189"/>
      <c r="M617" s="189"/>
      <c r="N617" s="189"/>
      <c r="O617" s="189"/>
      <c r="P617" s="189"/>
    </row>
    <row r="618" spans="1:16" ht="21.75" customHeight="1" x14ac:dyDescent="0.35">
      <c r="A618" s="183"/>
      <c r="B618" s="184"/>
      <c r="C618" s="184"/>
      <c r="D618" s="201"/>
      <c r="E618" s="206"/>
      <c r="F618" s="203"/>
      <c r="G618" s="504" t="s">
        <v>226</v>
      </c>
      <c r="H618" s="188" t="s">
        <v>122</v>
      </c>
      <c r="I618" s="211">
        <f ca="1">IFERROR(__xludf.DUMMYFUNCTION("IMPORTRANGE(""https://docs.google.com/spreadsheets/d/1IYY_tgx_IHuhSq3AJ5eI5OnqOPBNLWSHKh2a30DoXe8/edit?usp=sharing"",""สตูล!I513"")"),0)</f>
        <v>0</v>
      </c>
      <c r="J618" s="196">
        <f ca="1">IFERROR(__xludf.DUMMYFUNCTION("IMPORTRANGE(""https://docs.google.com/spreadsheets/d/1IYY_tgx_IHuhSq3AJ5eI5OnqOPBNLWSHKh2a30DoXe8/edit?usp=sharing"",""สตูล!J513"")"),0)</f>
        <v>0</v>
      </c>
      <c r="K618" s="169">
        <f t="shared" ca="1" si="127"/>
        <v>0</v>
      </c>
      <c r="L618" s="189"/>
      <c r="M618" s="189"/>
      <c r="N618" s="189"/>
      <c r="O618" s="189"/>
      <c r="P618" s="189"/>
    </row>
    <row r="619" spans="1:16" ht="21.75" customHeight="1" x14ac:dyDescent="0.35">
      <c r="A619" s="183"/>
      <c r="B619" s="184"/>
      <c r="C619" s="184"/>
      <c r="D619" s="201"/>
      <c r="E619" s="206"/>
      <c r="F619" s="203"/>
      <c r="G619" s="504" t="s">
        <v>227</v>
      </c>
      <c r="H619" s="188" t="s">
        <v>122</v>
      </c>
      <c r="I619" s="211">
        <f ca="1">IFERROR(__xludf.DUMMYFUNCTION("IMPORTRANGE(""https://docs.google.com/spreadsheets/d/1IYY_tgx_IHuhSq3AJ5eI5OnqOPBNLWSHKh2a30DoXe8/edit?usp=sharing"",""สตูล!I514"")"),0)</f>
        <v>0</v>
      </c>
      <c r="J619" s="196">
        <f ca="1">IFERROR(__xludf.DUMMYFUNCTION("IMPORTRANGE(""https://docs.google.com/spreadsheets/d/1IYY_tgx_IHuhSq3AJ5eI5OnqOPBNLWSHKh2a30DoXe8/edit?usp=sharing"",""สตูล!J514"")"),0)</f>
        <v>0</v>
      </c>
      <c r="K619" s="169">
        <f t="shared" ca="1" si="127"/>
        <v>0</v>
      </c>
      <c r="L619" s="189"/>
      <c r="M619" s="189"/>
      <c r="N619" s="189"/>
      <c r="O619" s="189"/>
      <c r="P619" s="189"/>
    </row>
    <row r="620" spans="1:16" ht="21.75" customHeight="1" x14ac:dyDescent="0.35">
      <c r="A620" s="183"/>
      <c r="B620" s="184"/>
      <c r="C620" s="184"/>
      <c r="D620" s="201"/>
      <c r="E620" s="203"/>
      <c r="F620" s="202" t="s">
        <v>228</v>
      </c>
      <c r="G620" s="204"/>
      <c r="H620" s="188" t="s">
        <v>122</v>
      </c>
      <c r="I620" s="195">
        <f ca="1">IFERROR(__xludf.DUMMYFUNCTION("IMPORTRANGE(""https://docs.google.com/spreadsheets/d/1IYY_tgx_IHuhSq3AJ5eI5OnqOPBNLWSHKh2a30DoXe8/edit?usp=sharing"",""สตูล!I515"")"),0)</f>
        <v>0</v>
      </c>
      <c r="J620" s="210">
        <f ca="1">IFERROR(__xludf.DUMMYFUNCTION("IMPORTRANGE(""https://docs.google.com/spreadsheets/d/1IYY_tgx_IHuhSq3AJ5eI5OnqOPBNLWSHKh2a30DoXe8/edit?usp=sharing"",""สตูล!J515"")"),0)</f>
        <v>0</v>
      </c>
      <c r="K620" s="169">
        <f t="shared" ref="K620:K626" ca="1" si="128">IF(I$620&gt;0,J620*100/I$620,0)</f>
        <v>0</v>
      </c>
      <c r="L620" s="189"/>
      <c r="M620" s="189"/>
      <c r="N620" s="189"/>
      <c r="O620" s="189"/>
      <c r="P620" s="189"/>
    </row>
    <row r="621" spans="1:16" ht="21.75" customHeight="1" x14ac:dyDescent="0.35">
      <c r="A621" s="183"/>
      <c r="B621" s="184"/>
      <c r="C621" s="184"/>
      <c r="D621" s="201"/>
      <c r="E621" s="206"/>
      <c r="F621" s="203"/>
      <c r="G621" s="233" t="s">
        <v>225</v>
      </c>
      <c r="H621" s="188" t="s">
        <v>122</v>
      </c>
      <c r="I621" s="210">
        <f ca="1">IFERROR(__xludf.DUMMYFUNCTION("IMPORTRANGE(""https://docs.google.com/spreadsheets/d/1IYY_tgx_IHuhSq3AJ5eI5OnqOPBNLWSHKh2a30DoXe8/edit?usp=sharing"",""สตูล!I516"")"),0)</f>
        <v>0</v>
      </c>
      <c r="J621" s="210">
        <f ca="1">IFERROR(__xludf.DUMMYFUNCTION("IMPORTRANGE(""https://docs.google.com/spreadsheets/d/1IYY_tgx_IHuhSq3AJ5eI5OnqOPBNLWSHKh2a30DoXe8/edit?usp=sharing"",""สตูล!J516"")"),0)</f>
        <v>0</v>
      </c>
      <c r="K621" s="169">
        <f t="shared" ca="1" si="128"/>
        <v>0</v>
      </c>
      <c r="L621" s="189"/>
      <c r="M621" s="189"/>
      <c r="N621" s="189"/>
      <c r="O621" s="189"/>
      <c r="P621" s="189"/>
    </row>
    <row r="622" spans="1:16" ht="21.75" customHeight="1" x14ac:dyDescent="0.35">
      <c r="A622" s="183"/>
      <c r="B622" s="184"/>
      <c r="C622" s="184"/>
      <c r="D622" s="201"/>
      <c r="E622" s="206"/>
      <c r="F622" s="203"/>
      <c r="G622" s="504" t="s">
        <v>226</v>
      </c>
      <c r="H622" s="188" t="s">
        <v>122</v>
      </c>
      <c r="I622" s="211">
        <f ca="1">IFERROR(__xludf.DUMMYFUNCTION("IMPORTRANGE(""https://docs.google.com/spreadsheets/d/1IYY_tgx_IHuhSq3AJ5eI5OnqOPBNLWSHKh2a30DoXe8/edit?usp=sharing"",""สตูล!I517"")"),0)</f>
        <v>0</v>
      </c>
      <c r="J622" s="196">
        <f ca="1">IFERROR(__xludf.DUMMYFUNCTION("IMPORTRANGE(""https://docs.google.com/spreadsheets/d/1IYY_tgx_IHuhSq3AJ5eI5OnqOPBNLWSHKh2a30DoXe8/edit?usp=sharing"",""สตูล!J517"")"),0)</f>
        <v>0</v>
      </c>
      <c r="K622" s="169">
        <f t="shared" ca="1" si="128"/>
        <v>0</v>
      </c>
      <c r="L622" s="189"/>
      <c r="M622" s="189"/>
      <c r="N622" s="189"/>
      <c r="O622" s="189"/>
      <c r="P622" s="189"/>
    </row>
    <row r="623" spans="1:16" ht="21.75" customHeight="1" x14ac:dyDescent="0.35">
      <c r="A623" s="183"/>
      <c r="B623" s="184"/>
      <c r="C623" s="184"/>
      <c r="D623" s="201"/>
      <c r="E623" s="206"/>
      <c r="F623" s="203"/>
      <c r="G623" s="504" t="s">
        <v>227</v>
      </c>
      <c r="H623" s="188" t="s">
        <v>122</v>
      </c>
      <c r="I623" s="211">
        <f ca="1">IFERROR(__xludf.DUMMYFUNCTION("IMPORTRANGE(""https://docs.google.com/spreadsheets/d/1IYY_tgx_IHuhSq3AJ5eI5OnqOPBNLWSHKh2a30DoXe8/edit?usp=sharing"",""สตูล!I518"")"),0)</f>
        <v>0</v>
      </c>
      <c r="J623" s="196">
        <f ca="1">IFERROR(__xludf.DUMMYFUNCTION("IMPORTRANGE(""https://docs.google.com/spreadsheets/d/1IYY_tgx_IHuhSq3AJ5eI5OnqOPBNLWSHKh2a30DoXe8/edit?usp=sharing"",""สตูล!J518"")"),0)</f>
        <v>0</v>
      </c>
      <c r="K623" s="169">
        <f t="shared" ca="1" si="128"/>
        <v>0</v>
      </c>
      <c r="L623" s="189"/>
      <c r="M623" s="189"/>
      <c r="N623" s="189"/>
      <c r="O623" s="189"/>
      <c r="P623" s="189"/>
    </row>
    <row r="624" spans="1:16" ht="21.75" customHeight="1" x14ac:dyDescent="0.35">
      <c r="A624" s="183"/>
      <c r="B624" s="184"/>
      <c r="C624" s="184"/>
      <c r="D624" s="201"/>
      <c r="E624" s="206"/>
      <c r="F624" s="203"/>
      <c r="G624" s="233" t="s">
        <v>229</v>
      </c>
      <c r="H624" s="188" t="s">
        <v>122</v>
      </c>
      <c r="I624" s="195">
        <f ca="1">IFERROR(__xludf.DUMMYFUNCTION("IMPORTRANGE(""https://docs.google.com/spreadsheets/d/1IYY_tgx_IHuhSq3AJ5eI5OnqOPBNLWSHKh2a30DoXe8/edit?usp=sharing"",""สตูล!I519"")"),0)</f>
        <v>0</v>
      </c>
      <c r="J624" s="195">
        <f ca="1">IFERROR(__xludf.DUMMYFUNCTION("IMPORTRANGE(""https://docs.google.com/spreadsheets/d/1IYY_tgx_IHuhSq3AJ5eI5OnqOPBNLWSHKh2a30DoXe8/edit?usp=sharing"",""สตูล!J519"")"),0)</f>
        <v>0</v>
      </c>
      <c r="K624" s="169">
        <f t="shared" ca="1" si="128"/>
        <v>0</v>
      </c>
      <c r="L624" s="189"/>
      <c r="M624" s="189"/>
      <c r="N624" s="189"/>
      <c r="O624" s="189"/>
      <c r="P624" s="189"/>
    </row>
    <row r="625" spans="1:16" ht="21.75" customHeight="1" x14ac:dyDescent="0.35">
      <c r="A625" s="183"/>
      <c r="B625" s="184"/>
      <c r="C625" s="184"/>
      <c r="D625" s="201"/>
      <c r="E625" s="206"/>
      <c r="F625" s="203"/>
      <c r="G625" s="504" t="s">
        <v>230</v>
      </c>
      <c r="H625" s="188" t="s">
        <v>122</v>
      </c>
      <c r="I625" s="211">
        <f ca="1">IFERROR(__xludf.DUMMYFUNCTION("IMPORTRANGE(""https://docs.google.com/spreadsheets/d/1IYY_tgx_IHuhSq3AJ5eI5OnqOPBNLWSHKh2a30DoXe8/edit?usp=sharing"",""สตูล!I520"")"),0)</f>
        <v>0</v>
      </c>
      <c r="J625" s="196">
        <f ca="1">IFERROR(__xludf.DUMMYFUNCTION("IMPORTRANGE(""https://docs.google.com/spreadsheets/d/1IYY_tgx_IHuhSq3AJ5eI5OnqOPBNLWSHKh2a30DoXe8/edit?usp=sharing"",""สตูล!J520"")"),0)</f>
        <v>0</v>
      </c>
      <c r="K625" s="169">
        <f t="shared" ca="1" si="128"/>
        <v>0</v>
      </c>
      <c r="L625" s="189"/>
      <c r="M625" s="189"/>
      <c r="N625" s="189"/>
      <c r="O625" s="189"/>
      <c r="P625" s="189"/>
    </row>
    <row r="626" spans="1:16" ht="21.75" customHeight="1" x14ac:dyDescent="0.35">
      <c r="A626" s="183"/>
      <c r="B626" s="184"/>
      <c r="C626" s="184"/>
      <c r="D626" s="201"/>
      <c r="E626" s="206"/>
      <c r="F626" s="203"/>
      <c r="G626" s="504" t="s">
        <v>231</v>
      </c>
      <c r="H626" s="188" t="s">
        <v>122</v>
      </c>
      <c r="I626" s="211">
        <f ca="1">IFERROR(__xludf.DUMMYFUNCTION("IMPORTRANGE(""https://docs.google.com/spreadsheets/d/1IYY_tgx_IHuhSq3AJ5eI5OnqOPBNLWSHKh2a30DoXe8/edit?usp=sharing"",""สตูล!I521"")"),0)</f>
        <v>0</v>
      </c>
      <c r="J626" s="196">
        <f ca="1">IFERROR(__xludf.DUMMYFUNCTION("IMPORTRANGE(""https://docs.google.com/spreadsheets/d/1IYY_tgx_IHuhSq3AJ5eI5OnqOPBNLWSHKh2a30DoXe8/edit?usp=sharing"",""สตูล!J521"")"),0)</f>
        <v>0</v>
      </c>
      <c r="K626" s="169">
        <f t="shared" ca="1" si="128"/>
        <v>0</v>
      </c>
      <c r="L626" s="189"/>
      <c r="M626" s="189"/>
      <c r="N626" s="189"/>
      <c r="O626" s="189"/>
      <c r="P626" s="189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2"/>
      <c r="E628" s="165"/>
      <c r="F628" s="165"/>
      <c r="G628" s="166"/>
      <c r="H628" s="513" t="s">
        <v>12</v>
      </c>
      <c r="I628" s="347">
        <f ca="1">IFERROR(__xludf.DUMMYFUNCTION("IMPORTRANGE(""https://docs.google.com/spreadsheets/d/1IYY_tgx_IHuhSq3AJ5eI5OnqOPBNLWSHKh2a30DoXe8/edit?usp=sharing"",""สตูล!I523"")"),298824.87)</f>
        <v>298824.87</v>
      </c>
      <c r="J628" s="347">
        <f ca="1">IFERROR(__xludf.DUMMYFUNCTION("IMPORTRANGE(""https://docs.google.com/spreadsheets/d/1IYY_tgx_IHuhSq3AJ5eI5OnqOPBNLWSHKh2a30DoXe8/edit?usp=sharing"",""สตูล!J523"")"),88393.22)</f>
        <v>88393.22</v>
      </c>
      <c r="K628" s="348">
        <f t="shared" ref="K628:K635" ca="1" si="129">IF(I628&gt;0,J628*100/I628,0)</f>
        <v>29.580275564078718</v>
      </c>
      <c r="L628" s="348"/>
      <c r="M628" s="348"/>
      <c r="N628" s="348"/>
      <c r="O628" s="176"/>
      <c r="P628" s="176"/>
    </row>
    <row r="629" spans="1:16" ht="21.75" customHeight="1" x14ac:dyDescent="0.35">
      <c r="A629" s="484"/>
      <c r="B629" s="163"/>
      <c r="C629" s="163"/>
      <c r="D629" s="172"/>
      <c r="E629" s="165"/>
      <c r="F629" s="165"/>
      <c r="G629" s="166"/>
      <c r="H629" s="513" t="s">
        <v>37</v>
      </c>
      <c r="I629" s="347">
        <f ca="1">IFERROR(__xludf.DUMMYFUNCTION("IMPORTRANGE(""https://docs.google.com/spreadsheets/d/1IYY_tgx_IHuhSq3AJ5eI5OnqOPBNLWSHKh2a30DoXe8/edit?usp=sharing"",""สตูล!I524"")"),36)</f>
        <v>36</v>
      </c>
      <c r="J629" s="347">
        <f ca="1">IFERROR(__xludf.DUMMYFUNCTION("IMPORTRANGE(""https://docs.google.com/spreadsheets/d/1IYY_tgx_IHuhSq3AJ5eI5OnqOPBNLWSHKh2a30DoXe8/edit?usp=sharing"",""สตูล!J524"")"),10)</f>
        <v>10</v>
      </c>
      <c r="K629" s="348">
        <f t="shared" ca="1" si="129"/>
        <v>27.777777777777779</v>
      </c>
      <c r="L629" s="348"/>
      <c r="M629" s="348"/>
      <c r="N629" s="348"/>
      <c r="O629" s="176"/>
      <c r="P629" s="176"/>
    </row>
    <row r="630" spans="1:16" ht="21.75" customHeight="1" x14ac:dyDescent="0.35">
      <c r="A630" s="484"/>
      <c r="B630" s="512" t="s">
        <v>234</v>
      </c>
      <c r="C630" s="163"/>
      <c r="D630" s="172"/>
      <c r="E630" s="165"/>
      <c r="F630" s="165"/>
      <c r="G630" s="166"/>
      <c r="H630" s="513" t="s">
        <v>12</v>
      </c>
      <c r="I630" s="347">
        <f ca="1">IFERROR(__xludf.DUMMYFUNCTION("IMPORTRANGE(""https://docs.google.com/spreadsheets/d/1IYY_tgx_IHuhSq3AJ5eI5OnqOPBNLWSHKh2a30DoXe8/edit?usp=sharing"",""สตูล!I525"")"),12403)</f>
        <v>12403</v>
      </c>
      <c r="J630" s="347">
        <f ca="1">IFERROR(__xludf.DUMMYFUNCTION("IMPORTRANGE(""https://docs.google.com/spreadsheets/d/1IYY_tgx_IHuhSq3AJ5eI5OnqOPBNLWSHKh2a30DoXe8/edit?usp=sharing"",""สตูล!J525"")"),3843)</f>
        <v>3843</v>
      </c>
      <c r="K630" s="348">
        <f t="shared" ca="1" si="129"/>
        <v>30.984439248568894</v>
      </c>
      <c r="L630" s="348"/>
      <c r="M630" s="348"/>
      <c r="N630" s="348"/>
      <c r="O630" s="176"/>
      <c r="P630" s="176"/>
    </row>
    <row r="631" spans="1:16" ht="21.75" customHeight="1" x14ac:dyDescent="0.35">
      <c r="A631" s="484"/>
      <c r="B631" s="163"/>
      <c r="C631" s="163"/>
      <c r="D631" s="172"/>
      <c r="E631" s="165"/>
      <c r="F631" s="165"/>
      <c r="G631" s="166"/>
      <c r="H631" s="513" t="s">
        <v>37</v>
      </c>
      <c r="I631" s="347">
        <f ca="1">IFERROR(__xludf.DUMMYFUNCTION("IMPORTRANGE(""https://docs.google.com/spreadsheets/d/1IYY_tgx_IHuhSq3AJ5eI5OnqOPBNLWSHKh2a30DoXe8/edit?usp=sharing"",""สตูล!I526"")"),1)</f>
        <v>1</v>
      </c>
      <c r="J631" s="347">
        <f ca="1">IFERROR(__xludf.DUMMYFUNCTION("IMPORTRANGE(""https://docs.google.com/spreadsheets/d/1IYY_tgx_IHuhSq3AJ5eI5OnqOPBNLWSHKh2a30DoXe8/edit?usp=sharing"",""สตูล!J526"")"),2)</f>
        <v>2</v>
      </c>
      <c r="K631" s="348">
        <f t="shared" ca="1" si="129"/>
        <v>200</v>
      </c>
      <c r="L631" s="348"/>
      <c r="M631" s="348"/>
      <c r="N631" s="348"/>
      <c r="O631" s="176"/>
      <c r="P631" s="176"/>
    </row>
    <row r="632" spans="1:16" ht="21.75" customHeight="1" x14ac:dyDescent="0.35">
      <c r="A632" s="484"/>
      <c r="B632" s="512" t="s">
        <v>235</v>
      </c>
      <c r="C632" s="163"/>
      <c r="D632" s="172"/>
      <c r="E632" s="165"/>
      <c r="F632" s="165"/>
      <c r="G632" s="166"/>
      <c r="H632" s="513" t="s">
        <v>12</v>
      </c>
      <c r="I632" s="347">
        <f ca="1">IFERROR(__xludf.DUMMYFUNCTION("IMPORTRANGE(""https://docs.google.com/spreadsheets/d/1IYY_tgx_IHuhSq3AJ5eI5OnqOPBNLWSHKh2a30DoXe8/edit?usp=sharing"",""สตูล!I527"")"),0)</f>
        <v>0</v>
      </c>
      <c r="J632" s="347">
        <f ca="1">IFERROR(__xludf.DUMMYFUNCTION("IMPORTRANGE(""https://docs.google.com/spreadsheets/d/1IYY_tgx_IHuhSq3AJ5eI5OnqOPBNLWSHKh2a30DoXe8/edit?usp=sharing"",""สตูล!J527"")"),0)</f>
        <v>0</v>
      </c>
      <c r="K632" s="348">
        <f t="shared" ca="1" si="129"/>
        <v>0</v>
      </c>
      <c r="L632" s="348"/>
      <c r="M632" s="348"/>
      <c r="N632" s="348"/>
      <c r="O632" s="176"/>
      <c r="P632" s="176"/>
    </row>
    <row r="633" spans="1:16" ht="21.75" customHeight="1" x14ac:dyDescent="0.35">
      <c r="A633" s="484"/>
      <c r="B633" s="512"/>
      <c r="C633" s="163"/>
      <c r="D633" s="172"/>
      <c r="E633" s="165"/>
      <c r="F633" s="165"/>
      <c r="G633" s="166"/>
      <c r="H633" s="513" t="s">
        <v>37</v>
      </c>
      <c r="I633" s="347">
        <f ca="1">IFERROR(__xludf.DUMMYFUNCTION("IMPORTRANGE(""https://docs.google.com/spreadsheets/d/1IYY_tgx_IHuhSq3AJ5eI5OnqOPBNLWSHKh2a30DoXe8/edit?usp=sharing"",""สตูล!I528"")"),0)</f>
        <v>0</v>
      </c>
      <c r="J633" s="347">
        <f ca="1">IFERROR(__xludf.DUMMYFUNCTION("IMPORTRANGE(""https://docs.google.com/spreadsheets/d/1IYY_tgx_IHuhSq3AJ5eI5OnqOPBNLWSHKh2a30DoXe8/edit?usp=sharing"",""สตูล!J528"")"),0)</f>
        <v>0</v>
      </c>
      <c r="K633" s="348">
        <f t="shared" ca="1" si="129"/>
        <v>0</v>
      </c>
      <c r="L633" s="348"/>
      <c r="M633" s="348"/>
      <c r="N633" s="348"/>
      <c r="O633" s="176"/>
      <c r="P633" s="176"/>
    </row>
    <row r="634" spans="1:16" ht="21.75" customHeight="1" x14ac:dyDescent="0.35">
      <c r="A634" s="484"/>
      <c r="B634" s="512" t="s">
        <v>236</v>
      </c>
      <c r="C634" s="163"/>
      <c r="D634" s="172"/>
      <c r="E634" s="165"/>
      <c r="F634" s="165"/>
      <c r="G634" s="166"/>
      <c r="H634" s="513" t="s">
        <v>12</v>
      </c>
      <c r="I634" s="347">
        <f ca="1">IFERROR(__xludf.DUMMYFUNCTION("IMPORTRANGE(""https://docs.google.com/spreadsheets/d/1IYY_tgx_IHuhSq3AJ5eI5OnqOPBNLWSHKh2a30DoXe8/edit?usp=sharing"",""สตูล!I529"")"),270000)</f>
        <v>270000</v>
      </c>
      <c r="J634" s="347">
        <f ca="1">IFERROR(__xludf.DUMMYFUNCTION("IMPORTRANGE(""https://docs.google.com/spreadsheets/d/1IYY_tgx_IHuhSq3AJ5eI5OnqOPBNLWSHKh2a30DoXe8/edit?usp=sharing"",""สตูล!J529"")"),270000)</f>
        <v>270000</v>
      </c>
      <c r="K634" s="348">
        <f t="shared" ca="1" si="129"/>
        <v>100</v>
      </c>
      <c r="L634" s="348"/>
      <c r="M634" s="348"/>
      <c r="N634" s="348"/>
      <c r="O634" s="176"/>
      <c r="P634" s="176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IFERROR(__xludf.DUMMYFUNCTION("IMPORTRANGE(""https://docs.google.com/spreadsheets/d/1IYY_tgx_IHuhSq3AJ5eI5OnqOPBNLWSHKh2a30DoXe8/edit?usp=sharing"",""สตูล!I530"")"),9)</f>
        <v>9</v>
      </c>
      <c r="J635" s="517">
        <f ca="1">IFERROR(__xludf.DUMMYFUNCTION("IMPORTRANGE(""https://docs.google.com/spreadsheets/d/1IYY_tgx_IHuhSq3AJ5eI5OnqOPBNLWSHKh2a30DoXe8/edit?usp=sharing"",""สตูล!J530"")"),9)</f>
        <v>9</v>
      </c>
      <c r="K635" s="492">
        <f t="shared" ca="1" si="129"/>
        <v>100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3" sqref="G23"/>
      <selection pane="bottomLeft" activeCell="A3" sqref="A3:P3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4" width="17.81640625" bestFit="1" customWidth="1"/>
    <col min="15" max="15" width="18.81640625" customWidth="1"/>
    <col min="16" max="16" width="20.54296875" customWidth="1"/>
  </cols>
  <sheetData>
    <row r="1" spans="1:16" ht="18" customHeight="1" x14ac:dyDescent="0.35">
      <c r="A1" s="527" t="s">
        <v>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</row>
    <row r="2" spans="1:16" ht="18" customHeight="1" x14ac:dyDescent="0.35">
      <c r="A2" s="527" t="s">
        <v>266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</row>
    <row r="3" spans="1:16" ht="18" customHeight="1" x14ac:dyDescent="0.35">
      <c r="A3" s="527" t="s">
        <v>268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5" t="s">
        <v>2</v>
      </c>
      <c r="B5" s="536"/>
      <c r="C5" s="536"/>
      <c r="D5" s="536"/>
      <c r="E5" s="536"/>
      <c r="F5" s="536"/>
      <c r="G5" s="537"/>
      <c r="H5" s="528" t="s">
        <v>3</v>
      </c>
      <c r="I5" s="530" t="s">
        <v>4</v>
      </c>
      <c r="J5" s="531"/>
      <c r="K5" s="532"/>
      <c r="L5" s="533" t="s">
        <v>5</v>
      </c>
      <c r="M5" s="532"/>
      <c r="N5" s="534" t="s">
        <v>6</v>
      </c>
      <c r="O5" s="531"/>
      <c r="P5" s="532"/>
    </row>
    <row r="6" spans="1:16" ht="21.75" customHeight="1" x14ac:dyDescent="0.35">
      <c r="A6" s="538"/>
      <c r="B6" s="539"/>
      <c r="C6" s="539"/>
      <c r="D6" s="539"/>
      <c r="E6" s="539"/>
      <c r="F6" s="539"/>
      <c r="G6" s="540"/>
      <c r="H6" s="52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1" t="s">
        <v>15</v>
      </c>
      <c r="B7" s="531"/>
      <c r="C7" s="531"/>
      <c r="D7" s="531"/>
      <c r="E7" s="531"/>
      <c r="F7" s="531"/>
      <c r="G7" s="53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2" t="s">
        <v>17</v>
      </c>
      <c r="E8" s="543"/>
      <c r="F8" s="543"/>
      <c r="G8" s="543"/>
      <c r="H8" s="20" t="s">
        <v>12</v>
      </c>
      <c r="I8" s="21"/>
      <c r="J8" s="21"/>
      <c r="K8" s="22"/>
      <c r="L8" s="23">
        <f t="shared" ref="L8:N8" ca="1" si="0">L9+L10</f>
        <v>6983608</v>
      </c>
      <c r="M8" s="23">
        <f t="shared" ca="1" si="0"/>
        <v>2329018</v>
      </c>
      <c r="N8" s="23">
        <f t="shared" ca="1" si="0"/>
        <v>2429756.0799999991</v>
      </c>
      <c r="O8" s="22">
        <f t="shared" ref="O8:O16" ca="1" si="1">IF(L8&gt;0,N8*100/L8,0)</f>
        <v>34.792274709577043</v>
      </c>
      <c r="P8" s="22">
        <f t="shared" ref="P8:P16" ca="1" si="2">IF(M8&gt;0,N8*100/M8,0)</f>
        <v>104.32534570363987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6983608</v>
      </c>
      <c r="M10" s="30">
        <f t="shared" ca="1" si="4"/>
        <v>2329018</v>
      </c>
      <c r="N10" s="30">
        <f t="shared" ca="1" si="4"/>
        <v>2429756.0799999991</v>
      </c>
      <c r="O10" s="29">
        <f t="shared" ca="1" si="1"/>
        <v>34.792274709577043</v>
      </c>
      <c r="P10" s="29">
        <f t="shared" ca="1" si="2"/>
        <v>104.32534570363987</v>
      </c>
    </row>
    <row r="11" spans="1:16" ht="21.75" customHeight="1" x14ac:dyDescent="0.45">
      <c r="A11" s="31"/>
      <c r="B11" s="32"/>
      <c r="C11" s="33" t="s">
        <v>16</v>
      </c>
      <c r="D11" s="544" t="s">
        <v>20</v>
      </c>
      <c r="E11" s="545"/>
      <c r="F11" s="54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6834808</v>
      </c>
      <c r="M12" s="38">
        <f t="shared" ca="1" si="6"/>
        <v>2180218</v>
      </c>
      <c r="N12" s="38">
        <f t="shared" ca="1" si="6"/>
        <v>2280956.0799999991</v>
      </c>
      <c r="O12" s="38">
        <f t="shared" ca="1" si="1"/>
        <v>33.372643093997652</v>
      </c>
      <c r="P12" s="38">
        <f t="shared" ca="1" si="2"/>
        <v>104.62055078895776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2388200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4446608</v>
      </c>
      <c r="M14" s="38">
        <f t="shared" si="8"/>
        <v>0</v>
      </c>
      <c r="N14" s="38">
        <f t="shared" ca="1" si="8"/>
        <v>539855.07999999891</v>
      </c>
      <c r="O14" s="41">
        <f t="shared" ca="1" si="1"/>
        <v>12.140829144372494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44" t="s">
        <v>23</v>
      </c>
      <c r="E15" s="54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148800</v>
      </c>
      <c r="M16" s="38">
        <f t="shared" ca="1" si="10"/>
        <v>148800</v>
      </c>
      <c r="N16" s="38">
        <f t="shared" ca="1" si="10"/>
        <v>148800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1" t="s">
        <v>24</v>
      </c>
      <c r="B17" s="531"/>
      <c r="C17" s="531"/>
      <c r="D17" s="531"/>
      <c r="E17" s="531"/>
      <c r="F17" s="531"/>
      <c r="G17" s="53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2" t="s">
        <v>17</v>
      </c>
      <c r="E18" s="543"/>
      <c r="F18" s="543"/>
      <c r="G18" s="543"/>
      <c r="H18" s="20" t="s">
        <v>12</v>
      </c>
      <c r="I18" s="21"/>
      <c r="J18" s="21"/>
      <c r="K18" s="22"/>
      <c r="L18" s="23">
        <f t="shared" ref="L18:N18" ca="1" si="11">L19+L20</f>
        <v>4195170</v>
      </c>
      <c r="M18" s="23">
        <f t="shared" ca="1" si="11"/>
        <v>2329018</v>
      </c>
      <c r="N18" s="23">
        <f t="shared" ca="1" si="11"/>
        <v>1889901</v>
      </c>
      <c r="O18" s="22">
        <f t="shared" ref="O18:O20" ca="1" si="12">IF(L18&gt;0,N18*100/L18,0)</f>
        <v>45.049449724325832</v>
      </c>
      <c r="P18" s="22">
        <f t="shared" ref="P18:P26" ca="1" si="13">IF(M18&gt;0,N18*100/M18,0)</f>
        <v>81.145830560347747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4195170</v>
      </c>
      <c r="M20" s="30">
        <f t="shared" ca="1" si="15"/>
        <v>2329018</v>
      </c>
      <c r="N20" s="30">
        <f t="shared" ca="1" si="15"/>
        <v>1889901</v>
      </c>
      <c r="O20" s="29">
        <f t="shared" ca="1" si="12"/>
        <v>45.049449724325832</v>
      </c>
      <c r="P20" s="29">
        <f t="shared" ca="1" si="13"/>
        <v>81.145830560347747</v>
      </c>
    </row>
    <row r="21" spans="1:16" ht="21.75" customHeight="1" x14ac:dyDescent="0.45">
      <c r="A21" s="31"/>
      <c r="B21" s="32"/>
      <c r="C21" s="33" t="s">
        <v>16</v>
      </c>
      <c r="D21" s="544" t="s">
        <v>20</v>
      </c>
      <c r="E21" s="545"/>
      <c r="F21" s="54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4046370</v>
      </c>
      <c r="M22" s="42">
        <f t="shared" ca="1" si="18"/>
        <v>2180218</v>
      </c>
      <c r="N22" s="41">
        <f t="shared" ca="1" si="18"/>
        <v>1741101</v>
      </c>
      <c r="O22" s="41">
        <f t="shared" ca="1" si="17"/>
        <v>43.028714625701554</v>
      </c>
      <c r="P22" s="41">
        <f t="shared" ca="1" si="13"/>
        <v>79.859032445379313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2388200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1658170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44" t="s">
        <v>23</v>
      </c>
      <c r="E25" s="54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148800</v>
      </c>
      <c r="M26" s="50">
        <f t="shared" ca="1" si="22"/>
        <v>148800</v>
      </c>
      <c r="N26" s="50">
        <f t="shared" ca="1" si="22"/>
        <v>148800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1" t="s">
        <v>25</v>
      </c>
      <c r="B27" s="531"/>
      <c r="C27" s="531"/>
      <c r="D27" s="531"/>
      <c r="E27" s="531"/>
      <c r="F27" s="531"/>
      <c r="G27" s="53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2" t="s">
        <v>17</v>
      </c>
      <c r="E28" s="543"/>
      <c r="F28" s="543"/>
      <c r="G28" s="543"/>
      <c r="H28" s="20" t="s">
        <v>12</v>
      </c>
      <c r="I28" s="21"/>
      <c r="J28" s="21"/>
      <c r="K28" s="22"/>
      <c r="L28" s="23">
        <f t="shared" ref="L28:N28" ca="1" si="23">L29+L30</f>
        <v>2788438</v>
      </c>
      <c r="M28" s="23">
        <f t="shared" si="23"/>
        <v>0</v>
      </c>
      <c r="N28" s="23">
        <f t="shared" ca="1" si="23"/>
        <v>539855.07999999891</v>
      </c>
      <c r="O28" s="22">
        <f t="shared" ref="O28:O30" ca="1" si="24">IF(L28&gt;0,N28*100/L28,0)</f>
        <v>19.360483539529977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2788438</v>
      </c>
      <c r="M30" s="30">
        <f t="shared" si="27"/>
        <v>0</v>
      </c>
      <c r="N30" s="30">
        <f t="shared" ca="1" si="27"/>
        <v>539855.07999999891</v>
      </c>
      <c r="O30" s="29">
        <f t="shared" ca="1" si="24"/>
        <v>19.360483539529977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44" t="s">
        <v>20</v>
      </c>
      <c r="E31" s="545"/>
      <c r="F31" s="54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2788438</v>
      </c>
      <c r="M32" s="41">
        <f t="shared" si="30"/>
        <v>0</v>
      </c>
      <c r="N32" s="41">
        <f t="shared" ca="1" si="30"/>
        <v>539855.07999999891</v>
      </c>
      <c r="O32" s="41">
        <f t="shared" ca="1" si="29"/>
        <v>19.360483539529977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2788438</v>
      </c>
      <c r="M34" s="41">
        <f t="shared" si="32"/>
        <v>0</v>
      </c>
      <c r="N34" s="41">
        <f t="shared" ca="1" si="32"/>
        <v>539855.07999999891</v>
      </c>
      <c r="O34" s="41">
        <f t="shared" ca="1" si="29"/>
        <v>19.360483539529977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44" t="s">
        <v>23</v>
      </c>
      <c r="E35" s="54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4195170</v>
      </c>
      <c r="M37" s="55">
        <f t="shared" ca="1" si="33"/>
        <v>2329018</v>
      </c>
      <c r="N37" s="55">
        <f t="shared" ca="1" si="33"/>
        <v>1889901</v>
      </c>
      <c r="O37" s="56">
        <f t="shared" ca="1" si="29"/>
        <v>45.049449724325832</v>
      </c>
      <c r="P37" s="56">
        <f t="shared" ca="1" si="25"/>
        <v>81.145830560347747</v>
      </c>
    </row>
    <row r="38" spans="1:16" ht="21.75" customHeight="1" x14ac:dyDescent="0.45">
      <c r="A38" s="546" t="s">
        <v>27</v>
      </c>
      <c r="B38" s="531"/>
      <c r="C38" s="531"/>
      <c r="D38" s="531"/>
      <c r="E38" s="531"/>
      <c r="F38" s="531"/>
      <c r="G38" s="53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7" t="s">
        <v>28</v>
      </c>
      <c r="C39" s="543"/>
      <c r="D39" s="543"/>
      <c r="E39" s="543"/>
      <c r="F39" s="543"/>
      <c r="G39" s="54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48" t="s">
        <v>17</v>
      </c>
      <c r="E41" s="545"/>
      <c r="F41" s="545"/>
      <c r="G41" s="545"/>
      <c r="H41" s="76" t="s">
        <v>12</v>
      </c>
      <c r="I41" s="77"/>
      <c r="J41" s="77"/>
      <c r="K41" s="78"/>
      <c r="L41" s="79">
        <f t="shared" ref="L41:N41" ca="1" si="34">L42+L43</f>
        <v>530800</v>
      </c>
      <c r="M41" s="79">
        <f t="shared" ca="1" si="34"/>
        <v>265400</v>
      </c>
      <c r="N41" s="79">
        <f t="shared" ca="1" si="34"/>
        <v>237962</v>
      </c>
      <c r="O41" s="78">
        <f t="shared" ref="O41:O43" ca="1" si="35">IF(L41&gt;0,N41*100/L41,0)</f>
        <v>44.830821401657872</v>
      </c>
      <c r="P41" s="78">
        <f t="shared" ref="P41:P43" ca="1" si="36">IF(M41&gt;0,N41*100/M41,0)</f>
        <v>89.661642803315743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530800</v>
      </c>
      <c r="M43" s="79">
        <f t="shared" ca="1" si="38"/>
        <v>265400</v>
      </c>
      <c r="N43" s="79">
        <f t="shared" ca="1" si="38"/>
        <v>237962</v>
      </c>
      <c r="O43" s="78">
        <f t="shared" ca="1" si="35"/>
        <v>44.830821401657872</v>
      </c>
      <c r="P43" s="78">
        <f t="shared" ca="1" si="36"/>
        <v>89.661642803315743</v>
      </c>
    </row>
    <row r="44" spans="1:16" ht="21.75" customHeight="1" x14ac:dyDescent="0.45">
      <c r="A44" s="80"/>
      <c r="B44" s="81"/>
      <c r="C44" s="82" t="s">
        <v>16</v>
      </c>
      <c r="D44" s="549" t="s">
        <v>20</v>
      </c>
      <c r="E44" s="545"/>
      <c r="F44" s="54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530800</v>
      </c>
      <c r="M45" s="91">
        <f ca="1">IFERROR(__xludf.DUMMYFUNCTION("IMPORTRANGE(""https://docs.google.com/spreadsheets/d/1Yj_ptqi66GCucihVvJfMjLAmec39IyEx_6qawtMGysU/edit?usp=sharing"",""สบก!Q94"")"),265400)</f>
        <v>265400</v>
      </c>
      <c r="N45" s="91">
        <f ca="1">IFERROR(__xludf.DUMMYFUNCTION("IMPORTRANGE(""https://docs.google.com/spreadsheets/d/1Yj_ptqi66GCucihVvJfMjLAmec39IyEx_6qawtMGysU/edit?usp=sharing"",""สบก!R94"")"),237962)</f>
        <v>237962</v>
      </c>
      <c r="O45" s="92">
        <f ca="1">IF(L45&gt;0,N45*100/L45,0)</f>
        <v>44.830821401657872</v>
      </c>
      <c r="P45" s="92">
        <f ca="1">IF(M45&gt;0,N45*100/M45,0)</f>
        <v>89.661642803315743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IFERROR(__xludf.DUMMYFUNCTION("IMPORTRANGE(""https://docs.google.com/spreadsheets/d/1Yj_ptqi66GCucihVvJfMjLAmec39IyEx_6qawtMGysU/edit?usp=sharing"",""สบก!M94"")"),530800)</f>
        <v>530800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IFERROR(__xludf.DUMMYFUNCTION("IMPORTRANGE(""https://docs.google.com/spreadsheets/d/1Yj_ptqi66GCucihVvJfMjLAmec39IyEx_6qawtMGysU/edit?usp=sharing"",""สบก!N94"")"),0)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49" t="s">
        <v>23</v>
      </c>
      <c r="E48" s="54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IFERROR(__xludf.DUMMYFUNCTION("IMPORTRANGE(""https://docs.google.com/spreadsheets/d/1Yj_ptqi66GCucihVvJfMjLAmec39IyEx_6qawtMGysU/edit?usp=sharing"",""สบก!O94"")"),0)</f>
        <v>0</v>
      </c>
      <c r="M49" s="101"/>
      <c r="N49" s="91">
        <f ca="1">IFERROR(__xludf.DUMMYFUNCTION("IMPORTRANGE(""https://docs.google.com/spreadsheets/d/1Yj_ptqi66GCucihVvJfMjLAmec39IyEx_6qawtMGysU/edit?usp=sharing"",""สบก!S94"")"),0)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0" t="s">
        <v>32</v>
      </c>
      <c r="C52" s="545"/>
      <c r="D52" s="545"/>
      <c r="E52" s="545"/>
      <c r="F52" s="545"/>
      <c r="G52" s="54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1" t="s">
        <v>17</v>
      </c>
      <c r="E53" s="545"/>
      <c r="F53" s="545"/>
      <c r="G53" s="545"/>
      <c r="H53" s="122" t="s">
        <v>12</v>
      </c>
      <c r="I53" s="123"/>
      <c r="J53" s="123"/>
      <c r="K53" s="124"/>
      <c r="L53" s="125">
        <f t="shared" ref="L53:N53" ca="1" si="39">L54+L55</f>
        <v>670000</v>
      </c>
      <c r="M53" s="125">
        <f t="shared" ca="1" si="39"/>
        <v>353778</v>
      </c>
      <c r="N53" s="125">
        <f t="shared" ca="1" si="39"/>
        <v>350278</v>
      </c>
      <c r="O53" s="124">
        <f t="shared" ref="O53:O55" ca="1" si="40">IF(L53&gt;0,N53*100/L53,0)</f>
        <v>52.280298507462689</v>
      </c>
      <c r="P53" s="124">
        <f t="shared" ref="P53:P55" ca="1" si="41">IF(M53&gt;0,N53*100/M53,0)</f>
        <v>99.010679013392576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670000</v>
      </c>
      <c r="M55" s="125">
        <f t="shared" ca="1" si="43"/>
        <v>353778</v>
      </c>
      <c r="N55" s="125">
        <f t="shared" ca="1" si="43"/>
        <v>350278</v>
      </c>
      <c r="O55" s="124">
        <f t="shared" ca="1" si="40"/>
        <v>52.280298507462689</v>
      </c>
      <c r="P55" s="124">
        <f t="shared" ca="1" si="41"/>
        <v>99.010679013392576</v>
      </c>
    </row>
    <row r="56" spans="1:16" ht="21.75" customHeight="1" x14ac:dyDescent="0.45">
      <c r="A56" s="80"/>
      <c r="B56" s="81"/>
      <c r="C56" s="82" t="s">
        <v>16</v>
      </c>
      <c r="D56" s="549" t="s">
        <v>20</v>
      </c>
      <c r="E56" s="545"/>
      <c r="F56" s="54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670000</v>
      </c>
      <c r="M57" s="91">
        <f ca="1">IFERROR(__xludf.DUMMYFUNCTION("IMPORTRANGE(""https://docs.google.com/spreadsheets/d/1Yj_ptqi66GCucihVvJfMjLAmec39IyEx_6qawtMGysU/edit?usp=sharing"",""สบก!Z94"")"),353778)</f>
        <v>353778</v>
      </c>
      <c r="N57" s="91">
        <f ca="1">IFERROR(__xludf.DUMMYFUNCTION("IMPORTRANGE(""https://docs.google.com/spreadsheets/d/1Yj_ptqi66GCucihVvJfMjLAmec39IyEx_6qawtMGysU/edit?usp=sharing"",""สบก!AA94"")"),350278)</f>
        <v>350278</v>
      </c>
      <c r="O57" s="92">
        <f ca="1">IF(L57&gt;0,N57*100/L57,0)</f>
        <v>52.280298507462689</v>
      </c>
      <c r="P57" s="92">
        <f ca="1">IF(M57&gt;0,N57*100/M57,0)</f>
        <v>99.010679013392576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IFERROR(__xludf.DUMMYFUNCTION("IMPORTRANGE(""https://docs.google.com/spreadsheets/d/1Yj_ptqi66GCucihVvJfMjLAmec39IyEx_6qawtMGysU/edit?usp=sharing"",""สบก!V94"")"),670000)</f>
        <v>670000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IFERROR(__xludf.DUMMYFUNCTION("IMPORTRANGE(""https://docs.google.com/spreadsheets/d/1Yj_ptqi66GCucihVvJfMjLAmec39IyEx_6qawtMGysU/edit?usp=sharing"",""สบก!W94"")"),0)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49" t="s">
        <v>23</v>
      </c>
      <c r="E60" s="54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IFERROR(__xludf.DUMMYFUNCTION("IMPORTRANGE(""https://docs.google.com/spreadsheets/d/1Yj_ptqi66GCucihVvJfMjLAmec39IyEx_6qawtMGysU/edit?usp=sharing"",""สบก!X94"")"),0)</f>
        <v>0</v>
      </c>
      <c r="M61" s="101"/>
      <c r="N61" s="91">
        <f ca="1">IFERROR(__xludf.DUMMYFUNCTION("IMPORTRANGE(""https://docs.google.com/spreadsheets/d/1Yj_ptqi66GCucihVvJfMjLAmec39IyEx_6qawtMGysU/edit?usp=sharing"",""สบก!AB94"")"),0)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IFERROR(__xludf.DUMMYFUNCTION("IMPORTRANGE(""https://docs.google.com/spreadsheets/d/1IYY_tgx_IHuhSq3AJ5eI5OnqOPBNLWSHKh2a30DoXe8/edit?usp=sharing"",""สุราษฎร์ธานี!I9"")"),0)</f>
        <v>0</v>
      </c>
      <c r="J64" s="146">
        <f ca="1">IFERROR(__xludf.DUMMYFUNCTION("IMPORTRANGE(""https://docs.google.com/spreadsheets/d/1IYY_tgx_IHuhSq3AJ5eI5OnqOPBNLWSHKh2a30DoXe8/edit?usp=sharing"",""สุราษฎร์ธานี!J9"")"),0)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IFERROR(__xludf.DUMMYFUNCTION("IMPORTRANGE(""https://docs.google.com/spreadsheets/d/1IYY_tgx_IHuhSq3AJ5eI5OnqOPBNLWSHKh2a30DoXe8/edit?usp=sharing"",""สุราษฎร์ธานี!I10"")"),0)</f>
        <v>0</v>
      </c>
      <c r="J65" s="146">
        <f ca="1">IFERROR(__xludf.DUMMYFUNCTION("IMPORTRANGE(""https://docs.google.com/spreadsheets/d/1IYY_tgx_IHuhSq3AJ5eI5OnqOPBNLWSHKh2a30DoXe8/edit?usp=sharing"",""สุราษฎร์ธานี!J10"")"),0)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52" t="s">
        <v>17</v>
      </c>
      <c r="E66" s="543"/>
      <c r="F66" s="543"/>
      <c r="G66" s="54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5">
      <c r="A69" s="162"/>
      <c r="B69" s="163"/>
      <c r="C69" s="163" t="s">
        <v>16</v>
      </c>
      <c r="D69" s="164" t="s">
        <v>38</v>
      </c>
      <c r="E69" s="165"/>
      <c r="F69" s="165"/>
      <c r="G69" s="166" t="s">
        <v>39</v>
      </c>
      <c r="H69" s="167" t="s">
        <v>12</v>
      </c>
      <c r="I69" s="168" t="s">
        <v>40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 x14ac:dyDescent="0.35">
      <c r="A70" s="162"/>
      <c r="B70" s="163"/>
      <c r="C70" s="163"/>
      <c r="D70" s="172"/>
      <c r="E70" s="165"/>
      <c r="F70" s="165" t="s">
        <v>40</v>
      </c>
      <c r="G70" s="166" t="s">
        <v>41</v>
      </c>
      <c r="H70" s="167" t="s">
        <v>12</v>
      </c>
      <c r="I70" s="168"/>
      <c r="J70" s="168"/>
      <c r="K70" s="169"/>
      <c r="L70" s="173">
        <f ca="1">L71+L72</f>
        <v>0</v>
      </c>
      <c r="M70" s="174">
        <f ca="1">IFERROR(__xludf.DUMMYFUNCTION("IMPORTRANGE(""https://docs.google.com/spreadsheets/d/1Yj_ptqi66GCucihVvJfMjLAmec39IyEx_6qawtMGysU/edit?usp=sharing"",""สบก!AI94"")"),0)</f>
        <v>0</v>
      </c>
      <c r="N70" s="175">
        <f ca="1">IFERROR(__xludf.DUMMYFUNCTION("IMPORTRANGE(""https://docs.google.com/spreadsheets/d/1Yj_ptqi66GCucihVvJfMjLAmec39IyEx_6qawtMGysU/edit?usp=sharing"",""สบก!AJ94"")"),0)</f>
        <v>0</v>
      </c>
      <c r="O70" s="176">
        <f ca="1">IF(L70&gt;0,N70*100/L70,0)</f>
        <v>0</v>
      </c>
      <c r="P70" s="176">
        <f ca="1">IF(M70&gt;0,N70*100/M70,0)</f>
        <v>0</v>
      </c>
    </row>
    <row r="71" spans="1:16" ht="21.75" customHeight="1" x14ac:dyDescent="0.35">
      <c r="A71" s="162"/>
      <c r="B71" s="163"/>
      <c r="C71" s="163"/>
      <c r="D71" s="172"/>
      <c r="E71" s="165"/>
      <c r="F71" s="165"/>
      <c r="G71" s="177" t="s">
        <v>42</v>
      </c>
      <c r="H71" s="167" t="s">
        <v>12</v>
      </c>
      <c r="I71" s="168"/>
      <c r="J71" s="168"/>
      <c r="K71" s="169"/>
      <c r="L71" s="174">
        <f ca="1">IFERROR(__xludf.DUMMYFUNCTION("IMPORTRANGE(""https://docs.google.com/spreadsheets/d/1Yj_ptqi66GCucihVvJfMjLAmec39IyEx_6qawtMGysU/edit?usp=sharing"",""สบก!AE94"")"),0)</f>
        <v>0</v>
      </c>
      <c r="M71" s="173"/>
      <c r="N71" s="173"/>
      <c r="O71" s="176"/>
      <c r="P71" s="176"/>
    </row>
    <row r="72" spans="1:16" ht="21.75" customHeight="1" x14ac:dyDescent="0.35">
      <c r="A72" s="162"/>
      <c r="B72" s="163"/>
      <c r="C72" s="163"/>
      <c r="D72" s="172"/>
      <c r="E72" s="165"/>
      <c r="F72" s="165"/>
      <c r="G72" s="177" t="s">
        <v>43</v>
      </c>
      <c r="H72" s="167" t="s">
        <v>12</v>
      </c>
      <c r="I72" s="168"/>
      <c r="J72" s="168"/>
      <c r="K72" s="169"/>
      <c r="L72" s="174">
        <f ca="1">IFERROR(__xludf.DUMMYFUNCTION("IMPORTRANGE(""https://docs.google.com/spreadsheets/d/1Yj_ptqi66GCucihVvJfMjLAmec39IyEx_6qawtMGysU/edit?usp=sharing"",""สบก!AF94"")"),0)</f>
        <v>0</v>
      </c>
      <c r="M72" s="173"/>
      <c r="N72" s="173"/>
      <c r="O72" s="176"/>
      <c r="P72" s="176"/>
    </row>
    <row r="73" spans="1:16" ht="21.75" customHeight="1" x14ac:dyDescent="0.45">
      <c r="A73" s="178"/>
      <c r="B73" s="81"/>
      <c r="C73" s="82" t="s">
        <v>16</v>
      </c>
      <c r="D73" s="549" t="s">
        <v>23</v>
      </c>
      <c r="E73" s="545"/>
      <c r="F73" s="89"/>
      <c r="G73" s="83" t="s">
        <v>18</v>
      </c>
      <c r="H73" s="179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80"/>
      <c r="B74" s="95"/>
      <c r="C74" s="95"/>
      <c r="D74" s="181"/>
      <c r="E74" s="96"/>
      <c r="F74" s="96"/>
      <c r="G74" s="97" t="s">
        <v>19</v>
      </c>
      <c r="H74" s="182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IFERROR(__xludf.DUMMYFUNCTION("IMPORTRANGE(""https://docs.google.com/spreadsheets/d/1Yj_ptqi66GCucihVvJfMjLAmec39IyEx_6qawtMGysU/edit?usp=sharing"",""สบก!AG94"")"),0)</f>
        <v>0</v>
      </c>
      <c r="M74" s="101"/>
      <c r="N74" s="91">
        <f ca="1">IFERROR(__xludf.DUMMYFUNCTION("IMPORTRANGE(""https://docs.google.com/spreadsheets/d/1Yj_ptqi66GCucihVvJfMjLAmec39IyEx_6qawtMGysU/edit?usp=sharing"",""สบก!AK94"")"),0)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3"/>
      <c r="B75" s="184"/>
      <c r="C75" s="163" t="s">
        <v>16</v>
      </c>
      <c r="D75" s="185" t="s">
        <v>44</v>
      </c>
      <c r="E75" s="186"/>
      <c r="F75" s="186"/>
      <c r="G75" s="187"/>
      <c r="H75" s="188"/>
      <c r="I75" s="168"/>
      <c r="J75" s="168"/>
      <c r="K75" s="169"/>
      <c r="L75" s="189"/>
      <c r="M75" s="189"/>
      <c r="N75" s="189"/>
      <c r="O75" s="189"/>
      <c r="P75" s="189"/>
    </row>
    <row r="76" spans="1:16" ht="21.75" customHeight="1" x14ac:dyDescent="0.35">
      <c r="A76" s="183"/>
      <c r="B76" s="184"/>
      <c r="C76" s="184"/>
      <c r="D76" s="190">
        <v>1</v>
      </c>
      <c r="E76" s="191" t="s">
        <v>45</v>
      </c>
      <c r="F76" s="192"/>
      <c r="G76" s="193"/>
      <c r="H76" s="194"/>
      <c r="I76" s="195"/>
      <c r="J76" s="196">
        <f ca="1">IFERROR(__xludf.DUMMYFUNCTION("IMPORTRANGE(""https://docs.google.com/spreadsheets/d/1IYY_tgx_IHuhSq3AJ5eI5OnqOPBNLWSHKh2a30DoXe8/edit?usp=sharing"",""สุราษฎร์ธานี!J16"")"),0)</f>
        <v>0</v>
      </c>
      <c r="K76" s="169"/>
      <c r="L76" s="189"/>
      <c r="M76" s="189"/>
      <c r="N76" s="189"/>
      <c r="O76" s="189"/>
      <c r="P76" s="189"/>
    </row>
    <row r="77" spans="1:16" ht="21.75" customHeight="1" x14ac:dyDescent="0.35">
      <c r="A77" s="183"/>
      <c r="B77" s="184"/>
      <c r="C77" s="184"/>
      <c r="D77" s="197">
        <v>2</v>
      </c>
      <c r="E77" s="198" t="s">
        <v>46</v>
      </c>
      <c r="F77" s="199"/>
      <c r="G77" s="200"/>
      <c r="H77" s="194"/>
      <c r="I77" s="195"/>
      <c r="J77" s="196">
        <f ca="1">IFERROR(__xludf.DUMMYFUNCTION("IMPORTRANGE(""https://docs.google.com/spreadsheets/d/1IYY_tgx_IHuhSq3AJ5eI5OnqOPBNLWSHKh2a30DoXe8/edit?usp=sharing"",""สุราษฎร์ธานี!J17"")"),0)</f>
        <v>0</v>
      </c>
      <c r="K77" s="169"/>
      <c r="L77" s="189" t="s">
        <v>40</v>
      </c>
      <c r="M77" s="189"/>
      <c r="N77" s="189" t="s">
        <v>40</v>
      </c>
      <c r="O77" s="189"/>
      <c r="P77" s="189"/>
    </row>
    <row r="78" spans="1:16" ht="21.75" customHeight="1" x14ac:dyDescent="0.35">
      <c r="A78" s="183"/>
      <c r="B78" s="184"/>
      <c r="C78" s="184"/>
      <c r="D78" s="201"/>
      <c r="E78" s="202" t="s">
        <v>47</v>
      </c>
      <c r="F78" s="203"/>
      <c r="G78" s="204"/>
      <c r="H78" s="194"/>
      <c r="I78" s="195"/>
      <c r="J78" s="196">
        <f ca="1">IFERROR(__xludf.DUMMYFUNCTION("IMPORTRANGE(""https://docs.google.com/spreadsheets/d/1IYY_tgx_IHuhSq3AJ5eI5OnqOPBNLWSHKh2a30DoXe8/edit?usp=sharing"",""สุราษฎร์ธานี!J18"")"),0)</f>
        <v>0</v>
      </c>
      <c r="K78" s="169"/>
      <c r="L78" s="189"/>
      <c r="M78" s="189"/>
      <c r="N78" s="189"/>
      <c r="O78" s="189"/>
      <c r="P78" s="189"/>
    </row>
    <row r="79" spans="1:16" ht="21.75" customHeight="1" x14ac:dyDescent="0.35">
      <c r="A79" s="183"/>
      <c r="B79" s="184"/>
      <c r="C79" s="184"/>
      <c r="D79" s="201"/>
      <c r="E79" s="202" t="s">
        <v>48</v>
      </c>
      <c r="F79" s="203"/>
      <c r="G79" s="204"/>
      <c r="H79" s="194"/>
      <c r="I79" s="195"/>
      <c r="J79" s="205">
        <f ca="1">IFERROR(__xludf.DUMMYFUNCTION("IMPORTRANGE(""https://docs.google.com/spreadsheets/d/1IYY_tgx_IHuhSq3AJ5eI5OnqOPBNLWSHKh2a30DoXe8/edit?usp=sharing"",""สุราษฎร์ธานี!J19"")"),0)</f>
        <v>0</v>
      </c>
      <c r="K79" s="169"/>
      <c r="L79" s="189"/>
      <c r="M79" s="189"/>
      <c r="N79" s="189"/>
      <c r="O79" s="189"/>
      <c r="P79" s="189"/>
    </row>
    <row r="80" spans="1:16" ht="21.75" customHeight="1" x14ac:dyDescent="0.35">
      <c r="A80" s="183"/>
      <c r="B80" s="184"/>
      <c r="C80" s="184"/>
      <c r="D80" s="201"/>
      <c r="E80" s="206"/>
      <c r="F80" s="202" t="s">
        <v>49</v>
      </c>
      <c r="G80" s="203"/>
      <c r="H80" s="207" t="s">
        <v>36</v>
      </c>
      <c r="I80" s="208">
        <f ca="1">IFERROR(__xludf.DUMMYFUNCTION("IMPORTRANGE(""https://docs.google.com/spreadsheets/d/1IYY_tgx_IHuhSq3AJ5eI5OnqOPBNLWSHKh2a30DoXe8/edit?usp=sharing"",""สุราษฎร์ธานี!I20"")"),0)</f>
        <v>0</v>
      </c>
      <c r="J80" s="208">
        <f ca="1">IFERROR(__xludf.DUMMYFUNCTION("IMPORTRANGE(""https://docs.google.com/spreadsheets/d/1IYY_tgx_IHuhSq3AJ5eI5OnqOPBNLWSHKh2a30DoXe8/edit?usp=sharing"",""สุราษฎร์ธานี!J20"")"),0)</f>
        <v>0</v>
      </c>
      <c r="K80" s="209">
        <f t="shared" ref="K80:K88" ca="1" si="50">IF(I80&gt;0,J80*100/I80,0)</f>
        <v>0</v>
      </c>
      <c r="L80" s="189"/>
      <c r="M80" s="189"/>
      <c r="N80" s="189"/>
      <c r="O80" s="189"/>
      <c r="P80" s="189"/>
    </row>
    <row r="81" spans="1:16" ht="21.75" customHeight="1" x14ac:dyDescent="0.35">
      <c r="A81" s="183"/>
      <c r="B81" s="184"/>
      <c r="C81" s="184"/>
      <c r="D81" s="201"/>
      <c r="E81" s="206"/>
      <c r="F81" s="203"/>
      <c r="G81" s="204"/>
      <c r="H81" s="207" t="s">
        <v>37</v>
      </c>
      <c r="I81" s="208">
        <f ca="1">IFERROR(__xludf.DUMMYFUNCTION("IMPORTRANGE(""https://docs.google.com/spreadsheets/d/1IYY_tgx_IHuhSq3AJ5eI5OnqOPBNLWSHKh2a30DoXe8/edit?usp=sharing"",""สุราษฎร์ธานี!I21"")"),0)</f>
        <v>0</v>
      </c>
      <c r="J81" s="208">
        <f ca="1">IFERROR(__xludf.DUMMYFUNCTION("IMPORTRANGE(""https://docs.google.com/spreadsheets/d/1IYY_tgx_IHuhSq3AJ5eI5OnqOPBNLWSHKh2a30DoXe8/edit?usp=sharing"",""สุราษฎร์ธานี!J21"")"),0)</f>
        <v>0</v>
      </c>
      <c r="K81" s="209">
        <f t="shared" ca="1" si="50"/>
        <v>0</v>
      </c>
      <c r="L81" s="189"/>
      <c r="M81" s="189"/>
      <c r="N81" s="189"/>
      <c r="O81" s="189"/>
      <c r="P81" s="189"/>
    </row>
    <row r="82" spans="1:16" ht="21.75" customHeight="1" x14ac:dyDescent="0.35">
      <c r="A82" s="183"/>
      <c r="B82" s="184"/>
      <c r="C82" s="184"/>
      <c r="D82" s="201"/>
      <c r="E82" s="206"/>
      <c r="F82" s="203"/>
      <c r="G82" s="203" t="s">
        <v>50</v>
      </c>
      <c r="H82" s="188" t="s">
        <v>36</v>
      </c>
      <c r="I82" s="210">
        <f ca="1">IFERROR(__xludf.DUMMYFUNCTION("IMPORTRANGE(""https://docs.google.com/spreadsheets/d/1IYY_tgx_IHuhSq3AJ5eI5OnqOPBNLWSHKh2a30DoXe8/edit?usp=sharing"",""สุราษฎร์ธานี!I22"")"),0)</f>
        <v>0</v>
      </c>
      <c r="J82" s="211">
        <f ca="1">IFERROR(__xludf.DUMMYFUNCTION("IMPORTRANGE(""https://docs.google.com/spreadsheets/d/1IYY_tgx_IHuhSq3AJ5eI5OnqOPBNLWSHKh2a30DoXe8/edit?usp=sharing"",""สุราษฎร์ธานี!J22"")"),0)</f>
        <v>0</v>
      </c>
      <c r="K82" s="169">
        <f t="shared" ca="1" si="50"/>
        <v>0</v>
      </c>
      <c r="L82" s="189"/>
      <c r="M82" s="189"/>
      <c r="N82" s="189"/>
      <c r="O82" s="189"/>
      <c r="P82" s="189"/>
    </row>
    <row r="83" spans="1:16" ht="21.75" customHeight="1" x14ac:dyDescent="0.35">
      <c r="A83" s="183"/>
      <c r="B83" s="184"/>
      <c r="C83" s="184"/>
      <c r="D83" s="201"/>
      <c r="E83" s="206"/>
      <c r="F83" s="203"/>
      <c r="G83" s="204"/>
      <c r="H83" s="188" t="s">
        <v>37</v>
      </c>
      <c r="I83" s="210">
        <f ca="1">IFERROR(__xludf.DUMMYFUNCTION("IMPORTRANGE(""https://docs.google.com/spreadsheets/d/1IYY_tgx_IHuhSq3AJ5eI5OnqOPBNLWSHKh2a30DoXe8/edit?usp=sharing"",""สุราษฎร์ธานี!I23"")"),0)</f>
        <v>0</v>
      </c>
      <c r="J83" s="211">
        <f ca="1">IFERROR(__xludf.DUMMYFUNCTION("IMPORTRANGE(""https://docs.google.com/spreadsheets/d/1IYY_tgx_IHuhSq3AJ5eI5OnqOPBNLWSHKh2a30DoXe8/edit?usp=sharing"",""สุราษฎร์ธานี!J23"")"),0)</f>
        <v>0</v>
      </c>
      <c r="K83" s="169">
        <f t="shared" ca="1" si="50"/>
        <v>0</v>
      </c>
      <c r="L83" s="189"/>
      <c r="M83" s="189"/>
      <c r="N83" s="189"/>
      <c r="O83" s="189"/>
      <c r="P83" s="189"/>
    </row>
    <row r="84" spans="1:16" ht="21.75" customHeight="1" x14ac:dyDescent="0.35">
      <c r="A84" s="183"/>
      <c r="B84" s="184"/>
      <c r="C84" s="184"/>
      <c r="D84" s="201"/>
      <c r="E84" s="206"/>
      <c r="F84" s="203"/>
      <c r="G84" s="203" t="s">
        <v>51</v>
      </c>
      <c r="H84" s="188" t="s">
        <v>36</v>
      </c>
      <c r="I84" s="210">
        <f ca="1">IFERROR(__xludf.DUMMYFUNCTION("IMPORTRANGE(""https://docs.google.com/spreadsheets/d/1IYY_tgx_IHuhSq3AJ5eI5OnqOPBNLWSHKh2a30DoXe8/edit?usp=sharing"",""สุราษฎร์ธานี!I24"")"),0)</f>
        <v>0</v>
      </c>
      <c r="J84" s="196">
        <f ca="1">IFERROR(__xludf.DUMMYFUNCTION("IMPORTRANGE(""https://docs.google.com/spreadsheets/d/1IYY_tgx_IHuhSq3AJ5eI5OnqOPBNLWSHKh2a30DoXe8/edit?usp=sharing"",""สุราษฎร์ธานี!J24"")"),0)</f>
        <v>0</v>
      </c>
      <c r="K84" s="169">
        <f t="shared" ca="1" si="50"/>
        <v>0</v>
      </c>
      <c r="L84" s="189"/>
      <c r="M84" s="189"/>
      <c r="N84" s="189"/>
      <c r="O84" s="189"/>
      <c r="P84" s="189"/>
    </row>
    <row r="85" spans="1:16" ht="21.75" customHeight="1" x14ac:dyDescent="0.35">
      <c r="A85" s="183"/>
      <c r="B85" s="184"/>
      <c r="C85" s="184"/>
      <c r="D85" s="201"/>
      <c r="E85" s="206"/>
      <c r="F85" s="203"/>
      <c r="G85" s="204"/>
      <c r="H85" s="188" t="s">
        <v>37</v>
      </c>
      <c r="I85" s="210">
        <f ca="1">IFERROR(__xludf.DUMMYFUNCTION("IMPORTRANGE(""https://docs.google.com/spreadsheets/d/1IYY_tgx_IHuhSq3AJ5eI5OnqOPBNLWSHKh2a30DoXe8/edit?usp=sharing"",""สุราษฎร์ธานี!I25"")"),0)</f>
        <v>0</v>
      </c>
      <c r="J85" s="196">
        <f ca="1">IFERROR(__xludf.DUMMYFUNCTION("IMPORTRANGE(""https://docs.google.com/spreadsheets/d/1IYY_tgx_IHuhSq3AJ5eI5OnqOPBNLWSHKh2a30DoXe8/edit?usp=sharing"",""สุราษฎร์ธานี!J25"")"),0)</f>
        <v>0</v>
      </c>
      <c r="K85" s="169">
        <f t="shared" ca="1" si="50"/>
        <v>0</v>
      </c>
      <c r="L85" s="189"/>
      <c r="M85" s="189"/>
      <c r="N85" s="189"/>
      <c r="O85" s="189"/>
      <c r="P85" s="189"/>
    </row>
    <row r="86" spans="1:16" ht="21.75" customHeight="1" x14ac:dyDescent="0.35">
      <c r="A86" s="183"/>
      <c r="B86" s="184"/>
      <c r="C86" s="184"/>
      <c r="D86" s="201"/>
      <c r="E86" s="206"/>
      <c r="F86" s="203"/>
      <c r="G86" s="203" t="s">
        <v>52</v>
      </c>
      <c r="H86" s="188" t="s">
        <v>36</v>
      </c>
      <c r="I86" s="210">
        <f ca="1">IFERROR(__xludf.DUMMYFUNCTION("IMPORTRANGE(""https://docs.google.com/spreadsheets/d/1IYY_tgx_IHuhSq3AJ5eI5OnqOPBNLWSHKh2a30DoXe8/edit?usp=sharing"",""สุราษฎร์ธานี!I26"")"),0)</f>
        <v>0</v>
      </c>
      <c r="J86" s="211">
        <f ca="1">IFERROR(__xludf.DUMMYFUNCTION("IMPORTRANGE(""https://docs.google.com/spreadsheets/d/1IYY_tgx_IHuhSq3AJ5eI5OnqOPBNLWSHKh2a30DoXe8/edit?usp=sharing"",""สุราษฎร์ธานี!J26"")"),0)</f>
        <v>0</v>
      </c>
      <c r="K86" s="169">
        <f t="shared" ca="1" si="50"/>
        <v>0</v>
      </c>
      <c r="L86" s="189"/>
      <c r="M86" s="189"/>
      <c r="N86" s="189"/>
      <c r="O86" s="189"/>
      <c r="P86" s="189"/>
    </row>
    <row r="87" spans="1:16" ht="21.75" customHeight="1" x14ac:dyDescent="0.35">
      <c r="A87" s="183"/>
      <c r="B87" s="184"/>
      <c r="C87" s="184"/>
      <c r="D87" s="201"/>
      <c r="E87" s="206"/>
      <c r="F87" s="203"/>
      <c r="G87" s="204"/>
      <c r="H87" s="188" t="s">
        <v>37</v>
      </c>
      <c r="I87" s="210">
        <f ca="1">IFERROR(__xludf.DUMMYFUNCTION("IMPORTRANGE(""https://docs.google.com/spreadsheets/d/1IYY_tgx_IHuhSq3AJ5eI5OnqOPBNLWSHKh2a30DoXe8/edit?usp=sharing"",""สุราษฎร์ธานี!I27"")"),0)</f>
        <v>0</v>
      </c>
      <c r="J87" s="211">
        <f ca="1">IFERROR(__xludf.DUMMYFUNCTION("IMPORTRANGE(""https://docs.google.com/spreadsheets/d/1IYY_tgx_IHuhSq3AJ5eI5OnqOPBNLWSHKh2a30DoXe8/edit?usp=sharing"",""สุราษฎร์ธานี!J27"")"),0)</f>
        <v>0</v>
      </c>
      <c r="K87" s="169">
        <f t="shared" ca="1" si="50"/>
        <v>0</v>
      </c>
      <c r="L87" s="189"/>
      <c r="M87" s="189"/>
      <c r="N87" s="189"/>
      <c r="O87" s="189"/>
      <c r="P87" s="189"/>
    </row>
    <row r="88" spans="1:16" ht="21.75" customHeight="1" x14ac:dyDescent="0.35">
      <c r="A88" s="183"/>
      <c r="B88" s="184"/>
      <c r="C88" s="184"/>
      <c r="D88" s="201"/>
      <c r="E88" s="206"/>
      <c r="F88" s="212" t="s">
        <v>53</v>
      </c>
      <c r="G88" s="203"/>
      <c r="H88" s="188" t="s">
        <v>37</v>
      </c>
      <c r="I88" s="210">
        <f ca="1">IFERROR(__xludf.DUMMYFUNCTION("IMPORTRANGE(""https://docs.google.com/spreadsheets/d/1IYY_tgx_IHuhSq3AJ5eI5OnqOPBNLWSHKh2a30DoXe8/edit?usp=sharing"",""สุราษฎร์ธานี!I28"")"),0)</f>
        <v>0</v>
      </c>
      <c r="J88" s="211">
        <f ca="1">IFERROR(__xludf.DUMMYFUNCTION("IMPORTRANGE(""https://docs.google.com/spreadsheets/d/1IYY_tgx_IHuhSq3AJ5eI5OnqOPBNLWSHKh2a30DoXe8/edit?usp=sharing"",""สุราษฎร์ธานี!J28"")"),0)</f>
        <v>0</v>
      </c>
      <c r="K88" s="169">
        <f t="shared" ca="1" si="50"/>
        <v>0</v>
      </c>
      <c r="L88" s="189"/>
      <c r="M88" s="189"/>
      <c r="N88" s="189"/>
      <c r="O88" s="189"/>
      <c r="P88" s="189"/>
    </row>
    <row r="89" spans="1:16" ht="21.75" customHeight="1" x14ac:dyDescent="0.35">
      <c r="A89" s="183"/>
      <c r="B89" s="184"/>
      <c r="C89" s="184"/>
      <c r="D89" s="201"/>
      <c r="E89" s="202" t="s">
        <v>54</v>
      </c>
      <c r="F89" s="203"/>
      <c r="G89" s="204"/>
      <c r="H89" s="194"/>
      <c r="I89" s="195"/>
      <c r="J89" s="205">
        <f ca="1">IFERROR(__xludf.DUMMYFUNCTION("IMPORTRANGE(""https://docs.google.com/spreadsheets/d/1IYY_tgx_IHuhSq3AJ5eI5OnqOPBNLWSHKh2a30DoXe8/edit?usp=sharing"",""สุราษฎร์ธานี!J29"")"),0)</f>
        <v>0</v>
      </c>
      <c r="K89" s="169"/>
      <c r="L89" s="189"/>
      <c r="M89" s="189"/>
      <c r="N89" s="189"/>
      <c r="O89" s="189"/>
      <c r="P89" s="189"/>
    </row>
    <row r="90" spans="1:16" ht="21.75" customHeight="1" x14ac:dyDescent="0.35">
      <c r="A90" s="183"/>
      <c r="B90" s="184"/>
      <c r="C90" s="184"/>
      <c r="D90" s="213">
        <v>3</v>
      </c>
      <c r="E90" s="214" t="s">
        <v>55</v>
      </c>
      <c r="F90" s="215"/>
      <c r="G90" s="216"/>
      <c r="H90" s="194"/>
      <c r="I90" s="195"/>
      <c r="J90" s="217">
        <f ca="1">IFERROR(__xludf.DUMMYFUNCTION("IMPORTRANGE(""https://docs.google.com/spreadsheets/d/1IYY_tgx_IHuhSq3AJ5eI5OnqOPBNLWSHKh2a30DoXe8/edit?usp=sharing"",""สุราษฎร์ธานี!J30"")"),0)</f>
        <v>0</v>
      </c>
      <c r="K90" s="169"/>
      <c r="L90" s="189"/>
      <c r="M90" s="189"/>
      <c r="N90" s="189"/>
      <c r="O90" s="189"/>
      <c r="P90" s="189"/>
    </row>
    <row r="91" spans="1:16" ht="21.75" customHeight="1" x14ac:dyDescent="0.35">
      <c r="A91" s="218" t="s">
        <v>56</v>
      </c>
      <c r="B91" s="219"/>
      <c r="C91" s="220"/>
      <c r="D91" s="219"/>
      <c r="E91" s="221"/>
      <c r="F91" s="221"/>
      <c r="G91" s="222"/>
      <c r="H91" s="223"/>
      <c r="I91" s="224"/>
      <c r="J91" s="224"/>
      <c r="K91" s="225"/>
      <c r="L91" s="226"/>
      <c r="M91" s="226"/>
      <c r="N91" s="226"/>
      <c r="O91" s="227"/>
      <c r="P91" s="227"/>
    </row>
    <row r="92" spans="1:16" ht="21.75" customHeight="1" x14ac:dyDescent="0.35">
      <c r="A92" s="142"/>
      <c r="B92" s="143" t="s">
        <v>57</v>
      </c>
      <c r="C92" s="143"/>
      <c r="D92" s="144"/>
      <c r="E92" s="143"/>
      <c r="F92" s="143"/>
      <c r="G92" s="228"/>
      <c r="H92" s="145" t="s">
        <v>37</v>
      </c>
      <c r="I92" s="146">
        <f ca="1">IFERROR(__xludf.DUMMYFUNCTION("IMPORTRANGE(""https://docs.google.com/spreadsheets/d/1IYY_tgx_IHuhSq3AJ5eI5OnqOPBNLWSHKh2a30DoXe8/edit?usp=sharing"",""สุราษฎร์ธานี!I32"")"),0)</f>
        <v>0</v>
      </c>
      <c r="J92" s="146">
        <f ca="1">IFERROR(__xludf.DUMMYFUNCTION("IMPORTRANGE(""https://docs.google.com/spreadsheets/d/1IYY_tgx_IHuhSq3AJ5eI5OnqOPBNLWSHKh2a30DoXe8/edit?usp=sharing"",""สุราษฎร์ธานี!J32"")"),0)</f>
        <v>0</v>
      </c>
      <c r="K92" s="147">
        <f t="shared" ref="K92:K93" ca="1" si="51">IF(I92&gt;0,J92*100/I92,0)</f>
        <v>0</v>
      </c>
      <c r="L92" s="229"/>
      <c r="M92" s="229"/>
      <c r="N92" s="230"/>
      <c r="O92" s="147"/>
      <c r="P92" s="147"/>
    </row>
    <row r="93" spans="1:16" ht="21.75" customHeight="1" x14ac:dyDescent="0.35">
      <c r="A93" s="142"/>
      <c r="B93" s="143"/>
      <c r="C93" s="143"/>
      <c r="D93" s="144" t="s">
        <v>58</v>
      </c>
      <c r="E93" s="143"/>
      <c r="F93" s="143"/>
      <c r="G93" s="228"/>
      <c r="H93" s="145" t="s">
        <v>59</v>
      </c>
      <c r="I93" s="146">
        <f ca="1">IFERROR(__xludf.DUMMYFUNCTION("IMPORTRANGE(""https://docs.google.com/spreadsheets/d/1IYY_tgx_IHuhSq3AJ5eI5OnqOPBNLWSHKh2a30DoXe8/edit?usp=sharing"",""สุราษฎร์ธานี!I33"")"),0)</f>
        <v>0</v>
      </c>
      <c r="J93" s="146">
        <f ca="1">IFERROR(__xludf.DUMMYFUNCTION("IMPORTRANGE(""https://docs.google.com/spreadsheets/d/1IYY_tgx_IHuhSq3AJ5eI5OnqOPBNLWSHKh2a30DoXe8/edit?usp=sharing"",""สุราษฎร์ธานี!J33"")"),0)</f>
        <v>0</v>
      </c>
      <c r="K93" s="147">
        <f t="shared" ca="1" si="51"/>
        <v>0</v>
      </c>
      <c r="L93" s="230"/>
      <c r="M93" s="230"/>
      <c r="N93" s="230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52" t="s">
        <v>17</v>
      </c>
      <c r="E94" s="543"/>
      <c r="F94" s="543"/>
      <c r="G94" s="543"/>
      <c r="H94" s="153" t="s">
        <v>12</v>
      </c>
      <c r="I94" s="168"/>
      <c r="J94" s="168"/>
      <c r="K94" s="169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8"/>
      <c r="J95" s="168"/>
      <c r="K95" s="169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8"/>
      <c r="J96" s="168"/>
      <c r="K96" s="169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5">
      <c r="A97" s="162"/>
      <c r="B97" s="163"/>
      <c r="C97" s="163" t="s">
        <v>16</v>
      </c>
      <c r="D97" s="164" t="s">
        <v>38</v>
      </c>
      <c r="E97" s="165"/>
      <c r="F97" s="165"/>
      <c r="G97" s="166" t="s">
        <v>39</v>
      </c>
      <c r="H97" s="167" t="s">
        <v>12</v>
      </c>
      <c r="I97" s="168" t="s">
        <v>40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 x14ac:dyDescent="0.35">
      <c r="A98" s="162"/>
      <c r="B98" s="163"/>
      <c r="C98" s="163"/>
      <c r="D98" s="172"/>
      <c r="E98" s="165"/>
      <c r="F98" s="165" t="s">
        <v>40</v>
      </c>
      <c r="G98" s="166" t="s">
        <v>41</v>
      </c>
      <c r="H98" s="167" t="s">
        <v>12</v>
      </c>
      <c r="I98" s="168"/>
      <c r="J98" s="168"/>
      <c r="K98" s="169"/>
      <c r="L98" s="173">
        <f ca="1">L99+L100</f>
        <v>0</v>
      </c>
      <c r="M98" s="174">
        <f ca="1">IFERROR(__xludf.DUMMYFUNCTION("IMPORTRANGE(""https://docs.google.com/spreadsheets/d/1Yj_ptqi66GCucihVvJfMjLAmec39IyEx_6qawtMGysU/edit?usp=sharing"",""สบก!AR94"")"),0)</f>
        <v>0</v>
      </c>
      <c r="N98" s="175">
        <f ca="1">IFERROR(__xludf.DUMMYFUNCTION("IMPORTRANGE(""https://docs.google.com/spreadsheets/d/1Yj_ptqi66GCucihVvJfMjLAmec39IyEx_6qawtMGysU/edit?usp=sharing"",""สบก!AS94"")"),0)</f>
        <v>0</v>
      </c>
      <c r="O98" s="176">
        <f ca="1">IF(L98&gt;0,N98*100/L98,0)</f>
        <v>0</v>
      </c>
      <c r="P98" s="176">
        <f ca="1">IF(M98&gt;0,N98*100/M98,0)</f>
        <v>0</v>
      </c>
    </row>
    <row r="99" spans="1:16" ht="21.75" customHeight="1" x14ac:dyDescent="0.35">
      <c r="A99" s="162"/>
      <c r="B99" s="163"/>
      <c r="C99" s="163"/>
      <c r="D99" s="172"/>
      <c r="E99" s="165"/>
      <c r="F99" s="165"/>
      <c r="G99" s="177" t="s">
        <v>42</v>
      </c>
      <c r="H99" s="167" t="s">
        <v>12</v>
      </c>
      <c r="I99" s="168"/>
      <c r="J99" s="168"/>
      <c r="K99" s="169"/>
      <c r="L99" s="174">
        <f ca="1">IFERROR(__xludf.DUMMYFUNCTION("IMPORTRANGE(""https://docs.google.com/spreadsheets/d/1Yj_ptqi66GCucihVvJfMjLAmec39IyEx_6qawtMGysU/edit?usp=sharing"",""สบก!AN94"")"),0)</f>
        <v>0</v>
      </c>
      <c r="M99" s="173"/>
      <c r="N99" s="173"/>
      <c r="O99" s="176"/>
      <c r="P99" s="176"/>
    </row>
    <row r="100" spans="1:16" ht="21.75" customHeight="1" x14ac:dyDescent="0.35">
      <c r="A100" s="162"/>
      <c r="B100" s="163"/>
      <c r="C100" s="163"/>
      <c r="D100" s="172"/>
      <c r="E100" s="165"/>
      <c r="F100" s="165"/>
      <c r="G100" s="177" t="s">
        <v>43</v>
      </c>
      <c r="H100" s="167" t="s">
        <v>12</v>
      </c>
      <c r="I100" s="168"/>
      <c r="J100" s="195"/>
      <c r="K100" s="231"/>
      <c r="L100" s="174">
        <f ca="1">IFERROR(__xludf.DUMMYFUNCTION("IMPORTRANGE(""https://docs.google.com/spreadsheets/d/1Yj_ptqi66GCucihVvJfMjLAmec39IyEx_6qawtMGysU/edit?usp=sharing"",""สบก!AO94"")"),0)</f>
        <v>0</v>
      </c>
      <c r="M100" s="173"/>
      <c r="N100" s="173"/>
      <c r="O100" s="176"/>
      <c r="P100" s="176"/>
    </row>
    <row r="101" spans="1:16" ht="21.75" customHeight="1" x14ac:dyDescent="0.45">
      <c r="A101" s="178"/>
      <c r="B101" s="81"/>
      <c r="C101" s="82" t="s">
        <v>16</v>
      </c>
      <c r="D101" s="549" t="s">
        <v>23</v>
      </c>
      <c r="E101" s="545"/>
      <c r="F101" s="89"/>
      <c r="G101" s="83" t="s">
        <v>18</v>
      </c>
      <c r="H101" s="179" t="s">
        <v>12</v>
      </c>
      <c r="I101" s="195"/>
      <c r="J101" s="195"/>
      <c r="K101" s="231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80"/>
      <c r="B102" s="95"/>
      <c r="C102" s="95"/>
      <c r="D102" s="181"/>
      <c r="E102" s="96"/>
      <c r="F102" s="96"/>
      <c r="G102" s="97" t="s">
        <v>19</v>
      </c>
      <c r="H102" s="182" t="s">
        <v>12</v>
      </c>
      <c r="I102" s="195"/>
      <c r="J102" s="195"/>
      <c r="K102" s="231"/>
      <c r="L102" s="91">
        <f ca="1">IFERROR(__xludf.DUMMYFUNCTION("IMPORTRANGE(""https://docs.google.com/spreadsheets/d/1Yj_ptqi66GCucihVvJfMjLAmec39IyEx_6qawtMGysU/edit?usp=sharing"",""สบก!AP94"")"),0)</f>
        <v>0</v>
      </c>
      <c r="M102" s="101"/>
      <c r="N102" s="91">
        <f ca="1">IFERROR(__xludf.DUMMYFUNCTION("IMPORTRANGE(""https://docs.google.com/spreadsheets/d/1Yj_ptqi66GCucihVvJfMjLAmec39IyEx_6qawtMGysU/edit?usp=sharing"",""สบก!AT94"")"),0)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3"/>
      <c r="B103" s="184"/>
      <c r="C103" s="163" t="s">
        <v>16</v>
      </c>
      <c r="D103" s="185" t="s">
        <v>44</v>
      </c>
      <c r="E103" s="186"/>
      <c r="F103" s="186"/>
      <c r="G103" s="187"/>
      <c r="H103" s="188"/>
      <c r="I103" s="168"/>
      <c r="J103" s="195"/>
      <c r="K103" s="231"/>
      <c r="L103" s="176"/>
      <c r="M103" s="176"/>
      <c r="N103" s="176"/>
      <c r="O103" s="189"/>
      <c r="P103" s="189"/>
    </row>
    <row r="104" spans="1:16" ht="21.75" customHeight="1" x14ac:dyDescent="0.35">
      <c r="A104" s="183"/>
      <c r="B104" s="184"/>
      <c r="C104" s="184"/>
      <c r="D104" s="190">
        <v>1</v>
      </c>
      <c r="E104" s="191" t="s">
        <v>45</v>
      </c>
      <c r="F104" s="192"/>
      <c r="G104" s="193"/>
      <c r="H104" s="194"/>
      <c r="I104" s="195"/>
      <c r="J104" s="195">
        <f ca="1">IFERROR(__xludf.DUMMYFUNCTION("IMPORTRANGE(""https://docs.google.com/spreadsheets/d/1IYY_tgx_IHuhSq3AJ5eI5OnqOPBNLWSHKh2a30DoXe8/edit?usp=sharing"",""สุราษฎร์ธานี!J39"")"),0)</f>
        <v>0</v>
      </c>
      <c r="K104" s="231"/>
      <c r="L104" s="176"/>
      <c r="M104" s="176"/>
      <c r="N104" s="176"/>
      <c r="O104" s="189"/>
      <c r="P104" s="189"/>
    </row>
    <row r="105" spans="1:16" ht="21.75" customHeight="1" x14ac:dyDescent="0.35">
      <c r="A105" s="183"/>
      <c r="B105" s="184"/>
      <c r="C105" s="184"/>
      <c r="D105" s="197">
        <v>2</v>
      </c>
      <c r="E105" s="198" t="s">
        <v>46</v>
      </c>
      <c r="F105" s="199"/>
      <c r="G105" s="200"/>
      <c r="H105" s="194"/>
      <c r="I105" s="195"/>
      <c r="J105" s="195">
        <f ca="1">IFERROR(__xludf.DUMMYFUNCTION("IMPORTRANGE(""https://docs.google.com/spreadsheets/d/1IYY_tgx_IHuhSq3AJ5eI5OnqOPBNLWSHKh2a30DoXe8/edit?usp=sharing"",""สุราษฎร์ธานี!J40"")"),0)</f>
        <v>0</v>
      </c>
      <c r="K105" s="231"/>
      <c r="L105" s="176" t="s">
        <v>40</v>
      </c>
      <c r="M105" s="176"/>
      <c r="N105" s="176" t="s">
        <v>40</v>
      </c>
      <c r="O105" s="189"/>
      <c r="P105" s="189"/>
    </row>
    <row r="106" spans="1:16" ht="21.75" customHeight="1" x14ac:dyDescent="0.35">
      <c r="A106" s="183"/>
      <c r="B106" s="184"/>
      <c r="C106" s="184"/>
      <c r="D106" s="201"/>
      <c r="E106" s="202" t="s">
        <v>47</v>
      </c>
      <c r="F106" s="203"/>
      <c r="G106" s="204"/>
      <c r="H106" s="194"/>
      <c r="I106" s="195"/>
      <c r="J106" s="195">
        <f ca="1">IFERROR(__xludf.DUMMYFUNCTION("IMPORTRANGE(""https://docs.google.com/spreadsheets/d/1IYY_tgx_IHuhSq3AJ5eI5OnqOPBNLWSHKh2a30DoXe8/edit?usp=sharing"",""สุราษฎร์ธานี!J41"")"),0)</f>
        <v>0</v>
      </c>
      <c r="K106" s="231"/>
      <c r="L106" s="176"/>
      <c r="M106" s="176"/>
      <c r="N106" s="176"/>
      <c r="O106" s="189"/>
      <c r="P106" s="189"/>
    </row>
    <row r="107" spans="1:16" ht="21.75" customHeight="1" x14ac:dyDescent="0.35">
      <c r="A107" s="183"/>
      <c r="B107" s="184"/>
      <c r="C107" s="184"/>
      <c r="D107" s="201"/>
      <c r="E107" s="202" t="s">
        <v>48</v>
      </c>
      <c r="F107" s="203"/>
      <c r="G107" s="204"/>
      <c r="H107" s="194"/>
      <c r="I107" s="195"/>
      <c r="J107" s="195">
        <f ca="1">IFERROR(__xludf.DUMMYFUNCTION("IMPORTRANGE(""https://docs.google.com/spreadsheets/d/1IYY_tgx_IHuhSq3AJ5eI5OnqOPBNLWSHKh2a30DoXe8/edit?usp=sharing"",""สุราษฎร์ธานี!J42"")"),0)</f>
        <v>0</v>
      </c>
      <c r="K107" s="231"/>
      <c r="L107" s="176"/>
      <c r="M107" s="176"/>
      <c r="N107" s="176"/>
      <c r="O107" s="189"/>
      <c r="P107" s="189"/>
    </row>
    <row r="108" spans="1:16" ht="21.75" customHeight="1" x14ac:dyDescent="0.35">
      <c r="A108" s="183"/>
      <c r="B108" s="184"/>
      <c r="C108" s="184"/>
      <c r="D108" s="201"/>
      <c r="E108" s="203"/>
      <c r="F108" s="203" t="s">
        <v>60</v>
      </c>
      <c r="G108" s="203"/>
      <c r="H108" s="188" t="s">
        <v>61</v>
      </c>
      <c r="I108" s="210">
        <f ca="1">IFERROR(__xludf.DUMMYFUNCTION("IMPORTRANGE(""https://docs.google.com/spreadsheets/d/1IYY_tgx_IHuhSq3AJ5eI5OnqOPBNLWSHKh2a30DoXe8/edit?usp=sharing"",""สุราษฎร์ธานี!I43"")"),0)</f>
        <v>0</v>
      </c>
      <c r="J108" s="211">
        <f ca="1">IFERROR(__xludf.DUMMYFUNCTION("IMPORTRANGE(""https://docs.google.com/spreadsheets/d/1IYY_tgx_IHuhSq3AJ5eI5OnqOPBNLWSHKh2a30DoXe8/edit?usp=sharing"",""สุราษฎร์ธานี!J43"")"),0)</f>
        <v>0</v>
      </c>
      <c r="K108" s="231">
        <f t="shared" ref="K108:K113" ca="1" si="57">IF(I108&gt;0,J108*100/I108,0)</f>
        <v>0</v>
      </c>
      <c r="L108" s="176"/>
      <c r="M108" s="176"/>
      <c r="N108" s="176"/>
      <c r="O108" s="189"/>
      <c r="P108" s="189"/>
    </row>
    <row r="109" spans="1:16" ht="21.75" customHeight="1" x14ac:dyDescent="0.35">
      <c r="A109" s="183"/>
      <c r="B109" s="184"/>
      <c r="C109" s="184"/>
      <c r="D109" s="201"/>
      <c r="E109" s="206"/>
      <c r="F109" s="202" t="s">
        <v>62</v>
      </c>
      <c r="G109" s="203"/>
      <c r="H109" s="188" t="s">
        <v>37</v>
      </c>
      <c r="I109" s="210">
        <f ca="1">IFERROR(__xludf.DUMMYFUNCTION("IMPORTRANGE(""https://docs.google.com/spreadsheets/d/1IYY_tgx_IHuhSq3AJ5eI5OnqOPBNLWSHKh2a30DoXe8/edit?usp=sharing"",""สุราษฎร์ธานี!I44"")"),0)</f>
        <v>0</v>
      </c>
      <c r="J109" s="211">
        <f ca="1">IFERROR(__xludf.DUMMYFUNCTION("IMPORTRANGE(""https://docs.google.com/spreadsheets/d/1IYY_tgx_IHuhSq3AJ5eI5OnqOPBNLWSHKh2a30DoXe8/edit?usp=sharing"",""สุราษฎร์ธานี!J44"")"),0)</f>
        <v>0</v>
      </c>
      <c r="K109" s="231">
        <f t="shared" ca="1" si="57"/>
        <v>0</v>
      </c>
      <c r="L109" s="176"/>
      <c r="M109" s="176"/>
      <c r="N109" s="176"/>
      <c r="O109" s="189"/>
      <c r="P109" s="189"/>
    </row>
    <row r="110" spans="1:16" ht="21.75" customHeight="1" x14ac:dyDescent="0.35">
      <c r="A110" s="183"/>
      <c r="B110" s="184"/>
      <c r="C110" s="184"/>
      <c r="D110" s="201"/>
      <c r="E110" s="206"/>
      <c r="F110" s="203"/>
      <c r="G110" s="232" t="s">
        <v>63</v>
      </c>
      <c r="H110" s="188" t="s">
        <v>37</v>
      </c>
      <c r="I110" s="210">
        <f ca="1">IFERROR(__xludf.DUMMYFUNCTION("IMPORTRANGE(""https://docs.google.com/spreadsheets/d/1IYY_tgx_IHuhSq3AJ5eI5OnqOPBNLWSHKh2a30DoXe8/edit?usp=sharing"",""สุราษฎร์ธานี!I45"")"),0)</f>
        <v>0</v>
      </c>
      <c r="J110" s="211">
        <f ca="1">IFERROR(__xludf.DUMMYFUNCTION("IMPORTRANGE(""https://docs.google.com/spreadsheets/d/1IYY_tgx_IHuhSq3AJ5eI5OnqOPBNLWSHKh2a30DoXe8/edit?usp=sharing"",""สุราษฎร์ธานี!J45"")"),0)</f>
        <v>0</v>
      </c>
      <c r="K110" s="231">
        <f t="shared" ca="1" si="57"/>
        <v>0</v>
      </c>
      <c r="L110" s="176"/>
      <c r="M110" s="176"/>
      <c r="N110" s="176"/>
      <c r="O110" s="189"/>
      <c r="P110" s="189"/>
    </row>
    <row r="111" spans="1:16" ht="21.75" customHeight="1" x14ac:dyDescent="0.35">
      <c r="A111" s="183"/>
      <c r="B111" s="184"/>
      <c r="C111" s="184"/>
      <c r="D111" s="201"/>
      <c r="E111" s="206"/>
      <c r="F111" s="203"/>
      <c r="G111" s="232" t="s">
        <v>64</v>
      </c>
      <c r="H111" s="188" t="s">
        <v>37</v>
      </c>
      <c r="I111" s="210">
        <f ca="1">IFERROR(__xludf.DUMMYFUNCTION("IMPORTRANGE(""https://docs.google.com/spreadsheets/d/1IYY_tgx_IHuhSq3AJ5eI5OnqOPBNLWSHKh2a30DoXe8/edit?usp=sharing"",""สุราษฎร์ธานี!I46"")"),0)</f>
        <v>0</v>
      </c>
      <c r="J111" s="211">
        <f ca="1">IFERROR(__xludf.DUMMYFUNCTION("IMPORTRANGE(""https://docs.google.com/spreadsheets/d/1IYY_tgx_IHuhSq3AJ5eI5OnqOPBNLWSHKh2a30DoXe8/edit?usp=sharing"",""สุราษฎร์ธานี!J46"")"),0)</f>
        <v>0</v>
      </c>
      <c r="K111" s="231">
        <f t="shared" ca="1" si="57"/>
        <v>0</v>
      </c>
      <c r="L111" s="176"/>
      <c r="M111" s="176"/>
      <c r="N111" s="176"/>
      <c r="O111" s="189"/>
      <c r="P111" s="189"/>
    </row>
    <row r="112" spans="1:16" ht="21.75" customHeight="1" x14ac:dyDescent="0.35">
      <c r="A112" s="183"/>
      <c r="B112" s="184"/>
      <c r="C112" s="184"/>
      <c r="D112" s="201"/>
      <c r="E112" s="206"/>
      <c r="F112" s="203"/>
      <c r="G112" s="233" t="s">
        <v>65</v>
      </c>
      <c r="H112" s="188" t="s">
        <v>37</v>
      </c>
      <c r="I112" s="210">
        <f ca="1">IFERROR(__xludf.DUMMYFUNCTION("IMPORTRANGE(""https://docs.google.com/spreadsheets/d/1IYY_tgx_IHuhSq3AJ5eI5OnqOPBNLWSHKh2a30DoXe8/edit?usp=sharing"",""สุราษฎร์ธานี!I47"")"),0)</f>
        <v>0</v>
      </c>
      <c r="J112" s="211">
        <f ca="1">IFERROR(__xludf.DUMMYFUNCTION("IMPORTRANGE(""https://docs.google.com/spreadsheets/d/1IYY_tgx_IHuhSq3AJ5eI5OnqOPBNLWSHKh2a30DoXe8/edit?usp=sharing"",""สุราษฎร์ธานี!J47"")"),0)</f>
        <v>0</v>
      </c>
      <c r="K112" s="231">
        <f t="shared" ca="1" si="57"/>
        <v>0</v>
      </c>
      <c r="L112" s="176"/>
      <c r="M112" s="176"/>
      <c r="N112" s="176"/>
      <c r="O112" s="189"/>
      <c r="P112" s="189"/>
    </row>
    <row r="113" spans="1:16" ht="21.75" customHeight="1" x14ac:dyDescent="0.35">
      <c r="A113" s="183"/>
      <c r="B113" s="184"/>
      <c r="C113" s="184"/>
      <c r="D113" s="201"/>
      <c r="E113" s="206"/>
      <c r="F113" s="203" t="s">
        <v>66</v>
      </c>
      <c r="G113" s="203"/>
      <c r="H113" s="188" t="s">
        <v>59</v>
      </c>
      <c r="I113" s="210">
        <f ca="1">IFERROR(__xludf.DUMMYFUNCTION("IMPORTRANGE(""https://docs.google.com/spreadsheets/d/1IYY_tgx_IHuhSq3AJ5eI5OnqOPBNLWSHKh2a30DoXe8/edit?usp=sharing"",""สุราษฎร์ธานี!I48"")"),0)</f>
        <v>0</v>
      </c>
      <c r="J113" s="211">
        <f ca="1">IFERROR(__xludf.DUMMYFUNCTION("IMPORTRANGE(""https://docs.google.com/spreadsheets/d/1IYY_tgx_IHuhSq3AJ5eI5OnqOPBNLWSHKh2a30DoXe8/edit?usp=sharing"",""สุราษฎร์ธานี!J48"")"),0)</f>
        <v>0</v>
      </c>
      <c r="K113" s="231">
        <f t="shared" ca="1" si="57"/>
        <v>0</v>
      </c>
      <c r="L113" s="176"/>
      <c r="M113" s="176"/>
      <c r="N113" s="176"/>
      <c r="O113" s="189"/>
      <c r="P113" s="189"/>
    </row>
    <row r="114" spans="1:16" ht="21.75" customHeight="1" x14ac:dyDescent="0.35">
      <c r="A114" s="183"/>
      <c r="B114" s="184"/>
      <c r="C114" s="184"/>
      <c r="D114" s="201"/>
      <c r="E114" s="202" t="s">
        <v>54</v>
      </c>
      <c r="F114" s="203"/>
      <c r="G114" s="204"/>
      <c r="H114" s="194"/>
      <c r="I114" s="195"/>
      <c r="J114" s="195">
        <f ca="1">IFERROR(__xludf.DUMMYFUNCTION("IMPORTRANGE(""https://docs.google.com/spreadsheets/d/1IYY_tgx_IHuhSq3AJ5eI5OnqOPBNLWSHKh2a30DoXe8/edit?usp=sharing"",""สุราษฎร์ธานี!J49"")"),0)</f>
        <v>0</v>
      </c>
      <c r="K114" s="231"/>
      <c r="L114" s="176"/>
      <c r="M114" s="176"/>
      <c r="N114" s="176"/>
      <c r="O114" s="189"/>
      <c r="P114" s="189"/>
    </row>
    <row r="115" spans="1:16" ht="21.75" customHeight="1" x14ac:dyDescent="0.35">
      <c r="A115" s="183"/>
      <c r="B115" s="184"/>
      <c r="C115" s="184"/>
      <c r="D115" s="213">
        <v>3</v>
      </c>
      <c r="E115" s="214" t="s">
        <v>55</v>
      </c>
      <c r="F115" s="215"/>
      <c r="G115" s="216"/>
      <c r="H115" s="194"/>
      <c r="I115" s="195"/>
      <c r="J115" s="234">
        <f ca="1">IFERROR(__xludf.DUMMYFUNCTION("IMPORTRANGE(""https://docs.google.com/spreadsheets/d/1IYY_tgx_IHuhSq3AJ5eI5OnqOPBNLWSHKh2a30DoXe8/edit?usp=sharing"",""สุราษฎร์ธานี!J50"")"),0)</f>
        <v>0</v>
      </c>
      <c r="K115" s="231"/>
      <c r="L115" s="176"/>
      <c r="M115" s="176"/>
      <c r="N115" s="176"/>
      <c r="O115" s="189"/>
      <c r="P115" s="189"/>
    </row>
    <row r="116" spans="1:16" ht="21.75" customHeight="1" x14ac:dyDescent="0.35">
      <c r="A116" s="218" t="s">
        <v>67</v>
      </c>
      <c r="B116" s="235"/>
      <c r="C116" s="236"/>
      <c r="D116" s="235"/>
      <c r="E116" s="237"/>
      <c r="F116" s="237"/>
      <c r="G116" s="238"/>
      <c r="H116" s="223"/>
      <c r="I116" s="224"/>
      <c r="J116" s="224"/>
      <c r="K116" s="225"/>
      <c r="L116" s="226"/>
      <c r="M116" s="226"/>
      <c r="N116" s="226"/>
      <c r="O116" s="227"/>
      <c r="P116" s="227"/>
    </row>
    <row r="117" spans="1:16" ht="21.75" customHeight="1" x14ac:dyDescent="0.35">
      <c r="A117" s="142"/>
      <c r="B117" s="143" t="s">
        <v>68</v>
      </c>
      <c r="C117" s="239"/>
      <c r="D117" s="144"/>
      <c r="E117" s="143"/>
      <c r="F117" s="143"/>
      <c r="G117" s="228"/>
      <c r="H117" s="145" t="s">
        <v>37</v>
      </c>
      <c r="I117" s="146">
        <f ca="1">IFERROR(__xludf.DUMMYFUNCTION("IMPORTRANGE(""https://docs.google.com/spreadsheets/d/1IYY_tgx_IHuhSq3AJ5eI5OnqOPBNLWSHKh2a30DoXe8/edit?usp=sharing"",""สุราษฎร์ธานี!I52"")"),15)</f>
        <v>15</v>
      </c>
      <c r="J117" s="146">
        <f ca="1">IFERROR(__xludf.DUMMYFUNCTION("IMPORTRANGE(""https://docs.google.com/spreadsheets/d/1IYY_tgx_IHuhSq3AJ5eI5OnqOPBNLWSHKh2a30DoXe8/edit?usp=sharing"",""สุราษฎร์ธานี!J52"")"),15)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52" t="s">
        <v>17</v>
      </c>
      <c r="E118" s="543"/>
      <c r="F118" s="543"/>
      <c r="G118" s="543"/>
      <c r="H118" s="153" t="s">
        <v>12</v>
      </c>
      <c r="I118" s="168"/>
      <c r="J118" s="168"/>
      <c r="K118" s="169"/>
      <c r="L118" s="156">
        <f t="shared" ref="L118:N118" ca="1" si="58">L119+L120</f>
        <v>64890</v>
      </c>
      <c r="M118" s="156">
        <f t="shared" ca="1" si="58"/>
        <v>52890</v>
      </c>
      <c r="N118" s="156">
        <f t="shared" ca="1" si="58"/>
        <v>50950</v>
      </c>
      <c r="O118" s="155">
        <f t="shared" ref="O118:O120" ca="1" si="59">IF(L118&gt;0,N118*100/L118,0)</f>
        <v>78.51749113885036</v>
      </c>
      <c r="P118" s="155">
        <f t="shared" ref="P118:P120" ca="1" si="60">IF(M118&gt;0,N118*100/M118,0)</f>
        <v>96.332009831726225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8"/>
      <c r="J119" s="168"/>
      <c r="K119" s="169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8"/>
      <c r="J120" s="168"/>
      <c r="K120" s="169"/>
      <c r="L120" s="161">
        <f t="shared" ref="L120:N120" ca="1" si="62">L122+L126</f>
        <v>64890</v>
      </c>
      <c r="M120" s="161">
        <f t="shared" ca="1" si="62"/>
        <v>52890</v>
      </c>
      <c r="N120" s="161">
        <f t="shared" ca="1" si="62"/>
        <v>50950</v>
      </c>
      <c r="O120" s="160">
        <f t="shared" ca="1" si="59"/>
        <v>78.51749113885036</v>
      </c>
      <c r="P120" s="160">
        <f t="shared" ca="1" si="60"/>
        <v>96.332009831726225</v>
      </c>
    </row>
    <row r="121" spans="1:16" ht="21.75" customHeight="1" x14ac:dyDescent="0.35">
      <c r="A121" s="162"/>
      <c r="B121" s="163"/>
      <c r="C121" s="163" t="s">
        <v>16</v>
      </c>
      <c r="D121" s="164" t="s">
        <v>38</v>
      </c>
      <c r="E121" s="165"/>
      <c r="F121" s="165"/>
      <c r="G121" s="166" t="s">
        <v>39</v>
      </c>
      <c r="H121" s="167" t="s">
        <v>12</v>
      </c>
      <c r="I121" s="168" t="s">
        <v>40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 x14ac:dyDescent="0.35">
      <c r="A122" s="162"/>
      <c r="B122" s="163"/>
      <c r="C122" s="163"/>
      <c r="D122" s="172"/>
      <c r="E122" s="165"/>
      <c r="F122" s="165" t="s">
        <v>40</v>
      </c>
      <c r="G122" s="166" t="s">
        <v>41</v>
      </c>
      <c r="H122" s="167" t="s">
        <v>12</v>
      </c>
      <c r="I122" s="168"/>
      <c r="J122" s="168"/>
      <c r="K122" s="169"/>
      <c r="L122" s="173">
        <f ca="1">L123+L124</f>
        <v>64890</v>
      </c>
      <c r="M122" s="174">
        <f ca="1">IFERROR(__xludf.DUMMYFUNCTION("IMPORTRANGE(""https://docs.google.com/spreadsheets/d/1Yj_ptqi66GCucihVvJfMjLAmec39IyEx_6qawtMGysU/edit?usp=sharing"",""สบก!BA94"")"),52890)</f>
        <v>52890</v>
      </c>
      <c r="N122" s="175">
        <f ca="1">IFERROR(__xludf.DUMMYFUNCTION("IMPORTRANGE(""https://docs.google.com/spreadsheets/d/1Yj_ptqi66GCucihVvJfMjLAmec39IyEx_6qawtMGysU/edit?usp=sharing"",""สบก!BB94"")"),50950)</f>
        <v>50950</v>
      </c>
      <c r="O122" s="176">
        <f ca="1">IF(L122&gt;0,N122*100/L122,0)</f>
        <v>78.51749113885036</v>
      </c>
      <c r="P122" s="176">
        <f ca="1">IF(M122&gt;0,N122*100/M122,0)</f>
        <v>96.332009831726225</v>
      </c>
    </row>
    <row r="123" spans="1:16" ht="21.75" customHeight="1" x14ac:dyDescent="0.35">
      <c r="A123" s="162"/>
      <c r="B123" s="163"/>
      <c r="C123" s="163"/>
      <c r="D123" s="172"/>
      <c r="E123" s="165"/>
      <c r="F123" s="165"/>
      <c r="G123" s="177" t="s">
        <v>42</v>
      </c>
      <c r="H123" s="167" t="s">
        <v>12</v>
      </c>
      <c r="I123" s="168"/>
      <c r="J123" s="168"/>
      <c r="K123" s="169"/>
      <c r="L123" s="174">
        <f ca="1">IFERROR(__xludf.DUMMYFUNCTION("IMPORTRANGE(""https://docs.google.com/spreadsheets/d/1Yj_ptqi66GCucihVvJfMjLAmec39IyEx_6qawtMGysU/edit?usp=sharing"",""สบก!AW94"")"),0)</f>
        <v>0</v>
      </c>
      <c r="M123" s="173"/>
      <c r="N123" s="173"/>
      <c r="O123" s="176"/>
      <c r="P123" s="176"/>
    </row>
    <row r="124" spans="1:16" ht="21.75" customHeight="1" x14ac:dyDescent="0.35">
      <c r="A124" s="162"/>
      <c r="B124" s="163"/>
      <c r="C124" s="163"/>
      <c r="D124" s="172"/>
      <c r="E124" s="165"/>
      <c r="F124" s="165"/>
      <c r="G124" s="177" t="s">
        <v>43</v>
      </c>
      <c r="H124" s="167" t="s">
        <v>12</v>
      </c>
      <c r="I124" s="168"/>
      <c r="J124" s="195"/>
      <c r="K124" s="231"/>
      <c r="L124" s="174">
        <f ca="1">IFERROR(__xludf.DUMMYFUNCTION("IMPORTRANGE(""https://docs.google.com/spreadsheets/d/1Yj_ptqi66GCucihVvJfMjLAmec39IyEx_6qawtMGysU/edit?usp=sharing"",""สบก!AX94"")"),64890)</f>
        <v>64890</v>
      </c>
      <c r="M124" s="173"/>
      <c r="N124" s="173"/>
      <c r="O124" s="176"/>
      <c r="P124" s="176"/>
    </row>
    <row r="125" spans="1:16" ht="21.75" customHeight="1" x14ac:dyDescent="0.45">
      <c r="A125" s="178"/>
      <c r="B125" s="81"/>
      <c r="C125" s="82" t="s">
        <v>16</v>
      </c>
      <c r="D125" s="549" t="s">
        <v>23</v>
      </c>
      <c r="E125" s="545"/>
      <c r="F125" s="89"/>
      <c r="G125" s="83" t="s">
        <v>18</v>
      </c>
      <c r="H125" s="179" t="s">
        <v>12</v>
      </c>
      <c r="I125" s="195"/>
      <c r="J125" s="195"/>
      <c r="K125" s="231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80"/>
      <c r="B126" s="95"/>
      <c r="C126" s="95"/>
      <c r="D126" s="181"/>
      <c r="E126" s="96"/>
      <c r="F126" s="96"/>
      <c r="G126" s="97" t="s">
        <v>19</v>
      </c>
      <c r="H126" s="182" t="s">
        <v>12</v>
      </c>
      <c r="I126" s="195"/>
      <c r="J126" s="195"/>
      <c r="K126" s="231"/>
      <c r="L126" s="91">
        <f ca="1">IFERROR(__xludf.DUMMYFUNCTION("IMPORTRANGE(""https://docs.google.com/spreadsheets/d/1Yj_ptqi66GCucihVvJfMjLAmec39IyEx_6qawtMGysU/edit?usp=sharing"",""สบก!AY94"")"),0)</f>
        <v>0</v>
      </c>
      <c r="M126" s="101"/>
      <c r="N126" s="91">
        <f ca="1">IFERROR(__xludf.DUMMYFUNCTION("IMPORTRANGE(""https://docs.google.com/spreadsheets/d/1Yj_ptqi66GCucihVvJfMjLAmec39IyEx_6qawtMGysU/edit?usp=sharing"",""สบก!BC94"")"),0)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3"/>
      <c r="B127" s="184"/>
      <c r="C127" s="163" t="s">
        <v>16</v>
      </c>
      <c r="D127" s="240" t="s">
        <v>267</v>
      </c>
      <c r="E127" s="186"/>
      <c r="F127" s="186"/>
      <c r="G127" s="187"/>
      <c r="H127" s="188"/>
      <c r="I127" s="168"/>
      <c r="J127" s="195"/>
      <c r="K127" s="231"/>
      <c r="L127" s="176"/>
      <c r="M127" s="176"/>
      <c r="N127" s="176"/>
      <c r="O127" s="189"/>
      <c r="P127" s="189"/>
    </row>
    <row r="128" spans="1:16" ht="21.75" customHeight="1" x14ac:dyDescent="0.35">
      <c r="A128" s="183"/>
      <c r="B128" s="184"/>
      <c r="C128" s="184"/>
      <c r="D128" s="190">
        <v>1</v>
      </c>
      <c r="E128" s="191" t="s">
        <v>45</v>
      </c>
      <c r="F128" s="192"/>
      <c r="G128" s="193"/>
      <c r="H128" s="194"/>
      <c r="I128" s="195"/>
      <c r="J128" s="211">
        <f ca="1">IFERROR(__xludf.DUMMYFUNCTION("IMPORTRANGE(""https://docs.google.com/spreadsheets/d/1IYY_tgx_IHuhSq3AJ5eI5OnqOPBNLWSHKh2a30DoXe8/edit?usp=sharing"",""สุราษฎร์ธานี!J58"")"),0)</f>
        <v>0</v>
      </c>
      <c r="K128" s="231"/>
      <c r="L128" s="176"/>
      <c r="M128" s="176"/>
      <c r="N128" s="176"/>
      <c r="O128" s="189"/>
      <c r="P128" s="189"/>
    </row>
    <row r="129" spans="1:16" ht="21.75" customHeight="1" x14ac:dyDescent="0.35">
      <c r="A129" s="183"/>
      <c r="B129" s="184"/>
      <c r="C129" s="184"/>
      <c r="D129" s="197">
        <v>2</v>
      </c>
      <c r="E129" s="198" t="s">
        <v>46</v>
      </c>
      <c r="F129" s="199"/>
      <c r="G129" s="200"/>
      <c r="H129" s="194"/>
      <c r="I129" s="195"/>
      <c r="J129" s="195">
        <f ca="1">IFERROR(__xludf.DUMMYFUNCTION("IMPORTRANGE(""https://docs.google.com/spreadsheets/d/1IYY_tgx_IHuhSq3AJ5eI5OnqOPBNLWSHKh2a30DoXe8/edit?usp=sharing"",""สุราษฎร์ธานี!J59"")"),1)</f>
        <v>1</v>
      </c>
      <c r="K129" s="231"/>
      <c r="L129" s="176" t="s">
        <v>40</v>
      </c>
      <c r="M129" s="176"/>
      <c r="N129" s="176" t="s">
        <v>40</v>
      </c>
      <c r="O129" s="189"/>
      <c r="P129" s="189"/>
    </row>
    <row r="130" spans="1:16" ht="21.75" customHeight="1" x14ac:dyDescent="0.35">
      <c r="A130" s="183"/>
      <c r="B130" s="184"/>
      <c r="C130" s="184"/>
      <c r="D130" s="201"/>
      <c r="E130" s="202" t="s">
        <v>47</v>
      </c>
      <c r="F130" s="203"/>
      <c r="G130" s="204"/>
      <c r="H130" s="194"/>
      <c r="I130" s="195"/>
      <c r="J130" s="195">
        <f ca="1">IFERROR(__xludf.DUMMYFUNCTION("IMPORTRANGE(""https://docs.google.com/spreadsheets/d/1IYY_tgx_IHuhSq3AJ5eI5OnqOPBNLWSHKh2a30DoXe8/edit?usp=sharing"",""สุราษฎร์ธานี!J60"")"),1)</f>
        <v>1</v>
      </c>
      <c r="K130" s="231"/>
      <c r="L130" s="176"/>
      <c r="M130" s="176"/>
      <c r="N130" s="176"/>
      <c r="O130" s="189"/>
      <c r="P130" s="189"/>
    </row>
    <row r="131" spans="1:16" ht="21.75" customHeight="1" x14ac:dyDescent="0.35">
      <c r="A131" s="183"/>
      <c r="B131" s="184"/>
      <c r="C131" s="184"/>
      <c r="D131" s="201"/>
      <c r="E131" s="202" t="s">
        <v>48</v>
      </c>
      <c r="F131" s="203"/>
      <c r="G131" s="204"/>
      <c r="H131" s="194"/>
      <c r="I131" s="195"/>
      <c r="J131" s="195">
        <f ca="1">IFERROR(__xludf.DUMMYFUNCTION("IMPORTRANGE(""https://docs.google.com/spreadsheets/d/1IYY_tgx_IHuhSq3AJ5eI5OnqOPBNLWSHKh2a30DoXe8/edit?usp=sharing"",""สุราษฎร์ธานี!J61"")"),1)</f>
        <v>1</v>
      </c>
      <c r="K131" s="231"/>
      <c r="L131" s="176"/>
      <c r="M131" s="176"/>
      <c r="N131" s="176"/>
      <c r="O131" s="189"/>
      <c r="P131" s="189"/>
    </row>
    <row r="132" spans="1:16" ht="21.75" customHeight="1" x14ac:dyDescent="0.35">
      <c r="A132" s="183"/>
      <c r="B132" s="184"/>
      <c r="C132" s="184"/>
      <c r="D132" s="201"/>
      <c r="E132" s="206"/>
      <c r="F132" s="202" t="s">
        <v>70</v>
      </c>
      <c r="G132" s="204"/>
      <c r="H132" s="188" t="s">
        <v>37</v>
      </c>
      <c r="I132" s="195">
        <f ca="1">IFERROR(__xludf.DUMMYFUNCTION("IMPORTRANGE(""https://docs.google.com/spreadsheets/d/1IYY_tgx_IHuhSq3AJ5eI5OnqOPBNLWSHKh2a30DoXe8/edit?usp=sharing"",""สุราษฎร์ธานี!I62"")"),15)</f>
        <v>15</v>
      </c>
      <c r="J132" s="211">
        <f ca="1">IFERROR(__xludf.DUMMYFUNCTION("IMPORTRANGE(""https://docs.google.com/spreadsheets/d/1IYY_tgx_IHuhSq3AJ5eI5OnqOPBNLWSHKh2a30DoXe8/edit?usp=sharing"",""สุราษฎร์ธานี!J62"")"),15)</f>
        <v>15</v>
      </c>
      <c r="K132" s="231">
        <f t="shared" ref="K132:K133" ca="1" si="63">IF(I132&gt;0,J132*100/I132,0)</f>
        <v>100</v>
      </c>
      <c r="L132" s="176"/>
      <c r="M132" s="176"/>
      <c r="N132" s="176"/>
      <c r="O132" s="189"/>
      <c r="P132" s="189"/>
    </row>
    <row r="133" spans="1:16" ht="21.75" customHeight="1" x14ac:dyDescent="0.35">
      <c r="A133" s="183"/>
      <c r="B133" s="184"/>
      <c r="C133" s="184"/>
      <c r="D133" s="201"/>
      <c r="E133" s="206"/>
      <c r="F133" s="202" t="s">
        <v>71</v>
      </c>
      <c r="G133" s="204"/>
      <c r="H133" s="188" t="s">
        <v>37</v>
      </c>
      <c r="I133" s="195">
        <f ca="1">IFERROR(__xludf.DUMMYFUNCTION("IMPORTRANGE(""https://docs.google.com/spreadsheets/d/1IYY_tgx_IHuhSq3AJ5eI5OnqOPBNLWSHKh2a30DoXe8/edit?usp=sharing"",""สุราษฎร์ธานี!I63"")"),15)</f>
        <v>15</v>
      </c>
      <c r="J133" s="211">
        <f ca="1">IFERROR(__xludf.DUMMYFUNCTION("IMPORTRANGE(""https://docs.google.com/spreadsheets/d/1IYY_tgx_IHuhSq3AJ5eI5OnqOPBNLWSHKh2a30DoXe8/edit?usp=sharing"",""สุราษฎร์ธานี!J63"")"),2)</f>
        <v>2</v>
      </c>
      <c r="K133" s="231">
        <f t="shared" ca="1" si="63"/>
        <v>13.333333333333334</v>
      </c>
      <c r="L133" s="176"/>
      <c r="M133" s="176"/>
      <c r="N133" s="176"/>
      <c r="O133" s="189"/>
      <c r="P133" s="189"/>
    </row>
    <row r="134" spans="1:16" ht="21.75" customHeight="1" x14ac:dyDescent="0.35">
      <c r="A134" s="183"/>
      <c r="B134" s="184"/>
      <c r="C134" s="184"/>
      <c r="D134" s="201"/>
      <c r="E134" s="202" t="s">
        <v>54</v>
      </c>
      <c r="F134" s="203"/>
      <c r="G134" s="204"/>
      <c r="H134" s="194"/>
      <c r="I134" s="195"/>
      <c r="J134" s="195">
        <f ca="1">IFERROR(__xludf.DUMMYFUNCTION("IMPORTRANGE(""https://docs.google.com/spreadsheets/d/1IYY_tgx_IHuhSq3AJ5eI5OnqOPBNLWSHKh2a30DoXe8/edit?usp=sharing"",""สุราษฎร์ธานี!J64"")"),0)</f>
        <v>0</v>
      </c>
      <c r="K134" s="231"/>
      <c r="L134" s="176"/>
      <c r="M134" s="176"/>
      <c r="N134" s="176"/>
      <c r="O134" s="189"/>
      <c r="P134" s="189"/>
    </row>
    <row r="135" spans="1:16" ht="21.75" customHeight="1" x14ac:dyDescent="0.35">
      <c r="A135" s="241"/>
      <c r="B135" s="242"/>
      <c r="C135" s="242"/>
      <c r="D135" s="243">
        <v>3</v>
      </c>
      <c r="E135" s="244" t="s">
        <v>55</v>
      </c>
      <c r="F135" s="245"/>
      <c r="G135" s="246"/>
      <c r="H135" s="247"/>
      <c r="I135" s="248"/>
      <c r="J135" s="249">
        <f ca="1">IFERROR(__xludf.DUMMYFUNCTION("IMPORTRANGE(""https://docs.google.com/spreadsheets/d/1IYY_tgx_IHuhSq3AJ5eI5OnqOPBNLWSHKh2a30DoXe8/edit?usp=sharing"",""สุราษฎร์ธานี!J65"")"),0)</f>
        <v>0</v>
      </c>
      <c r="K135" s="250"/>
      <c r="L135" s="251"/>
      <c r="M135" s="251"/>
      <c r="N135" s="251"/>
      <c r="O135" s="252"/>
      <c r="P135" s="252"/>
    </row>
    <row r="136" spans="1:16" ht="21.75" customHeight="1" x14ac:dyDescent="0.35">
      <c r="A136" s="253" t="s">
        <v>72</v>
      </c>
      <c r="B136" s="254"/>
      <c r="C136" s="254"/>
      <c r="D136" s="254"/>
      <c r="E136" s="255"/>
      <c r="F136" s="255"/>
      <c r="G136" s="256"/>
      <c r="H136" s="257"/>
      <c r="I136" s="258"/>
      <c r="J136" s="258"/>
      <c r="K136" s="259"/>
      <c r="L136" s="260"/>
      <c r="M136" s="260"/>
      <c r="N136" s="260"/>
      <c r="O136" s="260"/>
      <c r="P136" s="260"/>
    </row>
    <row r="137" spans="1:16" ht="21.75" customHeight="1" x14ac:dyDescent="0.35">
      <c r="A137" s="261" t="s">
        <v>73</v>
      </c>
      <c r="B137" s="262"/>
      <c r="C137" s="262"/>
      <c r="D137" s="263"/>
      <c r="E137" s="263"/>
      <c r="F137" s="263"/>
      <c r="G137" s="264"/>
      <c r="H137" s="265"/>
      <c r="I137" s="266"/>
      <c r="J137" s="266"/>
      <c r="K137" s="267"/>
      <c r="L137" s="267"/>
      <c r="M137" s="267"/>
      <c r="N137" s="267"/>
      <c r="O137" s="268"/>
      <c r="P137" s="268"/>
    </row>
    <row r="138" spans="1:16" ht="21.75" customHeight="1" x14ac:dyDescent="0.35">
      <c r="A138" s="269"/>
      <c r="B138" s="270" t="s">
        <v>74</v>
      </c>
      <c r="C138" s="271"/>
      <c r="D138" s="270"/>
      <c r="E138" s="270"/>
      <c r="F138" s="270"/>
      <c r="G138" s="272"/>
      <c r="H138" s="273" t="s">
        <v>37</v>
      </c>
      <c r="I138" s="274">
        <f ca="1">IFERROR(__xludf.DUMMYFUNCTION("IMPORTRANGE(""https://docs.google.com/spreadsheets/d/1IYY_tgx_IHuhSq3AJ5eI5OnqOPBNLWSHKh2a30DoXe8/edit?usp=sharing"",""สุราษฎร์ธานี!I68"")"),0)</f>
        <v>0</v>
      </c>
      <c r="J138" s="274">
        <f ca="1">IFERROR(__xludf.DUMMYFUNCTION("IMPORTRANGE(""https://docs.google.com/spreadsheets/d/1IYY_tgx_IHuhSq3AJ5eI5OnqOPBNLWSHKh2a30DoXe8/edit?usp=sharing"",""สุราษฎร์ธานี!J68"")"),0)</f>
        <v>0</v>
      </c>
      <c r="K138" s="275">
        <f ca="1">IF(I138&gt;0,J138*100/I138,0)</f>
        <v>0</v>
      </c>
      <c r="L138" s="276"/>
      <c r="M138" s="276"/>
      <c r="N138" s="276"/>
      <c r="O138" s="275"/>
      <c r="P138" s="275"/>
    </row>
    <row r="139" spans="1:16" ht="21.75" customHeight="1" x14ac:dyDescent="0.35">
      <c r="A139" s="269"/>
      <c r="B139" s="270" t="s">
        <v>75</v>
      </c>
      <c r="C139" s="271"/>
      <c r="D139" s="270"/>
      <c r="E139" s="270"/>
      <c r="F139" s="270"/>
      <c r="G139" s="272"/>
      <c r="H139" s="273"/>
      <c r="I139" s="274"/>
      <c r="J139" s="274"/>
      <c r="K139" s="275"/>
      <c r="L139" s="276"/>
      <c r="M139" s="276"/>
      <c r="N139" s="276"/>
      <c r="O139" s="275"/>
      <c r="P139" s="275"/>
    </row>
    <row r="140" spans="1:16" ht="21.75" customHeight="1" x14ac:dyDescent="0.45">
      <c r="A140" s="150"/>
      <c r="B140" s="151"/>
      <c r="C140" s="152" t="s">
        <v>16</v>
      </c>
      <c r="D140" s="552" t="s">
        <v>17</v>
      </c>
      <c r="E140" s="543"/>
      <c r="F140" s="543"/>
      <c r="G140" s="543"/>
      <c r="H140" s="153" t="s">
        <v>12</v>
      </c>
      <c r="I140" s="168"/>
      <c r="J140" s="168"/>
      <c r="K140" s="169"/>
      <c r="L140" s="156">
        <f t="shared" ref="L140:N140" ca="1" si="64">L141+L142</f>
        <v>57000</v>
      </c>
      <c r="M140" s="156">
        <f t="shared" ca="1" si="64"/>
        <v>53750</v>
      </c>
      <c r="N140" s="156">
        <f t="shared" ca="1" si="64"/>
        <v>41540</v>
      </c>
      <c r="O140" s="155">
        <f t="shared" ref="O140:O142" ca="1" si="65">IF(L140&gt;0,N140*100/L140,0)</f>
        <v>72.877192982456137</v>
      </c>
      <c r="P140" s="155">
        <f t="shared" ref="P140:P142" ca="1" si="66">IF(M140&gt;0,N140*100/M140,0)</f>
        <v>77.283720930232562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8"/>
      <c r="J141" s="168"/>
      <c r="K141" s="169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8"/>
      <c r="J142" s="168"/>
      <c r="K142" s="169"/>
      <c r="L142" s="161">
        <f t="shared" ref="L142:N142" ca="1" si="68">L144+L148</f>
        <v>57000</v>
      </c>
      <c r="M142" s="161">
        <f t="shared" ca="1" si="68"/>
        <v>53750</v>
      </c>
      <c r="N142" s="161">
        <f t="shared" ca="1" si="68"/>
        <v>41540</v>
      </c>
      <c r="O142" s="160">
        <f t="shared" ca="1" si="65"/>
        <v>72.877192982456137</v>
      </c>
      <c r="P142" s="160">
        <f t="shared" ca="1" si="66"/>
        <v>77.283720930232562</v>
      </c>
    </row>
    <row r="143" spans="1:16" ht="21.75" customHeight="1" x14ac:dyDescent="0.35">
      <c r="A143" s="162"/>
      <c r="B143" s="163"/>
      <c r="C143" s="163" t="s">
        <v>16</v>
      </c>
      <c r="D143" s="164" t="s">
        <v>38</v>
      </c>
      <c r="E143" s="165"/>
      <c r="F143" s="165"/>
      <c r="G143" s="166" t="s">
        <v>39</v>
      </c>
      <c r="H143" s="167" t="s">
        <v>12</v>
      </c>
      <c r="I143" s="168" t="s">
        <v>40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 x14ac:dyDescent="0.35">
      <c r="A144" s="162"/>
      <c r="B144" s="163"/>
      <c r="C144" s="163"/>
      <c r="D144" s="172"/>
      <c r="E144" s="165"/>
      <c r="F144" s="165" t="s">
        <v>40</v>
      </c>
      <c r="G144" s="166" t="s">
        <v>41</v>
      </c>
      <c r="H144" s="167" t="s">
        <v>12</v>
      </c>
      <c r="I144" s="168"/>
      <c r="J144" s="168"/>
      <c r="K144" s="169"/>
      <c r="L144" s="173">
        <f ca="1">L145+L146</f>
        <v>57000</v>
      </c>
      <c r="M144" s="174">
        <f ca="1">IFERROR(__xludf.DUMMYFUNCTION("IMPORTRANGE(""https://docs.google.com/spreadsheets/d/1Yj_ptqi66GCucihVvJfMjLAmec39IyEx_6qawtMGysU/edit?usp=sharing"",""สบก!BJ94"")"),53750)</f>
        <v>53750</v>
      </c>
      <c r="N144" s="175">
        <f ca="1">IFERROR(__xludf.DUMMYFUNCTION("IMPORTRANGE(""https://docs.google.com/spreadsheets/d/1Yj_ptqi66GCucihVvJfMjLAmec39IyEx_6qawtMGysU/edit?usp=sharing"",""สบก!BK94"")"),41540)</f>
        <v>41540</v>
      </c>
      <c r="O144" s="176">
        <f ca="1">IF(L144&gt;0,N144*100/L144,0)</f>
        <v>72.877192982456137</v>
      </c>
      <c r="P144" s="176">
        <f ca="1">IF(M144&gt;0,N144*100/M144,0)</f>
        <v>77.283720930232562</v>
      </c>
    </row>
    <row r="145" spans="1:16" ht="21.75" customHeight="1" x14ac:dyDescent="0.35">
      <c r="A145" s="162"/>
      <c r="B145" s="163"/>
      <c r="C145" s="163"/>
      <c r="D145" s="172"/>
      <c r="E145" s="165"/>
      <c r="F145" s="165"/>
      <c r="G145" s="177" t="s">
        <v>42</v>
      </c>
      <c r="H145" s="167" t="s">
        <v>12</v>
      </c>
      <c r="I145" s="168"/>
      <c r="J145" s="168"/>
      <c r="K145" s="169"/>
      <c r="L145" s="174">
        <f ca="1">IFERROR(__xludf.DUMMYFUNCTION("IMPORTRANGE(""https://docs.google.com/spreadsheets/d/1Yj_ptqi66GCucihVvJfMjLAmec39IyEx_6qawtMGysU/edit?usp=sharing"",""สบก!BF94"")"),0)</f>
        <v>0</v>
      </c>
      <c r="M145" s="173"/>
      <c r="N145" s="173"/>
      <c r="O145" s="176"/>
      <c r="P145" s="176"/>
    </row>
    <row r="146" spans="1:16" ht="21.75" customHeight="1" x14ac:dyDescent="0.35">
      <c r="A146" s="162"/>
      <c r="B146" s="163"/>
      <c r="C146" s="163"/>
      <c r="D146" s="172"/>
      <c r="E146" s="165"/>
      <c r="F146" s="165"/>
      <c r="G146" s="177" t="s">
        <v>43</v>
      </c>
      <c r="H146" s="167" t="s">
        <v>12</v>
      </c>
      <c r="I146" s="168"/>
      <c r="J146" s="168"/>
      <c r="K146" s="169"/>
      <c r="L146" s="174">
        <f ca="1">IFERROR(__xludf.DUMMYFUNCTION("IMPORTRANGE(""https://docs.google.com/spreadsheets/d/1Yj_ptqi66GCucihVvJfMjLAmec39IyEx_6qawtMGysU/edit?usp=sharing"",""สบก!BG94"")"),57000)</f>
        <v>57000</v>
      </c>
      <c r="M146" s="173"/>
      <c r="N146" s="173"/>
      <c r="O146" s="176"/>
      <c r="P146" s="176"/>
    </row>
    <row r="147" spans="1:16" ht="21.75" customHeight="1" x14ac:dyDescent="0.45">
      <c r="A147" s="178"/>
      <c r="B147" s="81"/>
      <c r="C147" s="82" t="s">
        <v>16</v>
      </c>
      <c r="D147" s="549" t="s">
        <v>23</v>
      </c>
      <c r="E147" s="545"/>
      <c r="F147" s="89"/>
      <c r="G147" s="83" t="s">
        <v>18</v>
      </c>
      <c r="H147" s="179" t="s">
        <v>12</v>
      </c>
      <c r="I147" s="195"/>
      <c r="J147" s="195"/>
      <c r="K147" s="231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80"/>
      <c r="B148" s="95"/>
      <c r="C148" s="95"/>
      <c r="D148" s="181"/>
      <c r="E148" s="96"/>
      <c r="F148" s="96"/>
      <c r="G148" s="97" t="s">
        <v>19</v>
      </c>
      <c r="H148" s="182" t="s">
        <v>12</v>
      </c>
      <c r="I148" s="195"/>
      <c r="J148" s="195"/>
      <c r="K148" s="231"/>
      <c r="L148" s="91">
        <f ca="1">IFERROR(__xludf.DUMMYFUNCTION("IMPORTRANGE(""https://docs.google.com/spreadsheets/d/1Yj_ptqi66GCucihVvJfMjLAmec39IyEx_6qawtMGysU/edit?usp=sharing"",""สบก!BH94"")"),0)</f>
        <v>0</v>
      </c>
      <c r="M148" s="101"/>
      <c r="N148" s="91">
        <f ca="1">IFERROR(__xludf.DUMMYFUNCTION("IMPORTRANGE(""https://docs.google.com/spreadsheets/d/1Yj_ptqi66GCucihVvJfMjLAmec39IyEx_6qawtMGysU/edit?usp=sharing"",""สบก!BL94"")"),0)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7"/>
      <c r="B149" s="278"/>
      <c r="C149" s="279" t="s">
        <v>76</v>
      </c>
      <c r="D149" s="279"/>
      <c r="E149" s="279"/>
      <c r="F149" s="279"/>
      <c r="G149" s="280"/>
      <c r="H149" s="281" t="s">
        <v>77</v>
      </c>
      <c r="I149" s="282">
        <f ca="1">IFERROR(__xludf.DUMMYFUNCTION("IMPORTRANGE(""https://docs.google.com/spreadsheets/d/1IYY_tgx_IHuhSq3AJ5eI5OnqOPBNLWSHKh2a30DoXe8/edit?usp=sharing"",""สุราษฎร์ธานี!I74"")"),4)</f>
        <v>4</v>
      </c>
      <c r="J149" s="282">
        <f ca="1">IFERROR(__xludf.DUMMYFUNCTION("IMPORTRANGE(""https://docs.google.com/spreadsheets/d/1IYY_tgx_IHuhSq3AJ5eI5OnqOPBNLWSHKh2a30DoXe8/edit?usp=sharing"",""สุราษฎร์ธานี!J74"")"),2)</f>
        <v>2</v>
      </c>
      <c r="K149" s="283">
        <f ca="1">IF(I149&gt;0,J149*100/I149,0)</f>
        <v>50</v>
      </c>
      <c r="L149" s="284"/>
      <c r="M149" s="284"/>
      <c r="N149" s="284"/>
      <c r="O149" s="284"/>
      <c r="P149" s="284"/>
    </row>
    <row r="150" spans="1:16" ht="21.75" customHeight="1" x14ac:dyDescent="0.35">
      <c r="A150" s="162"/>
      <c r="B150" s="163"/>
      <c r="C150" s="163" t="s">
        <v>16</v>
      </c>
      <c r="D150" s="164" t="s">
        <v>38</v>
      </c>
      <c r="E150" s="165"/>
      <c r="F150" s="165"/>
      <c r="G150" s="166" t="s">
        <v>39</v>
      </c>
      <c r="H150" s="167" t="s">
        <v>12</v>
      </c>
      <c r="I150" s="168" t="s">
        <v>40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 x14ac:dyDescent="0.35">
      <c r="A151" s="162"/>
      <c r="B151" s="163"/>
      <c r="C151" s="163"/>
      <c r="D151" s="172"/>
      <c r="E151" s="165"/>
      <c r="F151" s="165" t="s">
        <v>40</v>
      </c>
      <c r="G151" s="166" t="s">
        <v>41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 x14ac:dyDescent="0.35">
      <c r="A152" s="162"/>
      <c r="B152" s="163"/>
      <c r="C152" s="163"/>
      <c r="D152" s="172"/>
      <c r="E152" s="165"/>
      <c r="F152" s="165"/>
      <c r="G152" s="177" t="s">
        <v>43</v>
      </c>
      <c r="H152" s="167" t="s">
        <v>12</v>
      </c>
      <c r="I152" s="168"/>
      <c r="J152" s="168"/>
      <c r="K152" s="169"/>
      <c r="L152" s="176"/>
      <c r="M152" s="176"/>
      <c r="N152" s="173"/>
      <c r="O152" s="176"/>
      <c r="P152" s="176"/>
    </row>
    <row r="153" spans="1:16" ht="21.75" customHeight="1" x14ac:dyDescent="0.35">
      <c r="A153" s="183"/>
      <c r="B153" s="184"/>
      <c r="C153" s="163" t="s">
        <v>16</v>
      </c>
      <c r="D153" s="185" t="s">
        <v>44</v>
      </c>
      <c r="E153" s="186"/>
      <c r="F153" s="186"/>
      <c r="G153" s="187"/>
      <c r="H153" s="188"/>
      <c r="I153" s="168"/>
      <c r="J153" s="168"/>
      <c r="K153" s="169"/>
      <c r="L153" s="189"/>
      <c r="M153" s="189"/>
      <c r="N153" s="189"/>
      <c r="O153" s="189"/>
      <c r="P153" s="189"/>
    </row>
    <row r="154" spans="1:16" ht="21.75" customHeight="1" x14ac:dyDescent="0.35">
      <c r="A154" s="183"/>
      <c r="B154" s="184"/>
      <c r="C154" s="184"/>
      <c r="D154" s="190">
        <v>1</v>
      </c>
      <c r="E154" s="191" t="s">
        <v>45</v>
      </c>
      <c r="F154" s="192"/>
      <c r="G154" s="193"/>
      <c r="H154" s="194"/>
      <c r="I154" s="195"/>
      <c r="J154" s="196">
        <f ca="1">IFERROR(__xludf.DUMMYFUNCTION("IMPORTRANGE(""https://docs.google.com/spreadsheets/d/1IYY_tgx_IHuhSq3AJ5eI5OnqOPBNLWSHKh2a30DoXe8/edit?usp=sharing"",""สุราษฎร์ธานี!J79"")"),0)</f>
        <v>0</v>
      </c>
      <c r="K154" s="169"/>
      <c r="L154" s="189"/>
      <c r="M154" s="189"/>
      <c r="N154" s="189"/>
      <c r="O154" s="189"/>
      <c r="P154" s="189"/>
    </row>
    <row r="155" spans="1:16" ht="21.75" customHeight="1" x14ac:dyDescent="0.35">
      <c r="A155" s="183"/>
      <c r="B155" s="184"/>
      <c r="C155" s="184"/>
      <c r="D155" s="197">
        <v>2</v>
      </c>
      <c r="E155" s="198" t="s">
        <v>46</v>
      </c>
      <c r="F155" s="199"/>
      <c r="G155" s="200"/>
      <c r="H155" s="194"/>
      <c r="I155" s="195"/>
      <c r="J155" s="205">
        <f ca="1">IFERROR(__xludf.DUMMYFUNCTION("IMPORTRANGE(""https://docs.google.com/spreadsheets/d/1IYY_tgx_IHuhSq3AJ5eI5OnqOPBNLWSHKh2a30DoXe8/edit?usp=sharing"",""สุราษฎร์ธานี!J80"")"),1)</f>
        <v>1</v>
      </c>
      <c r="K155" s="169"/>
      <c r="L155" s="189"/>
      <c r="M155" s="189"/>
      <c r="N155" s="189"/>
      <c r="O155" s="189"/>
      <c r="P155" s="189"/>
    </row>
    <row r="156" spans="1:16" ht="21.75" customHeight="1" x14ac:dyDescent="0.35">
      <c r="A156" s="183"/>
      <c r="B156" s="184"/>
      <c r="C156" s="184"/>
      <c r="D156" s="201"/>
      <c r="E156" s="202" t="s">
        <v>47</v>
      </c>
      <c r="F156" s="203"/>
      <c r="G156" s="204"/>
      <c r="H156" s="194"/>
      <c r="I156" s="195"/>
      <c r="J156" s="205">
        <f ca="1">IFERROR(__xludf.DUMMYFUNCTION("IMPORTRANGE(""https://docs.google.com/spreadsheets/d/1IYY_tgx_IHuhSq3AJ5eI5OnqOPBNLWSHKh2a30DoXe8/edit?usp=sharing"",""สุราษฎร์ธานี!J81"")"),1)</f>
        <v>1</v>
      </c>
      <c r="K156" s="169"/>
      <c r="L156" s="189"/>
      <c r="M156" s="189"/>
      <c r="N156" s="189"/>
      <c r="O156" s="189"/>
      <c r="P156" s="189"/>
    </row>
    <row r="157" spans="1:16" ht="21.75" customHeight="1" x14ac:dyDescent="0.35">
      <c r="A157" s="183"/>
      <c r="B157" s="184"/>
      <c r="C157" s="184"/>
      <c r="D157" s="201"/>
      <c r="E157" s="202" t="s">
        <v>48</v>
      </c>
      <c r="F157" s="203"/>
      <c r="G157" s="204"/>
      <c r="H157" s="194"/>
      <c r="I157" s="195"/>
      <c r="J157" s="205">
        <f ca="1">IFERROR(__xludf.DUMMYFUNCTION("IMPORTRANGE(""https://docs.google.com/spreadsheets/d/1IYY_tgx_IHuhSq3AJ5eI5OnqOPBNLWSHKh2a30DoXe8/edit?usp=sharing"",""สุราษฎร์ธานี!J82"")"),1)</f>
        <v>1</v>
      </c>
      <c r="K157" s="169"/>
      <c r="L157" s="189"/>
      <c r="M157" s="189"/>
      <c r="N157" s="189"/>
      <c r="O157" s="189"/>
      <c r="P157" s="189"/>
    </row>
    <row r="158" spans="1:16" ht="21.75" customHeight="1" x14ac:dyDescent="0.35">
      <c r="A158" s="183"/>
      <c r="B158" s="184"/>
      <c r="C158" s="184"/>
      <c r="D158" s="201"/>
      <c r="E158" s="206"/>
      <c r="F158" s="202" t="s">
        <v>78</v>
      </c>
      <c r="G158" s="204"/>
      <c r="H158" s="188" t="s">
        <v>77</v>
      </c>
      <c r="I158" s="195">
        <f ca="1">IFERROR(__xludf.DUMMYFUNCTION("IMPORTRANGE(""https://docs.google.com/spreadsheets/d/1IYY_tgx_IHuhSq3AJ5eI5OnqOPBNLWSHKh2a30DoXe8/edit?usp=sharing"",""สุราษฎร์ธานี!I83"")"),4)</f>
        <v>4</v>
      </c>
      <c r="J158" s="196">
        <f ca="1">IFERROR(__xludf.DUMMYFUNCTION("IMPORTRANGE(""https://docs.google.com/spreadsheets/d/1IYY_tgx_IHuhSq3AJ5eI5OnqOPBNLWSHKh2a30DoXe8/edit?usp=sharing"",""สุราษฎร์ธานี!J83"")"),2)</f>
        <v>2</v>
      </c>
      <c r="K158" s="169">
        <f ca="1">IF(I158&gt;0,J158*100/I158,0)</f>
        <v>50</v>
      </c>
      <c r="L158" s="189"/>
      <c r="M158" s="189"/>
      <c r="N158" s="189"/>
      <c r="O158" s="189"/>
      <c r="P158" s="189"/>
    </row>
    <row r="159" spans="1:16" ht="21.75" customHeight="1" x14ac:dyDescent="0.35">
      <c r="A159" s="183"/>
      <c r="B159" s="184"/>
      <c r="C159" s="184"/>
      <c r="D159" s="201"/>
      <c r="E159" s="203"/>
      <c r="F159" s="285" t="s">
        <v>79</v>
      </c>
      <c r="G159" s="204"/>
      <c r="H159" s="286" t="s">
        <v>37</v>
      </c>
      <c r="I159" s="195"/>
      <c r="J159" s="211">
        <f ca="1">IFERROR(__xludf.DUMMYFUNCTION("IMPORTRANGE(""https://docs.google.com/spreadsheets/d/1IYY_tgx_IHuhSq3AJ5eI5OnqOPBNLWSHKh2a30DoXe8/edit?usp=sharing"",""สุราษฎร์ธานี!J84"")"),0)</f>
        <v>0</v>
      </c>
      <c r="K159" s="169"/>
      <c r="L159" s="189"/>
      <c r="M159" s="189"/>
      <c r="N159" s="189"/>
      <c r="O159" s="189"/>
      <c r="P159" s="189"/>
    </row>
    <row r="160" spans="1:16" ht="21.75" customHeight="1" x14ac:dyDescent="0.45">
      <c r="A160" s="183"/>
      <c r="B160" s="184"/>
      <c r="C160" s="184"/>
      <c r="D160" s="201"/>
      <c r="E160" s="203"/>
      <c r="F160" s="203"/>
      <c r="G160" s="287" t="s">
        <v>80</v>
      </c>
      <c r="H160" s="286" t="s">
        <v>37</v>
      </c>
      <c r="I160" s="195"/>
      <c r="J160" s="288">
        <f ca="1">IFERROR(__xludf.DUMMYFUNCTION("IMPORTRANGE(""https://docs.google.com/spreadsheets/d/1IYY_tgx_IHuhSq3AJ5eI5OnqOPBNLWSHKh2a30DoXe8/edit?usp=sharing"",""สุราษฎร์ธานี!J85"")"),0)</f>
        <v>0</v>
      </c>
      <c r="K160" s="169"/>
      <c r="L160" s="189"/>
      <c r="M160" s="189"/>
      <c r="N160" s="189"/>
      <c r="O160" s="189"/>
      <c r="P160" s="189"/>
    </row>
    <row r="161" spans="1:16" ht="21.75" customHeight="1" x14ac:dyDescent="0.45">
      <c r="A161" s="183"/>
      <c r="B161" s="184"/>
      <c r="C161" s="184"/>
      <c r="D161" s="201"/>
      <c r="E161" s="203"/>
      <c r="F161" s="203"/>
      <c r="G161" s="287" t="s">
        <v>81</v>
      </c>
      <c r="H161" s="286" t="s">
        <v>37</v>
      </c>
      <c r="I161" s="195"/>
      <c r="J161" s="288">
        <f ca="1">IFERROR(__xludf.DUMMYFUNCTION("IMPORTRANGE(""https://docs.google.com/spreadsheets/d/1IYY_tgx_IHuhSq3AJ5eI5OnqOPBNLWSHKh2a30DoXe8/edit?usp=sharing"",""สุราษฎร์ธานี!J86"")"),0)</f>
        <v>0</v>
      </c>
      <c r="K161" s="169"/>
      <c r="L161" s="189"/>
      <c r="M161" s="189"/>
      <c r="N161" s="189"/>
      <c r="O161" s="189"/>
      <c r="P161" s="189"/>
    </row>
    <row r="162" spans="1:16" ht="21.75" customHeight="1" x14ac:dyDescent="0.35">
      <c r="A162" s="183"/>
      <c r="B162" s="184"/>
      <c r="C162" s="184"/>
      <c r="D162" s="201"/>
      <c r="E162" s="202" t="s">
        <v>54</v>
      </c>
      <c r="F162" s="203"/>
      <c r="G162" s="204"/>
      <c r="H162" s="194"/>
      <c r="I162" s="195"/>
      <c r="J162" s="205">
        <f ca="1">IFERROR(__xludf.DUMMYFUNCTION("IMPORTRANGE(""https://docs.google.com/spreadsheets/d/1IYY_tgx_IHuhSq3AJ5eI5OnqOPBNLWSHKh2a30DoXe8/edit?usp=sharing"",""สุราษฎร์ธานี!J87"")"),0)</f>
        <v>0</v>
      </c>
      <c r="K162" s="169"/>
      <c r="L162" s="189"/>
      <c r="M162" s="189"/>
      <c r="N162" s="189"/>
      <c r="O162" s="189"/>
      <c r="P162" s="189"/>
    </row>
    <row r="163" spans="1:16" ht="21.75" customHeight="1" x14ac:dyDescent="0.35">
      <c r="A163" s="183"/>
      <c r="B163" s="184"/>
      <c r="C163" s="184"/>
      <c r="D163" s="213">
        <v>3</v>
      </c>
      <c r="E163" s="214" t="s">
        <v>55</v>
      </c>
      <c r="F163" s="215"/>
      <c r="G163" s="216"/>
      <c r="H163" s="194"/>
      <c r="I163" s="195"/>
      <c r="J163" s="217">
        <f ca="1">IFERROR(__xludf.DUMMYFUNCTION("IMPORTRANGE(""https://docs.google.com/spreadsheets/d/1IYY_tgx_IHuhSq3AJ5eI5OnqOPBNLWSHKh2a30DoXe8/edit?usp=sharing"",""สุราษฎร์ธานี!J88"")"),0)</f>
        <v>0</v>
      </c>
      <c r="K163" s="169"/>
      <c r="L163" s="189"/>
      <c r="M163" s="189"/>
      <c r="N163" s="189"/>
      <c r="O163" s="189"/>
      <c r="P163" s="189"/>
    </row>
    <row r="164" spans="1:16" ht="21.75" customHeight="1" x14ac:dyDescent="0.35">
      <c r="A164" s="277"/>
      <c r="B164" s="278"/>
      <c r="C164" s="279" t="s">
        <v>82</v>
      </c>
      <c r="D164" s="279"/>
      <c r="E164" s="279"/>
      <c r="F164" s="279"/>
      <c r="G164" s="280"/>
      <c r="H164" s="289" t="s">
        <v>83</v>
      </c>
      <c r="I164" s="290">
        <f ca="1">IFERROR(__xludf.DUMMYFUNCTION("IMPORTRANGE(""https://docs.google.com/spreadsheets/d/1IYY_tgx_IHuhSq3AJ5eI5OnqOPBNLWSHKh2a30DoXe8/edit?usp=sharing"",""สุราษฎร์ธานี!I89"")"),3)</f>
        <v>3</v>
      </c>
      <c r="J164" s="290">
        <f ca="1">IFERROR(__xludf.DUMMYFUNCTION("IMPORTRANGE(""https://docs.google.com/spreadsheets/d/1IYY_tgx_IHuhSq3AJ5eI5OnqOPBNLWSHKh2a30DoXe8/edit?usp=sharing"",""สุราษฎร์ธานี!J89"")"),3)</f>
        <v>3</v>
      </c>
      <c r="K164" s="291">
        <f ca="1">IF(I164&gt;0,J164*100/I164,0)</f>
        <v>100</v>
      </c>
      <c r="L164" s="284"/>
      <c r="M164" s="284"/>
      <c r="N164" s="284"/>
      <c r="O164" s="284"/>
      <c r="P164" s="284"/>
    </row>
    <row r="165" spans="1:16" ht="21.75" customHeight="1" x14ac:dyDescent="0.35">
      <c r="A165" s="162"/>
      <c r="B165" s="163"/>
      <c r="C165" s="163" t="s">
        <v>16</v>
      </c>
      <c r="D165" s="164" t="s">
        <v>38</v>
      </c>
      <c r="E165" s="165"/>
      <c r="F165" s="165"/>
      <c r="G165" s="166" t="s">
        <v>39</v>
      </c>
      <c r="H165" s="167" t="s">
        <v>12</v>
      </c>
      <c r="I165" s="168" t="s">
        <v>40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 x14ac:dyDescent="0.35">
      <c r="A166" s="162"/>
      <c r="B166" s="163"/>
      <c r="C166" s="163"/>
      <c r="D166" s="172"/>
      <c r="E166" s="165"/>
      <c r="F166" s="165" t="s">
        <v>40</v>
      </c>
      <c r="G166" s="166" t="s">
        <v>41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 x14ac:dyDescent="0.35">
      <c r="A167" s="162"/>
      <c r="B167" s="163"/>
      <c r="C167" s="163"/>
      <c r="D167" s="172"/>
      <c r="E167" s="165"/>
      <c r="F167" s="165"/>
      <c r="G167" s="177" t="s">
        <v>43</v>
      </c>
      <c r="H167" s="167" t="s">
        <v>12</v>
      </c>
      <c r="I167" s="168"/>
      <c r="J167" s="168"/>
      <c r="K167" s="169"/>
      <c r="L167" s="176"/>
      <c r="M167" s="176"/>
      <c r="N167" s="173"/>
      <c r="O167" s="176"/>
      <c r="P167" s="176"/>
    </row>
    <row r="168" spans="1:16" ht="21.75" customHeight="1" x14ac:dyDescent="0.35">
      <c r="A168" s="183"/>
      <c r="B168" s="184"/>
      <c r="C168" s="163" t="s">
        <v>16</v>
      </c>
      <c r="D168" s="185" t="s">
        <v>44</v>
      </c>
      <c r="E168" s="186"/>
      <c r="F168" s="186"/>
      <c r="G168" s="187"/>
      <c r="H168" s="188"/>
      <c r="I168" s="168"/>
      <c r="J168" s="168"/>
      <c r="K168" s="169"/>
      <c r="L168" s="189"/>
      <c r="M168" s="189"/>
      <c r="N168" s="189"/>
      <c r="O168" s="189"/>
      <c r="P168" s="189"/>
    </row>
    <row r="169" spans="1:16" ht="21.75" customHeight="1" x14ac:dyDescent="0.35">
      <c r="A169" s="183"/>
      <c r="B169" s="184"/>
      <c r="C169" s="184"/>
      <c r="D169" s="190">
        <v>1</v>
      </c>
      <c r="E169" s="191" t="s">
        <v>45</v>
      </c>
      <c r="F169" s="192"/>
      <c r="G169" s="193"/>
      <c r="H169" s="194"/>
      <c r="I169" s="195"/>
      <c r="J169" s="196">
        <f ca="1">IFERROR(__xludf.DUMMYFUNCTION("IMPORTRANGE(""https://docs.google.com/spreadsheets/d/1IYY_tgx_IHuhSq3AJ5eI5OnqOPBNLWSHKh2a30DoXe8/edit?usp=sharing"",""สุราษฎร์ธานี!J94"")"),0)</f>
        <v>0</v>
      </c>
      <c r="K169" s="169"/>
      <c r="L169" s="189"/>
      <c r="M169" s="189"/>
      <c r="N169" s="189"/>
      <c r="O169" s="189"/>
      <c r="P169" s="189"/>
    </row>
    <row r="170" spans="1:16" ht="21.75" customHeight="1" x14ac:dyDescent="0.35">
      <c r="A170" s="183"/>
      <c r="B170" s="184"/>
      <c r="C170" s="184"/>
      <c r="D170" s="197">
        <v>2</v>
      </c>
      <c r="E170" s="198" t="s">
        <v>46</v>
      </c>
      <c r="F170" s="199"/>
      <c r="G170" s="200"/>
      <c r="H170" s="194"/>
      <c r="I170" s="195"/>
      <c r="J170" s="205">
        <f ca="1">IFERROR(__xludf.DUMMYFUNCTION("IMPORTRANGE(""https://docs.google.com/spreadsheets/d/1IYY_tgx_IHuhSq3AJ5eI5OnqOPBNLWSHKh2a30DoXe8/edit?usp=sharing"",""สุราษฎร์ธานี!J95"")"),1)</f>
        <v>1</v>
      </c>
      <c r="K170" s="169"/>
      <c r="L170" s="189"/>
      <c r="M170" s="189"/>
      <c r="N170" s="189"/>
      <c r="O170" s="189"/>
      <c r="P170" s="189"/>
    </row>
    <row r="171" spans="1:16" ht="21.75" customHeight="1" x14ac:dyDescent="0.35">
      <c r="A171" s="183"/>
      <c r="B171" s="184"/>
      <c r="C171" s="184"/>
      <c r="D171" s="201"/>
      <c r="E171" s="202" t="s">
        <v>47</v>
      </c>
      <c r="F171" s="203"/>
      <c r="G171" s="204"/>
      <c r="H171" s="194"/>
      <c r="I171" s="195"/>
      <c r="J171" s="205">
        <f ca="1">IFERROR(__xludf.DUMMYFUNCTION("IMPORTRANGE(""https://docs.google.com/spreadsheets/d/1IYY_tgx_IHuhSq3AJ5eI5OnqOPBNLWSHKh2a30DoXe8/edit?usp=sharing"",""สุราษฎร์ธานี!J96"")"),1)</f>
        <v>1</v>
      </c>
      <c r="K171" s="169"/>
      <c r="L171" s="189"/>
      <c r="M171" s="189"/>
      <c r="N171" s="189"/>
      <c r="O171" s="189"/>
      <c r="P171" s="189"/>
    </row>
    <row r="172" spans="1:16" ht="21.75" customHeight="1" x14ac:dyDescent="0.35">
      <c r="A172" s="183"/>
      <c r="B172" s="184"/>
      <c r="C172" s="184"/>
      <c r="D172" s="201"/>
      <c r="E172" s="202" t="s">
        <v>48</v>
      </c>
      <c r="F172" s="203"/>
      <c r="G172" s="204"/>
      <c r="H172" s="194"/>
      <c r="I172" s="195"/>
      <c r="J172" s="205">
        <f ca="1">IFERROR(__xludf.DUMMYFUNCTION("IMPORTRANGE(""https://docs.google.com/spreadsheets/d/1IYY_tgx_IHuhSq3AJ5eI5OnqOPBNLWSHKh2a30DoXe8/edit?usp=sharing"",""สุราษฎร์ธานี!J97"")"),1)</f>
        <v>1</v>
      </c>
      <c r="K172" s="169"/>
      <c r="L172" s="189"/>
      <c r="M172" s="189"/>
      <c r="N172" s="189"/>
      <c r="O172" s="189"/>
      <c r="P172" s="189"/>
    </row>
    <row r="173" spans="1:16" ht="21.75" customHeight="1" x14ac:dyDescent="0.35">
      <c r="A173" s="183"/>
      <c r="B173" s="184"/>
      <c r="C173" s="184"/>
      <c r="D173" s="201"/>
      <c r="E173" s="206"/>
      <c r="F173" s="212" t="s">
        <v>84</v>
      </c>
      <c r="G173" s="204"/>
      <c r="H173" s="188" t="s">
        <v>83</v>
      </c>
      <c r="I173" s="195">
        <f ca="1">IFERROR(__xludf.DUMMYFUNCTION("IMPORTRANGE(""https://docs.google.com/spreadsheets/d/1IYY_tgx_IHuhSq3AJ5eI5OnqOPBNLWSHKh2a30DoXe8/edit?usp=sharing"",""สุราษฎร์ธานี!I98"")"),3)</f>
        <v>3</v>
      </c>
      <c r="J173" s="196">
        <f ca="1">IFERROR(__xludf.DUMMYFUNCTION("IMPORTRANGE(""https://docs.google.com/spreadsheets/d/1IYY_tgx_IHuhSq3AJ5eI5OnqOPBNLWSHKh2a30DoXe8/edit?usp=sharing"",""สุราษฎร์ธานี!J98"")"),3)</f>
        <v>3</v>
      </c>
      <c r="K173" s="169">
        <f ca="1">IF(I173&gt;0,J173*100/I173,0)</f>
        <v>100</v>
      </c>
      <c r="L173" s="176"/>
      <c r="M173" s="176"/>
      <c r="N173" s="173"/>
      <c r="O173" s="176"/>
      <c r="P173" s="176"/>
    </row>
    <row r="174" spans="1:16" ht="21.75" customHeight="1" x14ac:dyDescent="0.35">
      <c r="A174" s="183"/>
      <c r="B174" s="184"/>
      <c r="C174" s="184"/>
      <c r="D174" s="201"/>
      <c r="E174" s="202" t="s">
        <v>54</v>
      </c>
      <c r="F174" s="203"/>
      <c r="G174" s="204"/>
      <c r="H174" s="194"/>
      <c r="I174" s="195"/>
      <c r="J174" s="205">
        <f ca="1">IFERROR(__xludf.DUMMYFUNCTION("IMPORTRANGE(""https://docs.google.com/spreadsheets/d/1IYY_tgx_IHuhSq3AJ5eI5OnqOPBNLWSHKh2a30DoXe8/edit?usp=sharing"",""สุราษฎร์ธานี!J99"")"),0)</f>
        <v>0</v>
      </c>
      <c r="K174" s="169"/>
      <c r="L174" s="189"/>
      <c r="M174" s="189"/>
      <c r="N174" s="189"/>
      <c r="O174" s="189"/>
      <c r="P174" s="189"/>
    </row>
    <row r="175" spans="1:16" ht="21.75" customHeight="1" x14ac:dyDescent="0.35">
      <c r="A175" s="183"/>
      <c r="B175" s="184"/>
      <c r="C175" s="184"/>
      <c r="D175" s="213">
        <v>3</v>
      </c>
      <c r="E175" s="214" t="s">
        <v>55</v>
      </c>
      <c r="F175" s="215"/>
      <c r="G175" s="216"/>
      <c r="H175" s="194"/>
      <c r="I175" s="195"/>
      <c r="J175" s="217">
        <f ca="1">IFERROR(__xludf.DUMMYFUNCTION("IMPORTRANGE(""https://docs.google.com/spreadsheets/d/1IYY_tgx_IHuhSq3AJ5eI5OnqOPBNLWSHKh2a30DoXe8/edit?usp=sharing"",""สุราษฎร์ธานี!J100"")"),0)</f>
        <v>0</v>
      </c>
      <c r="K175" s="169"/>
      <c r="L175" s="189"/>
      <c r="M175" s="189"/>
      <c r="N175" s="189"/>
      <c r="O175" s="189"/>
      <c r="P175" s="189"/>
    </row>
    <row r="176" spans="1:16" ht="21.75" customHeight="1" x14ac:dyDescent="0.35">
      <c r="A176" s="277"/>
      <c r="B176" s="278"/>
      <c r="C176" s="279" t="s">
        <v>85</v>
      </c>
      <c r="D176" s="279"/>
      <c r="E176" s="279"/>
      <c r="F176" s="279"/>
      <c r="G176" s="280"/>
      <c r="H176" s="289" t="s">
        <v>83</v>
      </c>
      <c r="I176" s="290">
        <f ca="1">IFERROR(__xludf.DUMMYFUNCTION("IMPORTRANGE(""https://docs.google.com/spreadsheets/d/1IYY_tgx_IHuhSq3AJ5eI5OnqOPBNLWSHKh2a30DoXe8/edit?usp=sharing"",""สุราษฎร์ธานี!I101"")"),0)</f>
        <v>0</v>
      </c>
      <c r="J176" s="290">
        <f ca="1">IFERROR(__xludf.DUMMYFUNCTION("IMPORTRANGE(""https://docs.google.com/spreadsheets/d/1IYY_tgx_IHuhSq3AJ5eI5OnqOPBNLWSHKh2a30DoXe8/edit?usp=sharing"",""สุราษฎร์ธานี!J101"")"),0)</f>
        <v>0</v>
      </c>
      <c r="K176" s="291">
        <f ca="1">IF(I176&gt;0,J176*100/I176,0)</f>
        <v>0</v>
      </c>
      <c r="L176" s="284"/>
      <c r="M176" s="284"/>
      <c r="N176" s="284"/>
      <c r="O176" s="284"/>
      <c r="P176" s="284"/>
    </row>
    <row r="177" spans="1:16" ht="21.75" customHeight="1" x14ac:dyDescent="0.35">
      <c r="A177" s="162"/>
      <c r="B177" s="163"/>
      <c r="C177" s="163" t="s">
        <v>16</v>
      </c>
      <c r="D177" s="164" t="s">
        <v>38</v>
      </c>
      <c r="E177" s="165"/>
      <c r="F177" s="165"/>
      <c r="G177" s="166" t="s">
        <v>39</v>
      </c>
      <c r="H177" s="167" t="s">
        <v>12</v>
      </c>
      <c r="I177" s="168" t="s">
        <v>40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 x14ac:dyDescent="0.35">
      <c r="A178" s="162"/>
      <c r="B178" s="163"/>
      <c r="C178" s="163"/>
      <c r="D178" s="172"/>
      <c r="E178" s="165"/>
      <c r="F178" s="165" t="s">
        <v>40</v>
      </c>
      <c r="G178" s="166" t="s">
        <v>41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 x14ac:dyDescent="0.35">
      <c r="A179" s="162"/>
      <c r="B179" s="163"/>
      <c r="C179" s="163"/>
      <c r="D179" s="172"/>
      <c r="E179" s="165"/>
      <c r="F179" s="165"/>
      <c r="G179" s="177" t="s">
        <v>43</v>
      </c>
      <c r="H179" s="167" t="s">
        <v>12</v>
      </c>
      <c r="I179" s="168"/>
      <c r="J179" s="195"/>
      <c r="K179" s="231"/>
      <c r="L179" s="176"/>
      <c r="M179" s="176"/>
      <c r="N179" s="173"/>
      <c r="O179" s="176"/>
      <c r="P179" s="176"/>
    </row>
    <row r="180" spans="1:16" ht="21.75" customHeight="1" x14ac:dyDescent="0.35">
      <c r="A180" s="183"/>
      <c r="B180" s="184"/>
      <c r="C180" s="163" t="s">
        <v>16</v>
      </c>
      <c r="D180" s="185" t="s">
        <v>44</v>
      </c>
      <c r="E180" s="186"/>
      <c r="F180" s="186"/>
      <c r="G180" s="187"/>
      <c r="H180" s="188"/>
      <c r="I180" s="168"/>
      <c r="J180" s="195"/>
      <c r="K180" s="231"/>
      <c r="L180" s="176"/>
      <c r="M180" s="176"/>
      <c r="N180" s="176"/>
      <c r="O180" s="189"/>
      <c r="P180" s="189"/>
    </row>
    <row r="181" spans="1:16" ht="21.75" customHeight="1" x14ac:dyDescent="0.35">
      <c r="A181" s="183"/>
      <c r="B181" s="184"/>
      <c r="C181" s="184"/>
      <c r="D181" s="190">
        <v>1</v>
      </c>
      <c r="E181" s="191" t="s">
        <v>45</v>
      </c>
      <c r="F181" s="192"/>
      <c r="G181" s="193"/>
      <c r="H181" s="194"/>
      <c r="I181" s="195"/>
      <c r="J181" s="195">
        <f ca="1">IFERROR(__xludf.DUMMYFUNCTION("IMPORTRANGE(""https://docs.google.com/spreadsheets/d/1IYY_tgx_IHuhSq3AJ5eI5OnqOPBNLWSHKh2a30DoXe8/edit?usp=sharing"",""สุราษฎร์ธานี!J106"")"),0)</f>
        <v>0</v>
      </c>
      <c r="K181" s="231"/>
      <c r="L181" s="176"/>
      <c r="M181" s="176"/>
      <c r="N181" s="176"/>
      <c r="O181" s="189"/>
      <c r="P181" s="189"/>
    </row>
    <row r="182" spans="1:16" ht="21.75" customHeight="1" x14ac:dyDescent="0.35">
      <c r="A182" s="183"/>
      <c r="B182" s="184"/>
      <c r="C182" s="184"/>
      <c r="D182" s="197">
        <v>2</v>
      </c>
      <c r="E182" s="198" t="s">
        <v>46</v>
      </c>
      <c r="F182" s="199"/>
      <c r="G182" s="200"/>
      <c r="H182" s="194"/>
      <c r="I182" s="195"/>
      <c r="J182" s="195">
        <f ca="1">IFERROR(__xludf.DUMMYFUNCTION("IMPORTRANGE(""https://docs.google.com/spreadsheets/d/1IYY_tgx_IHuhSq3AJ5eI5OnqOPBNLWSHKh2a30DoXe8/edit?usp=sharing"",""สุราษฎร์ธานี!J107"")"),0)</f>
        <v>0</v>
      </c>
      <c r="K182" s="231"/>
      <c r="L182" s="176"/>
      <c r="M182" s="176"/>
      <c r="N182" s="176"/>
      <c r="O182" s="189"/>
      <c r="P182" s="189"/>
    </row>
    <row r="183" spans="1:16" ht="21.75" customHeight="1" x14ac:dyDescent="0.35">
      <c r="A183" s="183"/>
      <c r="B183" s="184"/>
      <c r="C183" s="184"/>
      <c r="D183" s="201"/>
      <c r="E183" s="202" t="s">
        <v>47</v>
      </c>
      <c r="F183" s="203"/>
      <c r="G183" s="204"/>
      <c r="H183" s="194"/>
      <c r="I183" s="195"/>
      <c r="J183" s="195">
        <f ca="1">IFERROR(__xludf.DUMMYFUNCTION("IMPORTRANGE(""https://docs.google.com/spreadsheets/d/1IYY_tgx_IHuhSq3AJ5eI5OnqOPBNLWSHKh2a30DoXe8/edit?usp=sharing"",""สุราษฎร์ธานี!J108"")"),0)</f>
        <v>0</v>
      </c>
      <c r="K183" s="231"/>
      <c r="L183" s="176"/>
      <c r="M183" s="176"/>
      <c r="N183" s="176"/>
      <c r="O183" s="189"/>
      <c r="P183" s="189"/>
    </row>
    <row r="184" spans="1:16" ht="21.75" customHeight="1" x14ac:dyDescent="0.35">
      <c r="A184" s="183"/>
      <c r="B184" s="184"/>
      <c r="C184" s="184"/>
      <c r="D184" s="201"/>
      <c r="E184" s="202" t="s">
        <v>48</v>
      </c>
      <c r="F184" s="203"/>
      <c r="G184" s="204"/>
      <c r="H184" s="194"/>
      <c r="I184" s="195"/>
      <c r="J184" s="195">
        <f ca="1">IFERROR(__xludf.DUMMYFUNCTION("IMPORTRANGE(""https://docs.google.com/spreadsheets/d/1IYY_tgx_IHuhSq3AJ5eI5OnqOPBNLWSHKh2a30DoXe8/edit?usp=sharing"",""สุราษฎร์ธานี!J109"")"),0)</f>
        <v>0</v>
      </c>
      <c r="K184" s="231"/>
      <c r="L184" s="176"/>
      <c r="M184" s="176"/>
      <c r="N184" s="176"/>
      <c r="O184" s="189"/>
      <c r="P184" s="189"/>
    </row>
    <row r="185" spans="1:16" ht="21.75" customHeight="1" x14ac:dyDescent="0.35">
      <c r="A185" s="183"/>
      <c r="B185" s="184"/>
      <c r="C185" s="184"/>
      <c r="D185" s="201"/>
      <c r="E185" s="206"/>
      <c r="F185" s="202" t="s">
        <v>86</v>
      </c>
      <c r="G185" s="204"/>
      <c r="H185" s="188" t="s">
        <v>83</v>
      </c>
      <c r="I185" s="195">
        <f ca="1">IFERROR(__xludf.DUMMYFUNCTION("IMPORTRANGE(""https://docs.google.com/spreadsheets/d/1IYY_tgx_IHuhSq3AJ5eI5OnqOPBNLWSHKh2a30DoXe8/edit?usp=sharing"",""สุราษฎร์ธานี!I110"")"),0)</f>
        <v>0</v>
      </c>
      <c r="J185" s="211">
        <f ca="1">IFERROR(__xludf.DUMMYFUNCTION("IMPORTRANGE(""https://docs.google.com/spreadsheets/d/1IYY_tgx_IHuhSq3AJ5eI5OnqOPBNLWSHKh2a30DoXe8/edit?usp=sharing"",""สุราษฎร์ธานี!J110"")"),0)</f>
        <v>0</v>
      </c>
      <c r="K185" s="231">
        <f t="shared" ref="K185:K186" ca="1" si="69">IF(I185&gt;0,J185*100/I185,0)</f>
        <v>0</v>
      </c>
      <c r="L185" s="176"/>
      <c r="M185" s="176"/>
      <c r="N185" s="173"/>
      <c r="O185" s="176"/>
      <c r="P185" s="176"/>
    </row>
    <row r="186" spans="1:16" ht="21.75" customHeight="1" x14ac:dyDescent="0.35">
      <c r="A186" s="183"/>
      <c r="B186" s="184"/>
      <c r="C186" s="184"/>
      <c r="D186" s="201"/>
      <c r="E186" s="206"/>
      <c r="F186" s="202" t="s">
        <v>87</v>
      </c>
      <c r="G186" s="204"/>
      <c r="H186" s="188" t="s">
        <v>83</v>
      </c>
      <c r="I186" s="195">
        <f ca="1">IFERROR(__xludf.DUMMYFUNCTION("IMPORTRANGE(""https://docs.google.com/spreadsheets/d/1IYY_tgx_IHuhSq3AJ5eI5OnqOPBNLWSHKh2a30DoXe8/edit?usp=sharing"",""สุราษฎร์ธานี!I111"")"),0)</f>
        <v>0</v>
      </c>
      <c r="J186" s="211">
        <f ca="1">IFERROR(__xludf.DUMMYFUNCTION("IMPORTRANGE(""https://docs.google.com/spreadsheets/d/1IYY_tgx_IHuhSq3AJ5eI5OnqOPBNLWSHKh2a30DoXe8/edit?usp=sharing"",""สุราษฎร์ธานี!J111"")"),0)</f>
        <v>0</v>
      </c>
      <c r="K186" s="231">
        <f t="shared" ca="1" si="69"/>
        <v>0</v>
      </c>
      <c r="L186" s="176"/>
      <c r="M186" s="176"/>
      <c r="N186" s="173"/>
      <c r="O186" s="176"/>
      <c r="P186" s="176"/>
    </row>
    <row r="187" spans="1:16" ht="21.75" customHeight="1" x14ac:dyDescent="0.35">
      <c r="A187" s="183"/>
      <c r="B187" s="184"/>
      <c r="C187" s="184"/>
      <c r="D187" s="201"/>
      <c r="E187" s="202" t="s">
        <v>54</v>
      </c>
      <c r="F187" s="203"/>
      <c r="G187" s="204"/>
      <c r="H187" s="194"/>
      <c r="I187" s="195"/>
      <c r="J187" s="195">
        <f ca="1">IFERROR(__xludf.DUMMYFUNCTION("IMPORTRANGE(""https://docs.google.com/spreadsheets/d/1IYY_tgx_IHuhSq3AJ5eI5OnqOPBNLWSHKh2a30DoXe8/edit?usp=sharing"",""สุราษฎร์ธานี!J112"")"),0)</f>
        <v>0</v>
      </c>
      <c r="K187" s="231"/>
      <c r="L187" s="176"/>
      <c r="M187" s="176"/>
      <c r="N187" s="176"/>
      <c r="O187" s="189"/>
      <c r="P187" s="189"/>
    </row>
    <row r="188" spans="1:16" ht="21.75" customHeight="1" x14ac:dyDescent="0.35">
      <c r="A188" s="183"/>
      <c r="B188" s="184"/>
      <c r="C188" s="184"/>
      <c r="D188" s="213">
        <v>3</v>
      </c>
      <c r="E188" s="214" t="s">
        <v>55</v>
      </c>
      <c r="F188" s="215"/>
      <c r="G188" s="216"/>
      <c r="H188" s="194"/>
      <c r="I188" s="195"/>
      <c r="J188" s="234">
        <f ca="1">IFERROR(__xludf.DUMMYFUNCTION("IMPORTRANGE(""https://docs.google.com/spreadsheets/d/1IYY_tgx_IHuhSq3AJ5eI5OnqOPBNLWSHKh2a30DoXe8/edit?usp=sharing"",""สุราษฎร์ธานี!J113"")"),0)</f>
        <v>0</v>
      </c>
      <c r="K188" s="231"/>
      <c r="L188" s="176"/>
      <c r="M188" s="176"/>
      <c r="N188" s="176"/>
      <c r="O188" s="189"/>
      <c r="P188" s="189"/>
    </row>
    <row r="189" spans="1:16" ht="21.75" customHeight="1" x14ac:dyDescent="0.35">
      <c r="A189" s="277"/>
      <c r="B189" s="278"/>
      <c r="C189" s="279" t="s">
        <v>88</v>
      </c>
      <c r="D189" s="279"/>
      <c r="E189" s="279"/>
      <c r="F189" s="279"/>
      <c r="G189" s="280"/>
      <c r="H189" s="292" t="s">
        <v>89</v>
      </c>
      <c r="I189" s="290">
        <f ca="1">IFERROR(__xludf.DUMMYFUNCTION("IMPORTRANGE(""https://docs.google.com/spreadsheets/d/1IYY_tgx_IHuhSq3AJ5eI5OnqOPBNLWSHKh2a30DoXe8/edit?usp=sharing"",""สุราษฎร์ธานี!I114"")"),10000)</f>
        <v>10000</v>
      </c>
      <c r="J189" s="290">
        <f ca="1">IFERROR(__xludf.DUMMYFUNCTION("IMPORTRANGE(""https://docs.google.com/spreadsheets/d/1IYY_tgx_IHuhSq3AJ5eI5OnqOPBNLWSHKh2a30DoXe8/edit?usp=sharing"",""สุราษฎร์ธานี!J114"")"),0)</f>
        <v>0</v>
      </c>
      <c r="K189" s="291">
        <f ca="1">IF(I189&gt;0,J189*100/I189,0)</f>
        <v>0</v>
      </c>
      <c r="L189" s="284"/>
      <c r="M189" s="284"/>
      <c r="N189" s="284"/>
      <c r="O189" s="284"/>
      <c r="P189" s="284"/>
    </row>
    <row r="190" spans="1:16" ht="21.75" customHeight="1" x14ac:dyDescent="0.35">
      <c r="A190" s="162"/>
      <c r="B190" s="163"/>
      <c r="C190" s="163" t="s">
        <v>16</v>
      </c>
      <c r="D190" s="164" t="s">
        <v>38</v>
      </c>
      <c r="E190" s="165"/>
      <c r="F190" s="165"/>
      <c r="G190" s="166" t="s">
        <v>39</v>
      </c>
      <c r="H190" s="167" t="s">
        <v>12</v>
      </c>
      <c r="I190" s="168" t="s">
        <v>40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 x14ac:dyDescent="0.35">
      <c r="A191" s="162"/>
      <c r="B191" s="163"/>
      <c r="C191" s="163"/>
      <c r="D191" s="172"/>
      <c r="E191" s="165"/>
      <c r="F191" s="165" t="s">
        <v>40</v>
      </c>
      <c r="G191" s="166" t="s">
        <v>41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 x14ac:dyDescent="0.35">
      <c r="A192" s="162"/>
      <c r="B192" s="163"/>
      <c r="C192" s="163"/>
      <c r="D192" s="172"/>
      <c r="E192" s="165"/>
      <c r="F192" s="165"/>
      <c r="G192" s="177" t="s">
        <v>43</v>
      </c>
      <c r="H192" s="167" t="s">
        <v>12</v>
      </c>
      <c r="I192" s="168"/>
      <c r="J192" s="168"/>
      <c r="K192" s="169"/>
      <c r="L192" s="176"/>
      <c r="M192" s="176"/>
      <c r="N192" s="173"/>
      <c r="O192" s="176"/>
      <c r="P192" s="176"/>
    </row>
    <row r="193" spans="1:16" ht="21.75" customHeight="1" x14ac:dyDescent="0.35">
      <c r="A193" s="183"/>
      <c r="B193" s="184"/>
      <c r="C193" s="163" t="s">
        <v>16</v>
      </c>
      <c r="D193" s="185" t="s">
        <v>44</v>
      </c>
      <c r="E193" s="186"/>
      <c r="F193" s="186"/>
      <c r="G193" s="187"/>
      <c r="H193" s="188"/>
      <c r="I193" s="168"/>
      <c r="J193" s="168"/>
      <c r="K193" s="169"/>
      <c r="L193" s="189"/>
      <c r="M193" s="189"/>
      <c r="N193" s="189"/>
      <c r="O193" s="189"/>
      <c r="P193" s="189"/>
    </row>
    <row r="194" spans="1:16" ht="21.75" customHeight="1" x14ac:dyDescent="0.35">
      <c r="A194" s="183"/>
      <c r="B194" s="184"/>
      <c r="C194" s="184"/>
      <c r="D194" s="190">
        <v>1</v>
      </c>
      <c r="E194" s="191" t="s">
        <v>45</v>
      </c>
      <c r="F194" s="192"/>
      <c r="G194" s="193"/>
      <c r="H194" s="194"/>
      <c r="I194" s="195"/>
      <c r="J194" s="205">
        <f ca="1">IFERROR(__xludf.DUMMYFUNCTION("IMPORTRANGE(""https://docs.google.com/spreadsheets/d/1IYY_tgx_IHuhSq3AJ5eI5OnqOPBNLWSHKh2a30DoXe8/edit?usp=sharing"",""สุราษฎร์ธานี!J119"")"),0)</f>
        <v>0</v>
      </c>
      <c r="K194" s="169"/>
      <c r="L194" s="189"/>
      <c r="M194" s="189"/>
      <c r="N194" s="189"/>
      <c r="O194" s="189"/>
      <c r="P194" s="189"/>
    </row>
    <row r="195" spans="1:16" ht="21.75" customHeight="1" x14ac:dyDescent="0.35">
      <c r="A195" s="183"/>
      <c r="B195" s="184"/>
      <c r="C195" s="184"/>
      <c r="D195" s="197">
        <v>2</v>
      </c>
      <c r="E195" s="198" t="s">
        <v>46</v>
      </c>
      <c r="F195" s="199"/>
      <c r="G195" s="200"/>
      <c r="H195" s="194"/>
      <c r="I195" s="195"/>
      <c r="J195" s="196">
        <f ca="1">IFERROR(__xludf.DUMMYFUNCTION("IMPORTRANGE(""https://docs.google.com/spreadsheets/d/1IYY_tgx_IHuhSq3AJ5eI5OnqOPBNLWSHKh2a30DoXe8/edit?usp=sharing"",""สุราษฎร์ธานี!J120"")"),1)</f>
        <v>1</v>
      </c>
      <c r="K195" s="169"/>
      <c r="L195" s="189"/>
      <c r="M195" s="189"/>
      <c r="N195" s="189"/>
      <c r="O195" s="189"/>
      <c r="P195" s="189"/>
    </row>
    <row r="196" spans="1:16" ht="21.75" customHeight="1" x14ac:dyDescent="0.35">
      <c r="A196" s="183"/>
      <c r="B196" s="184"/>
      <c r="C196" s="184"/>
      <c r="D196" s="201"/>
      <c r="E196" s="202" t="s">
        <v>47</v>
      </c>
      <c r="F196" s="203"/>
      <c r="G196" s="204"/>
      <c r="H196" s="194"/>
      <c r="I196" s="195"/>
      <c r="J196" s="196">
        <f ca="1">IFERROR(__xludf.DUMMYFUNCTION("IMPORTRANGE(""https://docs.google.com/spreadsheets/d/1IYY_tgx_IHuhSq3AJ5eI5OnqOPBNLWSHKh2a30DoXe8/edit?usp=sharing"",""สุราษฎร์ธานี!J121"")"),1)</f>
        <v>1</v>
      </c>
      <c r="K196" s="169"/>
      <c r="L196" s="189"/>
      <c r="M196" s="189"/>
      <c r="N196" s="189"/>
      <c r="O196" s="189"/>
      <c r="P196" s="189"/>
    </row>
    <row r="197" spans="1:16" ht="21.75" customHeight="1" x14ac:dyDescent="0.35">
      <c r="A197" s="183"/>
      <c r="B197" s="184"/>
      <c r="C197" s="184"/>
      <c r="D197" s="201"/>
      <c r="E197" s="202" t="s">
        <v>48</v>
      </c>
      <c r="F197" s="203"/>
      <c r="G197" s="204"/>
      <c r="H197" s="194"/>
      <c r="I197" s="195"/>
      <c r="J197" s="205">
        <f ca="1">IFERROR(__xludf.DUMMYFUNCTION("IMPORTRANGE(""https://docs.google.com/spreadsheets/d/1IYY_tgx_IHuhSq3AJ5eI5OnqOPBNLWSHKh2a30DoXe8/edit?usp=sharing"",""สุราษฎร์ธานี!J122"")"),1)</f>
        <v>1</v>
      </c>
      <c r="K197" s="169"/>
      <c r="L197" s="189"/>
      <c r="M197" s="189"/>
      <c r="N197" s="189"/>
      <c r="O197" s="189"/>
      <c r="P197" s="189"/>
    </row>
    <row r="198" spans="1:16" ht="21.75" customHeight="1" x14ac:dyDescent="0.35">
      <c r="A198" s="183"/>
      <c r="B198" s="184"/>
      <c r="C198" s="184"/>
      <c r="D198" s="201"/>
      <c r="E198" s="203"/>
      <c r="F198" s="203" t="s">
        <v>90</v>
      </c>
      <c r="G198" s="204"/>
      <c r="H198" s="188"/>
      <c r="I198" s="195"/>
      <c r="J198" s="195"/>
      <c r="K198" s="169"/>
      <c r="L198" s="189"/>
      <c r="M198" s="189"/>
      <c r="N198" s="189"/>
      <c r="O198" s="189"/>
      <c r="P198" s="189"/>
    </row>
    <row r="199" spans="1:16" ht="21.75" customHeight="1" x14ac:dyDescent="0.35">
      <c r="A199" s="183"/>
      <c r="B199" s="184"/>
      <c r="C199" s="184"/>
      <c r="D199" s="201"/>
      <c r="E199" s="206"/>
      <c r="F199" s="203"/>
      <c r="G199" s="202" t="s">
        <v>91</v>
      </c>
      <c r="H199" s="188" t="s">
        <v>89</v>
      </c>
      <c r="I199" s="195">
        <f ca="1">IFERROR(__xludf.DUMMYFUNCTION("IMPORTRANGE(""https://docs.google.com/spreadsheets/d/1IYY_tgx_IHuhSq3AJ5eI5OnqOPBNLWSHKh2a30DoXe8/edit?usp=sharing"",""สุราษฎร์ธานี!I124"")"),10000)</f>
        <v>10000</v>
      </c>
      <c r="J199" s="196">
        <f ca="1">IFERROR(__xludf.DUMMYFUNCTION("IMPORTRANGE(""https://docs.google.com/spreadsheets/d/1IYY_tgx_IHuhSq3AJ5eI5OnqOPBNLWSHKh2a30DoXe8/edit?usp=sharing"",""สุราษฎร์ธานี!J124"")"),10000)</f>
        <v>10000</v>
      </c>
      <c r="K199" s="169">
        <f t="shared" ref="K199:K201" ca="1" si="70">IF(I199&gt;0,J199*100/I199,0)</f>
        <v>100</v>
      </c>
      <c r="L199" s="189"/>
      <c r="M199" s="189"/>
      <c r="N199" s="189"/>
      <c r="O199" s="189"/>
      <c r="P199" s="189"/>
    </row>
    <row r="200" spans="1:16" ht="21.75" customHeight="1" x14ac:dyDescent="0.35">
      <c r="A200" s="183"/>
      <c r="B200" s="184"/>
      <c r="C200" s="184"/>
      <c r="D200" s="201"/>
      <c r="E200" s="206"/>
      <c r="F200" s="203"/>
      <c r="G200" s="202" t="s">
        <v>92</v>
      </c>
      <c r="H200" s="188" t="s">
        <v>89</v>
      </c>
      <c r="I200" s="195">
        <f ca="1">IFERROR(__xludf.DUMMYFUNCTION("IMPORTRANGE(""https://docs.google.com/spreadsheets/d/1IYY_tgx_IHuhSq3AJ5eI5OnqOPBNLWSHKh2a30DoXe8/edit?usp=sharing"",""สุราษฎร์ธานี!I125"")"),10000)</f>
        <v>10000</v>
      </c>
      <c r="J200" s="196">
        <f ca="1">IFERROR(__xludf.DUMMYFUNCTION("IMPORTRANGE(""https://docs.google.com/spreadsheets/d/1IYY_tgx_IHuhSq3AJ5eI5OnqOPBNLWSHKh2a30DoXe8/edit?usp=sharing"",""สุราษฎร์ธานี!J125"")"),0)</f>
        <v>0</v>
      </c>
      <c r="K200" s="169">
        <f t="shared" ca="1" si="70"/>
        <v>0</v>
      </c>
      <c r="L200" s="176"/>
      <c r="M200" s="176"/>
      <c r="N200" s="173"/>
      <c r="O200" s="176"/>
      <c r="P200" s="176"/>
    </row>
    <row r="201" spans="1:16" ht="21.75" customHeight="1" x14ac:dyDescent="0.35">
      <c r="A201" s="183"/>
      <c r="B201" s="184"/>
      <c r="C201" s="184"/>
      <c r="D201" s="201"/>
      <c r="E201" s="206"/>
      <c r="F201" s="203" t="s">
        <v>93</v>
      </c>
      <c r="G201" s="204"/>
      <c r="H201" s="188" t="s">
        <v>37</v>
      </c>
      <c r="I201" s="195">
        <f ca="1">IFERROR(__xludf.DUMMYFUNCTION("IMPORTRANGE(""https://docs.google.com/spreadsheets/d/1IYY_tgx_IHuhSq3AJ5eI5OnqOPBNLWSHKh2a30DoXe8/edit?usp=sharing"",""สุราษฎร์ธานี!I126"")"),0)</f>
        <v>0</v>
      </c>
      <c r="J201" s="196">
        <f ca="1">IFERROR(__xludf.DUMMYFUNCTION("IMPORTRANGE(""https://docs.google.com/spreadsheets/d/1IYY_tgx_IHuhSq3AJ5eI5OnqOPBNLWSHKh2a30DoXe8/edit?usp=sharing"",""สุราษฎร์ธานี!J126"")"),0)</f>
        <v>0</v>
      </c>
      <c r="K201" s="169">
        <f t="shared" ca="1" si="70"/>
        <v>0</v>
      </c>
      <c r="L201" s="176"/>
      <c r="M201" s="176"/>
      <c r="N201" s="173"/>
      <c r="O201" s="176"/>
      <c r="P201" s="176"/>
    </row>
    <row r="202" spans="1:16" ht="21.75" customHeight="1" x14ac:dyDescent="0.35">
      <c r="A202" s="183"/>
      <c r="B202" s="184"/>
      <c r="C202" s="184"/>
      <c r="D202" s="201"/>
      <c r="E202" s="202" t="s">
        <v>54</v>
      </c>
      <c r="F202" s="203"/>
      <c r="G202" s="204"/>
      <c r="H202" s="194"/>
      <c r="I202" s="195"/>
      <c r="J202" s="205">
        <f ca="1">IFERROR(__xludf.DUMMYFUNCTION("IMPORTRANGE(""https://docs.google.com/spreadsheets/d/1IYY_tgx_IHuhSq3AJ5eI5OnqOPBNLWSHKh2a30DoXe8/edit?usp=sharing"",""สุราษฎร์ธานี!J127"")"),0)</f>
        <v>0</v>
      </c>
      <c r="K202" s="169"/>
      <c r="L202" s="189"/>
      <c r="M202" s="189"/>
      <c r="N202" s="189"/>
      <c r="O202" s="189"/>
      <c r="P202" s="189"/>
    </row>
    <row r="203" spans="1:16" ht="21.75" customHeight="1" x14ac:dyDescent="0.35">
      <c r="A203" s="241"/>
      <c r="B203" s="242"/>
      <c r="C203" s="242"/>
      <c r="D203" s="243">
        <v>3</v>
      </c>
      <c r="E203" s="244" t="s">
        <v>55</v>
      </c>
      <c r="F203" s="245"/>
      <c r="G203" s="246"/>
      <c r="H203" s="247"/>
      <c r="I203" s="248"/>
      <c r="J203" s="293">
        <f ca="1">IFERROR(__xludf.DUMMYFUNCTION("IMPORTRANGE(""https://docs.google.com/spreadsheets/d/1IYY_tgx_IHuhSq3AJ5eI5OnqOPBNLWSHKh2a30DoXe8/edit?usp=sharing"",""สุราษฎร์ธานี!J128"")"),0)</f>
        <v>0</v>
      </c>
      <c r="K203" s="294"/>
      <c r="L203" s="252"/>
      <c r="M203" s="252"/>
      <c r="N203" s="252"/>
      <c r="O203" s="252"/>
      <c r="P203" s="252"/>
    </row>
    <row r="204" spans="1:16" ht="21.75" customHeight="1" x14ac:dyDescent="0.35">
      <c r="A204" s="277"/>
      <c r="B204" s="278"/>
      <c r="C204" s="295" t="s">
        <v>94</v>
      </c>
      <c r="D204" s="279"/>
      <c r="E204" s="279"/>
      <c r="F204" s="279"/>
      <c r="G204" s="280"/>
      <c r="H204" s="292" t="s">
        <v>37</v>
      </c>
      <c r="I204" s="290">
        <f ca="1">IFERROR(__xludf.DUMMYFUNCTION("IMPORTRANGE(""https://docs.google.com/spreadsheets/d/1IYY_tgx_IHuhSq3AJ5eI5OnqOPBNLWSHKh2a30DoXe8/edit?usp=sharing"",""สุราษฎร์ธานี!I129"")"),0)</f>
        <v>0</v>
      </c>
      <c r="J204" s="290">
        <f ca="1">IFERROR(__xludf.DUMMYFUNCTION("IMPORTRANGE(""https://docs.google.com/spreadsheets/d/1IYY_tgx_IHuhSq3AJ5eI5OnqOPBNLWSHKh2a30DoXe8/edit?usp=sharing"",""สุราษฎร์ธานี!J129"")"),0)</f>
        <v>0</v>
      </c>
      <c r="K204" s="291">
        <f ca="1">IF(I204&gt;0,J204*100/I204,0)</f>
        <v>0</v>
      </c>
      <c r="L204" s="284"/>
      <c r="M204" s="284"/>
      <c r="N204" s="284"/>
      <c r="O204" s="284"/>
      <c r="P204" s="284"/>
    </row>
    <row r="205" spans="1:16" ht="21.75" customHeight="1" x14ac:dyDescent="0.35">
      <c r="A205" s="162"/>
      <c r="B205" s="163"/>
      <c r="C205" s="163" t="s">
        <v>16</v>
      </c>
      <c r="D205" s="164" t="s">
        <v>38</v>
      </c>
      <c r="E205" s="165"/>
      <c r="F205" s="165"/>
      <c r="G205" s="166" t="s">
        <v>39</v>
      </c>
      <c r="H205" s="167" t="s">
        <v>12</v>
      </c>
      <c r="I205" s="168" t="s">
        <v>40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 x14ac:dyDescent="0.35">
      <c r="A206" s="162"/>
      <c r="B206" s="163"/>
      <c r="C206" s="163"/>
      <c r="D206" s="172"/>
      <c r="E206" s="165"/>
      <c r="F206" s="165" t="s">
        <v>40</v>
      </c>
      <c r="G206" s="166" t="s">
        <v>41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 x14ac:dyDescent="0.35">
      <c r="A207" s="162"/>
      <c r="B207" s="163"/>
      <c r="C207" s="163"/>
      <c r="D207" s="172"/>
      <c r="E207" s="165"/>
      <c r="F207" s="165"/>
      <c r="G207" s="177" t="s">
        <v>43</v>
      </c>
      <c r="H207" s="167" t="s">
        <v>12</v>
      </c>
      <c r="I207" s="168"/>
      <c r="J207" s="195"/>
      <c r="K207" s="231"/>
      <c r="L207" s="176"/>
      <c r="M207" s="176"/>
      <c r="N207" s="173"/>
      <c r="O207" s="176"/>
      <c r="P207" s="176"/>
    </row>
    <row r="208" spans="1:16" ht="21.75" customHeight="1" x14ac:dyDescent="0.35">
      <c r="A208" s="183"/>
      <c r="B208" s="184"/>
      <c r="C208" s="163" t="s">
        <v>16</v>
      </c>
      <c r="D208" s="185" t="s">
        <v>44</v>
      </c>
      <c r="E208" s="186"/>
      <c r="F208" s="186"/>
      <c r="G208" s="187"/>
      <c r="H208" s="188"/>
      <c r="I208" s="168"/>
      <c r="J208" s="195"/>
      <c r="K208" s="231"/>
      <c r="L208" s="176"/>
      <c r="M208" s="176"/>
      <c r="N208" s="176"/>
      <c r="O208" s="189"/>
      <c r="P208" s="189"/>
    </row>
    <row r="209" spans="1:16" ht="21.75" customHeight="1" x14ac:dyDescent="0.35">
      <c r="A209" s="183"/>
      <c r="B209" s="184"/>
      <c r="C209" s="184"/>
      <c r="D209" s="190">
        <v>1</v>
      </c>
      <c r="E209" s="191" t="s">
        <v>45</v>
      </c>
      <c r="F209" s="192"/>
      <c r="G209" s="193"/>
      <c r="H209" s="194"/>
      <c r="I209" s="195"/>
      <c r="J209" s="195">
        <f ca="1">IFERROR(__xludf.DUMMYFUNCTION("IMPORTRANGE(""https://docs.google.com/spreadsheets/d/1IYY_tgx_IHuhSq3AJ5eI5OnqOPBNLWSHKh2a30DoXe8/edit?usp=sharing"",""สุราษฎร์ธานี!J134"")"),0)</f>
        <v>0</v>
      </c>
      <c r="K209" s="231"/>
      <c r="L209" s="176"/>
      <c r="M209" s="176"/>
      <c r="N209" s="176"/>
      <c r="O209" s="189"/>
      <c r="P209" s="189"/>
    </row>
    <row r="210" spans="1:16" ht="21.75" customHeight="1" x14ac:dyDescent="0.35">
      <c r="A210" s="183"/>
      <c r="B210" s="184"/>
      <c r="C210" s="184"/>
      <c r="D210" s="197">
        <v>2</v>
      </c>
      <c r="E210" s="198" t="s">
        <v>46</v>
      </c>
      <c r="F210" s="199"/>
      <c r="G210" s="200"/>
      <c r="H210" s="194"/>
      <c r="I210" s="195"/>
      <c r="J210" s="195">
        <f ca="1">IFERROR(__xludf.DUMMYFUNCTION("IMPORTRANGE(""https://docs.google.com/spreadsheets/d/1IYY_tgx_IHuhSq3AJ5eI5OnqOPBNLWSHKh2a30DoXe8/edit?usp=sharing"",""สุราษฎร์ธานี!J135"")"),0)</f>
        <v>0</v>
      </c>
      <c r="K210" s="231"/>
      <c r="L210" s="176"/>
      <c r="M210" s="176"/>
      <c r="N210" s="176"/>
      <c r="O210" s="189"/>
      <c r="P210" s="189"/>
    </row>
    <row r="211" spans="1:16" ht="21.75" customHeight="1" x14ac:dyDescent="0.35">
      <c r="A211" s="183"/>
      <c r="B211" s="184"/>
      <c r="C211" s="184"/>
      <c r="D211" s="201"/>
      <c r="E211" s="202" t="s">
        <v>47</v>
      </c>
      <c r="F211" s="203"/>
      <c r="G211" s="204"/>
      <c r="H211" s="194"/>
      <c r="I211" s="195"/>
      <c r="J211" s="195">
        <f ca="1">IFERROR(__xludf.DUMMYFUNCTION("IMPORTRANGE(""https://docs.google.com/spreadsheets/d/1IYY_tgx_IHuhSq3AJ5eI5OnqOPBNLWSHKh2a30DoXe8/edit?usp=sharing"",""สุราษฎร์ธานี!J136"")"),0)</f>
        <v>0</v>
      </c>
      <c r="K211" s="231"/>
      <c r="L211" s="176"/>
      <c r="M211" s="176"/>
      <c r="N211" s="176"/>
      <c r="O211" s="189"/>
      <c r="P211" s="189"/>
    </row>
    <row r="212" spans="1:16" ht="21.75" customHeight="1" x14ac:dyDescent="0.35">
      <c r="A212" s="183"/>
      <c r="B212" s="184"/>
      <c r="C212" s="184"/>
      <c r="D212" s="201"/>
      <c r="E212" s="202" t="s">
        <v>48</v>
      </c>
      <c r="F212" s="203"/>
      <c r="G212" s="204"/>
      <c r="H212" s="194"/>
      <c r="I212" s="195"/>
      <c r="J212" s="195">
        <f ca="1">IFERROR(__xludf.DUMMYFUNCTION("IMPORTRANGE(""https://docs.google.com/spreadsheets/d/1IYY_tgx_IHuhSq3AJ5eI5OnqOPBNLWSHKh2a30DoXe8/edit?usp=sharing"",""สุราษฎร์ธานี!J137"")"),0)</f>
        <v>0</v>
      </c>
      <c r="K212" s="231"/>
      <c r="L212" s="176"/>
      <c r="M212" s="176"/>
      <c r="N212" s="176"/>
      <c r="O212" s="189"/>
      <c r="P212" s="189"/>
    </row>
    <row r="213" spans="1:16" ht="21.75" customHeight="1" x14ac:dyDescent="0.35">
      <c r="A213" s="183"/>
      <c r="B213" s="184"/>
      <c r="C213" s="184"/>
      <c r="D213" s="201"/>
      <c r="E213" s="206"/>
      <c r="F213" s="203" t="s">
        <v>95</v>
      </c>
      <c r="G213" s="204"/>
      <c r="H213" s="188" t="s">
        <v>37</v>
      </c>
      <c r="I213" s="195">
        <f ca="1">IFERROR(__xludf.DUMMYFUNCTION("IMPORTRANGE(""https://docs.google.com/spreadsheets/d/1IYY_tgx_IHuhSq3AJ5eI5OnqOPBNLWSHKh2a30DoXe8/edit?usp=sharing"",""สุราษฎร์ธานี!I138"")"),0)</f>
        <v>0</v>
      </c>
      <c r="J213" s="211">
        <f ca="1">IFERROR(__xludf.DUMMYFUNCTION("IMPORTRANGE(""https://docs.google.com/spreadsheets/d/1IYY_tgx_IHuhSq3AJ5eI5OnqOPBNLWSHKh2a30DoXe8/edit?usp=sharing"",""สุราษฎร์ธานี!J138"")"),0)</f>
        <v>0</v>
      </c>
      <c r="K213" s="231">
        <f ca="1">IF(I213&gt;0,J213*100/I213,0)</f>
        <v>0</v>
      </c>
      <c r="L213" s="176"/>
      <c r="M213" s="176"/>
      <c r="N213" s="173"/>
      <c r="O213" s="176"/>
      <c r="P213" s="176"/>
    </row>
    <row r="214" spans="1:16" ht="21.75" customHeight="1" x14ac:dyDescent="0.35">
      <c r="A214" s="183"/>
      <c r="B214" s="184"/>
      <c r="C214" s="184"/>
      <c r="D214" s="201"/>
      <c r="E214" s="206"/>
      <c r="F214" s="202" t="s">
        <v>53</v>
      </c>
      <c r="G214" s="204"/>
      <c r="H214" s="188"/>
      <c r="I214" s="195"/>
      <c r="J214" s="195"/>
      <c r="K214" s="231"/>
      <c r="L214" s="176"/>
      <c r="M214" s="176"/>
      <c r="N214" s="176"/>
      <c r="O214" s="189"/>
      <c r="P214" s="189"/>
    </row>
    <row r="215" spans="1:16" ht="21.75" customHeight="1" x14ac:dyDescent="0.35">
      <c r="A215" s="183"/>
      <c r="B215" s="184"/>
      <c r="C215" s="184"/>
      <c r="D215" s="201"/>
      <c r="E215" s="206"/>
      <c r="F215" s="203"/>
      <c r="G215" s="233" t="s">
        <v>96</v>
      </c>
      <c r="H215" s="188" t="s">
        <v>37</v>
      </c>
      <c r="I215" s="195">
        <f ca="1">IFERROR(__xludf.DUMMYFUNCTION("IMPORTRANGE(""https://docs.google.com/spreadsheets/d/1IYY_tgx_IHuhSq3AJ5eI5OnqOPBNLWSHKh2a30DoXe8/edit?usp=sharing"",""สุราษฎร์ธานี!I140"")"),0)</f>
        <v>0</v>
      </c>
      <c r="J215" s="211">
        <f ca="1">IFERROR(__xludf.DUMMYFUNCTION("IMPORTRANGE(""https://docs.google.com/spreadsheets/d/1IYY_tgx_IHuhSq3AJ5eI5OnqOPBNLWSHKh2a30DoXe8/edit?usp=sharing"",""สุราษฎร์ธานี!J140"")"),0)</f>
        <v>0</v>
      </c>
      <c r="K215" s="231">
        <f t="shared" ref="K215:K216" ca="1" si="71">IF(I215&gt;0,J215*100/I215,0)</f>
        <v>0</v>
      </c>
      <c r="L215" s="176"/>
      <c r="M215" s="176"/>
      <c r="N215" s="173"/>
      <c r="O215" s="176"/>
      <c r="P215" s="176"/>
    </row>
    <row r="216" spans="1:16" ht="21.75" customHeight="1" x14ac:dyDescent="0.35">
      <c r="A216" s="183"/>
      <c r="B216" s="184"/>
      <c r="C216" s="184"/>
      <c r="D216" s="201"/>
      <c r="E216" s="206"/>
      <c r="F216" s="203"/>
      <c r="G216" s="233" t="s">
        <v>97</v>
      </c>
      <c r="H216" s="188" t="s">
        <v>59</v>
      </c>
      <c r="I216" s="195">
        <f ca="1">IFERROR(__xludf.DUMMYFUNCTION("IMPORTRANGE(""https://docs.google.com/spreadsheets/d/1IYY_tgx_IHuhSq3AJ5eI5OnqOPBNLWSHKh2a30DoXe8/edit?usp=sharing"",""สุราษฎร์ธานี!I141"")"),0)</f>
        <v>0</v>
      </c>
      <c r="J216" s="211">
        <f ca="1">IFERROR(__xludf.DUMMYFUNCTION("IMPORTRANGE(""https://docs.google.com/spreadsheets/d/1IYY_tgx_IHuhSq3AJ5eI5OnqOPBNLWSHKh2a30DoXe8/edit?usp=sharing"",""สุราษฎร์ธานี!J141"")"),0)</f>
        <v>0</v>
      </c>
      <c r="K216" s="231">
        <f t="shared" ca="1" si="71"/>
        <v>0</v>
      </c>
      <c r="L216" s="176"/>
      <c r="M216" s="176"/>
      <c r="N216" s="173"/>
      <c r="O216" s="176"/>
      <c r="P216" s="176"/>
    </row>
    <row r="217" spans="1:16" ht="21.75" customHeight="1" x14ac:dyDescent="0.35">
      <c r="A217" s="183"/>
      <c r="B217" s="184"/>
      <c r="C217" s="184"/>
      <c r="D217" s="201"/>
      <c r="E217" s="202" t="s">
        <v>54</v>
      </c>
      <c r="F217" s="203"/>
      <c r="G217" s="204"/>
      <c r="H217" s="194"/>
      <c r="I217" s="195"/>
      <c r="J217" s="195">
        <f ca="1">IFERROR(__xludf.DUMMYFUNCTION("IMPORTRANGE(""https://docs.google.com/spreadsheets/d/1IYY_tgx_IHuhSq3AJ5eI5OnqOPBNLWSHKh2a30DoXe8/edit?usp=sharing"",""สุราษฎร์ธานี!J142"")"),0)</f>
        <v>0</v>
      </c>
      <c r="K217" s="231"/>
      <c r="L217" s="176"/>
      <c r="M217" s="176"/>
      <c r="N217" s="176"/>
      <c r="O217" s="189"/>
      <c r="P217" s="189"/>
    </row>
    <row r="218" spans="1:16" ht="21.75" customHeight="1" x14ac:dyDescent="0.35">
      <c r="A218" s="241"/>
      <c r="B218" s="242"/>
      <c r="C218" s="242"/>
      <c r="D218" s="243">
        <v>3</v>
      </c>
      <c r="E218" s="244" t="s">
        <v>55</v>
      </c>
      <c r="F218" s="245"/>
      <c r="G218" s="246"/>
      <c r="H218" s="247"/>
      <c r="I218" s="248"/>
      <c r="J218" s="249">
        <f ca="1">IFERROR(__xludf.DUMMYFUNCTION("IMPORTRANGE(""https://docs.google.com/spreadsheets/d/1IYY_tgx_IHuhSq3AJ5eI5OnqOPBNLWSHKh2a30DoXe8/edit?usp=sharing"",""สุราษฎร์ธานี!J143"")"),0)</f>
        <v>0</v>
      </c>
      <c r="K218" s="250"/>
      <c r="L218" s="251"/>
      <c r="M218" s="251"/>
      <c r="N218" s="251"/>
      <c r="O218" s="252"/>
      <c r="P218" s="252"/>
    </row>
    <row r="219" spans="1:16" ht="21.75" customHeight="1" x14ac:dyDescent="0.35">
      <c r="A219" s="269"/>
      <c r="B219" s="270" t="s">
        <v>98</v>
      </c>
      <c r="C219" s="271"/>
      <c r="D219" s="270"/>
      <c r="E219" s="270"/>
      <c r="F219" s="270"/>
      <c r="G219" s="272"/>
      <c r="H219" s="273" t="s">
        <v>37</v>
      </c>
      <c r="I219" s="274">
        <f ca="1">IFERROR(__xludf.DUMMYFUNCTION("IMPORTRANGE(""https://docs.google.com/spreadsheets/d/1IYY_tgx_IHuhSq3AJ5eI5OnqOPBNLWSHKh2a30DoXe8/edit?usp=sharing"",""สุราษฎร์ธานี!I144"")"),14)</f>
        <v>14</v>
      </c>
      <c r="J219" s="274">
        <f ca="1">IFERROR(__xludf.DUMMYFUNCTION("IMPORTRANGE(""https://docs.google.com/spreadsheets/d/1IYY_tgx_IHuhSq3AJ5eI5OnqOPBNLWSHKh2a30DoXe8/edit?usp=sharing"",""สุราษฎร์ธานี!J144"")"),14)</f>
        <v>14</v>
      </c>
      <c r="K219" s="275">
        <f ca="1">IF(I219&gt;0,J219*100/I219,0)</f>
        <v>100</v>
      </c>
      <c r="L219" s="276"/>
      <c r="M219" s="276"/>
      <c r="N219" s="276"/>
      <c r="O219" s="275"/>
      <c r="P219" s="275"/>
    </row>
    <row r="220" spans="1:16" ht="21.75" customHeight="1" x14ac:dyDescent="0.45">
      <c r="A220" s="150"/>
      <c r="B220" s="151"/>
      <c r="C220" s="152" t="s">
        <v>16</v>
      </c>
      <c r="D220" s="552" t="s">
        <v>17</v>
      </c>
      <c r="E220" s="543"/>
      <c r="F220" s="543"/>
      <c r="G220" s="543"/>
      <c r="H220" s="153" t="s">
        <v>12</v>
      </c>
      <c r="I220" s="168"/>
      <c r="J220" s="168"/>
      <c r="K220" s="169"/>
      <c r="L220" s="156">
        <f t="shared" ref="L220:N220" ca="1" si="72">L221+L222</f>
        <v>20210</v>
      </c>
      <c r="M220" s="156">
        <f t="shared" ca="1" si="72"/>
        <v>20210</v>
      </c>
      <c r="N220" s="156">
        <f t="shared" ca="1" si="72"/>
        <v>20210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8"/>
      <c r="J221" s="168"/>
      <c r="K221" s="169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8"/>
      <c r="J222" s="168"/>
      <c r="K222" s="169"/>
      <c r="L222" s="161">
        <f t="shared" ref="L222:N222" ca="1" si="76">L224+L228</f>
        <v>20210</v>
      </c>
      <c r="M222" s="161">
        <f t="shared" ca="1" si="76"/>
        <v>20210</v>
      </c>
      <c r="N222" s="161">
        <f t="shared" ca="1" si="76"/>
        <v>20210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5">
      <c r="A223" s="162"/>
      <c r="B223" s="163"/>
      <c r="C223" s="163" t="s">
        <v>16</v>
      </c>
      <c r="D223" s="164" t="s">
        <v>38</v>
      </c>
      <c r="E223" s="165"/>
      <c r="F223" s="165"/>
      <c r="G223" s="166" t="s">
        <v>39</v>
      </c>
      <c r="H223" s="167" t="s">
        <v>12</v>
      </c>
      <c r="I223" s="168" t="s">
        <v>40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 x14ac:dyDescent="0.35">
      <c r="A224" s="162"/>
      <c r="B224" s="163"/>
      <c r="C224" s="163"/>
      <c r="D224" s="172"/>
      <c r="E224" s="165"/>
      <c r="F224" s="165" t="s">
        <v>40</v>
      </c>
      <c r="G224" s="166" t="s">
        <v>41</v>
      </c>
      <c r="H224" s="167" t="s">
        <v>12</v>
      </c>
      <c r="I224" s="168"/>
      <c r="J224" s="168"/>
      <c r="K224" s="169"/>
      <c r="L224" s="173">
        <f ca="1">L225+L226</f>
        <v>20210</v>
      </c>
      <c r="M224" s="174">
        <f ca="1">IFERROR(__xludf.DUMMYFUNCTION("IMPORTRANGE(""https://docs.google.com/spreadsheets/d/1Yj_ptqi66GCucihVvJfMjLAmec39IyEx_6qawtMGysU/edit?usp=sharing"",""สบก!BS94"")"),20210)</f>
        <v>20210</v>
      </c>
      <c r="N224" s="175">
        <f ca="1">IFERROR(__xludf.DUMMYFUNCTION("IMPORTRANGE(""https://docs.google.com/spreadsheets/d/1Yj_ptqi66GCucihVvJfMjLAmec39IyEx_6qawtMGysU/edit?usp=sharing"",""สบก!BT94"")"),20210)</f>
        <v>20210</v>
      </c>
      <c r="O224" s="176">
        <f ca="1">IF(L224&gt;0,N224*100/L224,0)</f>
        <v>100</v>
      </c>
      <c r="P224" s="176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2"/>
      <c r="E225" s="165"/>
      <c r="F225" s="165"/>
      <c r="G225" s="177" t="s">
        <v>42</v>
      </c>
      <c r="H225" s="167" t="s">
        <v>12</v>
      </c>
      <c r="I225" s="168"/>
      <c r="J225" s="168"/>
      <c r="K225" s="169"/>
      <c r="L225" s="174">
        <f ca="1">IFERROR(__xludf.DUMMYFUNCTION("IMPORTRANGE(""https://docs.google.com/spreadsheets/d/1Yj_ptqi66GCucihVvJfMjLAmec39IyEx_6qawtMGysU/edit?usp=sharing"",""สบก!BO94"")"),0)</f>
        <v>0</v>
      </c>
      <c r="M225" s="173"/>
      <c r="N225" s="173"/>
      <c r="O225" s="176"/>
      <c r="P225" s="176"/>
    </row>
    <row r="226" spans="1:16" ht="21.75" customHeight="1" x14ac:dyDescent="0.35">
      <c r="A226" s="162"/>
      <c r="B226" s="163"/>
      <c r="C226" s="163"/>
      <c r="D226" s="172"/>
      <c r="E226" s="165"/>
      <c r="F226" s="165"/>
      <c r="G226" s="177" t="s">
        <v>43</v>
      </c>
      <c r="H226" s="167" t="s">
        <v>12</v>
      </c>
      <c r="I226" s="168"/>
      <c r="J226" s="168"/>
      <c r="K226" s="169"/>
      <c r="L226" s="174">
        <f ca="1">IFERROR(__xludf.DUMMYFUNCTION("IMPORTRANGE(""https://docs.google.com/spreadsheets/d/1Yj_ptqi66GCucihVvJfMjLAmec39IyEx_6qawtMGysU/edit?usp=sharing"",""สบก!BP94"")"),20210)</f>
        <v>20210</v>
      </c>
      <c r="M226" s="173"/>
      <c r="N226" s="173"/>
      <c r="O226" s="176"/>
      <c r="P226" s="176"/>
    </row>
    <row r="227" spans="1:16" ht="21.75" customHeight="1" x14ac:dyDescent="0.45">
      <c r="A227" s="178"/>
      <c r="B227" s="81"/>
      <c r="C227" s="82" t="s">
        <v>16</v>
      </c>
      <c r="D227" s="549" t="s">
        <v>23</v>
      </c>
      <c r="E227" s="545"/>
      <c r="F227" s="89"/>
      <c r="G227" s="83" t="s">
        <v>18</v>
      </c>
      <c r="H227" s="179" t="s">
        <v>12</v>
      </c>
      <c r="I227" s="208"/>
      <c r="J227" s="208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80"/>
      <c r="B228" s="95"/>
      <c r="C228" s="95"/>
      <c r="D228" s="181"/>
      <c r="E228" s="96"/>
      <c r="F228" s="96"/>
      <c r="G228" s="97" t="s">
        <v>19</v>
      </c>
      <c r="H228" s="182" t="s">
        <v>12</v>
      </c>
      <c r="I228" s="208"/>
      <c r="J228" s="208"/>
      <c r="K228" s="296"/>
      <c r="L228" s="91">
        <f ca="1">IFERROR(__xludf.DUMMYFUNCTION("IMPORTRANGE(""https://docs.google.com/spreadsheets/d/1Yj_ptqi66GCucihVvJfMjLAmec39IyEx_6qawtMGysU/edit?usp=sharing"",""สบก!BQ94"")"),0)</f>
        <v>0</v>
      </c>
      <c r="M228" s="101"/>
      <c r="N228" s="91">
        <f ca="1">IFERROR(__xludf.DUMMYFUNCTION("IMPORTRANGE(""https://docs.google.com/spreadsheets/d/1Yj_ptqi66GCucihVvJfMjLAmec39IyEx_6qawtMGysU/edit?usp=sharing"",""สบก!BU94"")"),0)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3"/>
      <c r="B229" s="297"/>
      <c r="C229" s="271" t="s">
        <v>99</v>
      </c>
      <c r="D229" s="270"/>
      <c r="E229" s="270"/>
      <c r="F229" s="270"/>
      <c r="G229" s="272"/>
      <c r="H229" s="273" t="s">
        <v>37</v>
      </c>
      <c r="I229" s="274">
        <f ca="1">IFERROR(__xludf.DUMMYFUNCTION("IMPORTRANGE(""https://docs.google.com/spreadsheets/d/1IYY_tgx_IHuhSq3AJ5eI5OnqOPBNLWSHKh2a30DoXe8/edit?usp=sharing"",""สุราษฎร์ธานี!I149"")"),14)</f>
        <v>14</v>
      </c>
      <c r="J229" s="274">
        <f ca="1">IFERROR(__xludf.DUMMYFUNCTION("IMPORTRANGE(""https://docs.google.com/spreadsheets/d/1IYY_tgx_IHuhSq3AJ5eI5OnqOPBNLWSHKh2a30DoXe8/edit?usp=sharing"",""สุราษฎร์ธานี!J149"")"),14)</f>
        <v>14</v>
      </c>
      <c r="K229" s="275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3"/>
      <c r="B230" s="184"/>
      <c r="C230" s="163" t="s">
        <v>16</v>
      </c>
      <c r="D230" s="185" t="s">
        <v>44</v>
      </c>
      <c r="E230" s="186"/>
      <c r="F230" s="186"/>
      <c r="G230" s="187"/>
      <c r="H230" s="188"/>
      <c r="I230" s="168"/>
      <c r="J230" s="168"/>
      <c r="K230" s="169"/>
      <c r="L230" s="189"/>
      <c r="M230" s="189"/>
      <c r="N230" s="189"/>
      <c r="O230" s="189"/>
      <c r="P230" s="189"/>
    </row>
    <row r="231" spans="1:16" ht="21.75" customHeight="1" x14ac:dyDescent="0.35">
      <c r="A231" s="183"/>
      <c r="B231" s="184"/>
      <c r="C231" s="184"/>
      <c r="D231" s="190">
        <v>1</v>
      </c>
      <c r="E231" s="191" t="s">
        <v>45</v>
      </c>
      <c r="F231" s="192"/>
      <c r="G231" s="193"/>
      <c r="H231" s="194"/>
      <c r="I231" s="195"/>
      <c r="J231" s="205">
        <f ca="1">IFERROR(__xludf.DUMMYFUNCTION("IMPORTRANGE(""https://docs.google.com/spreadsheets/d/1IYY_tgx_IHuhSq3AJ5eI5OnqOPBNLWSHKh2a30DoXe8/edit?usp=sharing"",""สุราษฎร์ธานี!J151"")"),0)</f>
        <v>0</v>
      </c>
      <c r="K231" s="169"/>
      <c r="L231" s="189"/>
      <c r="M231" s="189"/>
      <c r="N231" s="189"/>
      <c r="O231" s="189"/>
      <c r="P231" s="189"/>
    </row>
    <row r="232" spans="1:16" ht="21.75" customHeight="1" x14ac:dyDescent="0.35">
      <c r="A232" s="183"/>
      <c r="B232" s="184"/>
      <c r="C232" s="184"/>
      <c r="D232" s="197">
        <v>2</v>
      </c>
      <c r="E232" s="198" t="s">
        <v>46</v>
      </c>
      <c r="F232" s="199"/>
      <c r="G232" s="200"/>
      <c r="H232" s="194"/>
      <c r="I232" s="195"/>
      <c r="J232" s="196">
        <f ca="1">IFERROR(__xludf.DUMMYFUNCTION("IMPORTRANGE(""https://docs.google.com/spreadsheets/d/1IYY_tgx_IHuhSq3AJ5eI5OnqOPBNLWSHKh2a30DoXe8/edit?usp=sharing"",""สุราษฎร์ธานี!J152"")"),1)</f>
        <v>1</v>
      </c>
      <c r="K232" s="169"/>
      <c r="L232" s="189" t="s">
        <v>40</v>
      </c>
      <c r="M232" s="189"/>
      <c r="N232" s="189" t="s">
        <v>40</v>
      </c>
      <c r="O232" s="189"/>
      <c r="P232" s="189"/>
    </row>
    <row r="233" spans="1:16" ht="21.75" customHeight="1" x14ac:dyDescent="0.35">
      <c r="A233" s="183"/>
      <c r="B233" s="184"/>
      <c r="C233" s="184"/>
      <c r="D233" s="201"/>
      <c r="E233" s="202" t="s">
        <v>47</v>
      </c>
      <c r="F233" s="203"/>
      <c r="G233" s="204"/>
      <c r="H233" s="194"/>
      <c r="I233" s="195"/>
      <c r="J233" s="196">
        <f ca="1">IFERROR(__xludf.DUMMYFUNCTION("IMPORTRANGE(""https://docs.google.com/spreadsheets/d/1IYY_tgx_IHuhSq3AJ5eI5OnqOPBNLWSHKh2a30DoXe8/edit?usp=sharing"",""สุราษฎร์ธานี!J153"")"),1)</f>
        <v>1</v>
      </c>
      <c r="K233" s="169"/>
      <c r="L233" s="189"/>
      <c r="M233" s="189"/>
      <c r="N233" s="189"/>
      <c r="O233" s="189"/>
      <c r="P233" s="189"/>
    </row>
    <row r="234" spans="1:16" ht="21.75" customHeight="1" x14ac:dyDescent="0.35">
      <c r="A234" s="183"/>
      <c r="B234" s="184"/>
      <c r="C234" s="184"/>
      <c r="D234" s="201"/>
      <c r="E234" s="202" t="s">
        <v>48</v>
      </c>
      <c r="F234" s="203"/>
      <c r="G234" s="204"/>
      <c r="H234" s="194"/>
      <c r="I234" s="195"/>
      <c r="J234" s="205">
        <f ca="1">IFERROR(__xludf.DUMMYFUNCTION("IMPORTRANGE(""https://docs.google.com/spreadsheets/d/1IYY_tgx_IHuhSq3AJ5eI5OnqOPBNLWSHKh2a30DoXe8/edit?usp=sharing"",""สุราษฎร์ธานี!J154"")"),1)</f>
        <v>1</v>
      </c>
      <c r="K234" s="169"/>
      <c r="L234" s="189"/>
      <c r="M234" s="189"/>
      <c r="N234" s="189"/>
      <c r="O234" s="189"/>
      <c r="P234" s="189"/>
    </row>
    <row r="235" spans="1:16" ht="21.75" customHeight="1" x14ac:dyDescent="0.35">
      <c r="A235" s="183"/>
      <c r="B235" s="184"/>
      <c r="C235" s="184"/>
      <c r="D235" s="201"/>
      <c r="E235" s="206"/>
      <c r="F235" s="203"/>
      <c r="G235" s="299" t="s">
        <v>70</v>
      </c>
      <c r="H235" s="194" t="s">
        <v>37</v>
      </c>
      <c r="I235" s="195">
        <f ca="1">IFERROR(__xludf.DUMMYFUNCTION("IMPORTRANGE(""https://docs.google.com/spreadsheets/d/1IYY_tgx_IHuhSq3AJ5eI5OnqOPBNLWSHKh2a30DoXe8/edit?usp=sharing"",""สุราษฎร์ธานี!I155"")"),14)</f>
        <v>14</v>
      </c>
      <c r="J235" s="196">
        <f ca="1">IFERROR(__xludf.DUMMYFUNCTION("IMPORTRANGE(""https://docs.google.com/spreadsheets/d/1IYY_tgx_IHuhSq3AJ5eI5OnqOPBNLWSHKh2a30DoXe8/edit?usp=sharing"",""สุราษฎร์ธานี!J155"")"),14)</f>
        <v>14</v>
      </c>
      <c r="K235" s="169">
        <f ca="1">IF(I235&gt;0,J235*100/I235,0)</f>
        <v>100</v>
      </c>
      <c r="L235" s="189"/>
      <c r="M235" s="189"/>
      <c r="N235" s="189"/>
      <c r="O235" s="189"/>
      <c r="P235" s="189"/>
    </row>
    <row r="236" spans="1:16" ht="21.75" customHeight="1" x14ac:dyDescent="0.35">
      <c r="A236" s="183"/>
      <c r="B236" s="184"/>
      <c r="C236" s="184"/>
      <c r="D236" s="201"/>
      <c r="E236" s="202" t="s">
        <v>54</v>
      </c>
      <c r="F236" s="203"/>
      <c r="G236" s="204"/>
      <c r="H236" s="194"/>
      <c r="I236" s="195"/>
      <c r="J236" s="205">
        <f ca="1">IFERROR(__xludf.DUMMYFUNCTION("IMPORTRANGE(""https://docs.google.com/spreadsheets/d/1IYY_tgx_IHuhSq3AJ5eI5OnqOPBNLWSHKh2a30DoXe8/edit?usp=sharing"",""สุราษฎร์ธานี!J156"")"),0)</f>
        <v>0</v>
      </c>
      <c r="K236" s="169"/>
      <c r="L236" s="189"/>
      <c r="M236" s="189"/>
      <c r="N236" s="189"/>
      <c r="O236" s="189"/>
      <c r="P236" s="189"/>
    </row>
    <row r="237" spans="1:16" ht="21.75" customHeight="1" x14ac:dyDescent="0.35">
      <c r="A237" s="183"/>
      <c r="B237" s="184"/>
      <c r="C237" s="184"/>
      <c r="D237" s="213">
        <v>3</v>
      </c>
      <c r="E237" s="214" t="s">
        <v>55</v>
      </c>
      <c r="F237" s="215"/>
      <c r="G237" s="216"/>
      <c r="H237" s="194"/>
      <c r="I237" s="195"/>
      <c r="J237" s="217">
        <f ca="1">IFERROR(__xludf.DUMMYFUNCTION("IMPORTRANGE(""https://docs.google.com/spreadsheets/d/1IYY_tgx_IHuhSq3AJ5eI5OnqOPBNLWSHKh2a30DoXe8/edit?usp=sharing"",""สุราษฎร์ธานี!J157"")"),0)</f>
        <v>0</v>
      </c>
      <c r="K237" s="169"/>
      <c r="L237" s="189"/>
      <c r="M237" s="189"/>
      <c r="N237" s="189"/>
      <c r="O237" s="189"/>
      <c r="P237" s="189"/>
    </row>
    <row r="238" spans="1:16" ht="21.75" customHeight="1" x14ac:dyDescent="0.35">
      <c r="A238" s="183"/>
      <c r="B238" s="184"/>
      <c r="C238" s="271" t="s">
        <v>100</v>
      </c>
      <c r="D238" s="300"/>
      <c r="E238" s="270"/>
      <c r="F238" s="270"/>
      <c r="G238" s="272"/>
      <c r="H238" s="273" t="s">
        <v>37</v>
      </c>
      <c r="I238" s="274">
        <f ca="1">IFERROR(__xludf.DUMMYFUNCTION("IMPORTRANGE(""https://docs.google.com/spreadsheets/d/1IYY_tgx_IHuhSq3AJ5eI5OnqOPBNLWSHKh2a30DoXe8/edit?usp=sharing"",""สุราษฎร์ธานี!I158"")"),0)</f>
        <v>0</v>
      </c>
      <c r="J238" s="274">
        <f ca="1">IFERROR(__xludf.DUMMYFUNCTION("IMPORTRANGE(""https://docs.google.com/spreadsheets/d/1IYY_tgx_IHuhSq3AJ5eI5OnqOPBNLWSHKh2a30DoXe8/edit?usp=sharing"",""สุราษฎร์ธานี!J158"")"),0)</f>
        <v>0</v>
      </c>
      <c r="K238" s="275">
        <f ca="1">IF(I238&gt;0,J238*100/I238,0)</f>
        <v>0</v>
      </c>
      <c r="L238" s="189"/>
      <c r="M238" s="189"/>
      <c r="N238" s="189"/>
      <c r="O238" s="189"/>
      <c r="P238" s="189"/>
    </row>
    <row r="239" spans="1:16" ht="21.75" customHeight="1" x14ac:dyDescent="0.35">
      <c r="A239" s="183"/>
      <c r="B239" s="184"/>
      <c r="C239" s="163" t="s">
        <v>16</v>
      </c>
      <c r="D239" s="185" t="s">
        <v>44</v>
      </c>
      <c r="E239" s="186"/>
      <c r="F239" s="186"/>
      <c r="G239" s="187"/>
      <c r="H239" s="188"/>
      <c r="I239" s="168"/>
      <c r="J239" s="168"/>
      <c r="K239" s="169"/>
      <c r="L239" s="189"/>
      <c r="M239" s="189"/>
      <c r="N239" s="189"/>
      <c r="O239" s="189"/>
      <c r="P239" s="189"/>
    </row>
    <row r="240" spans="1:16" ht="21.75" customHeight="1" x14ac:dyDescent="0.35">
      <c r="A240" s="183"/>
      <c r="B240" s="184"/>
      <c r="C240" s="184"/>
      <c r="D240" s="190">
        <v>1</v>
      </c>
      <c r="E240" s="191" t="s">
        <v>45</v>
      </c>
      <c r="F240" s="192"/>
      <c r="G240" s="193"/>
      <c r="H240" s="194"/>
      <c r="I240" s="195"/>
      <c r="J240" s="195" t="str">
        <f ca="1">IFERROR(__xludf.DUMMYFUNCTION("IMPORTRANGE(""https://docs.google.com/spreadsheets/d/1IYY_tgx_IHuhSq3AJ5eI5OnqOPBNLWSHKh2a30DoXe8/edit?usp=sharing"",""สุราษฎร์ธานี!J159"")"),"")</f>
        <v/>
      </c>
      <c r="K240" s="169"/>
      <c r="L240" s="189"/>
      <c r="M240" s="189"/>
      <c r="N240" s="189"/>
      <c r="O240" s="189"/>
      <c r="P240" s="189"/>
    </row>
    <row r="241" spans="1:16" ht="21.75" customHeight="1" x14ac:dyDescent="0.35">
      <c r="A241" s="183"/>
      <c r="B241" s="184"/>
      <c r="C241" s="184"/>
      <c r="D241" s="197">
        <v>2</v>
      </c>
      <c r="E241" s="198" t="s">
        <v>46</v>
      </c>
      <c r="F241" s="199"/>
      <c r="G241" s="200"/>
      <c r="H241" s="194"/>
      <c r="I241" s="195"/>
      <c r="J241" s="195">
        <f ca="1">IFERROR(__xludf.DUMMYFUNCTION("IMPORTRANGE(""https://docs.google.com/spreadsheets/d/1IYY_tgx_IHuhSq3AJ5eI5OnqOPBNLWSHKh2a30DoXe8/edit?usp=sharing"",""สุราษฎร์ธานี!J161"")"),0)</f>
        <v>0</v>
      </c>
      <c r="K241" s="169"/>
      <c r="L241" s="189" t="s">
        <v>40</v>
      </c>
      <c r="M241" s="189"/>
      <c r="N241" s="189" t="s">
        <v>40</v>
      </c>
      <c r="O241" s="189"/>
      <c r="P241" s="189"/>
    </row>
    <row r="242" spans="1:16" ht="21.75" customHeight="1" x14ac:dyDescent="0.35">
      <c r="A242" s="183"/>
      <c r="B242" s="184"/>
      <c r="C242" s="184"/>
      <c r="D242" s="201"/>
      <c r="E242" s="202" t="s">
        <v>47</v>
      </c>
      <c r="F242" s="203"/>
      <c r="G242" s="204"/>
      <c r="H242" s="194"/>
      <c r="I242" s="195"/>
      <c r="J242" s="195">
        <f ca="1">IFERROR(__xludf.DUMMYFUNCTION("IMPORTRANGE(""https://docs.google.com/spreadsheets/d/1IYY_tgx_IHuhSq3AJ5eI5OnqOPBNLWSHKh2a30DoXe8/edit?usp=sharing"",""สุราษฎร์ธานี!J162"")"),0)</f>
        <v>0</v>
      </c>
      <c r="K242" s="169"/>
      <c r="L242" s="189"/>
      <c r="M242" s="189"/>
      <c r="N242" s="189"/>
      <c r="O242" s="189"/>
      <c r="P242" s="189"/>
    </row>
    <row r="243" spans="1:16" ht="21.75" customHeight="1" x14ac:dyDescent="0.35">
      <c r="A243" s="183"/>
      <c r="B243" s="184"/>
      <c r="C243" s="184"/>
      <c r="D243" s="201"/>
      <c r="E243" s="202" t="s">
        <v>48</v>
      </c>
      <c r="F243" s="203"/>
      <c r="G243" s="204"/>
      <c r="H243" s="194"/>
      <c r="I243" s="195"/>
      <c r="J243" s="195">
        <f ca="1">IFERROR(__xludf.DUMMYFUNCTION("IMPORTRANGE(""https://docs.google.com/spreadsheets/d/1IYY_tgx_IHuhSq3AJ5eI5OnqOPBNLWSHKh2a30DoXe8/edit?usp=sharing"",""สุราษฎร์ธานี!J163"")"),0)</f>
        <v>0</v>
      </c>
      <c r="K243" s="169"/>
      <c r="L243" s="189"/>
      <c r="M243" s="189"/>
      <c r="N243" s="189"/>
      <c r="O243" s="189"/>
      <c r="P243" s="189"/>
    </row>
    <row r="244" spans="1:16" ht="21.75" customHeight="1" x14ac:dyDescent="0.35">
      <c r="A244" s="183"/>
      <c r="B244" s="184"/>
      <c r="C244" s="184"/>
      <c r="D244" s="201"/>
      <c r="E244" s="203"/>
      <c r="F244" s="202" t="s">
        <v>101</v>
      </c>
      <c r="G244" s="203"/>
      <c r="H244" s="194" t="s">
        <v>37</v>
      </c>
      <c r="I244" s="211">
        <f ca="1">IFERROR(__xludf.DUMMYFUNCTION("IMPORTRANGE(""https://docs.google.com/spreadsheets/d/1IYY_tgx_IHuhSq3AJ5eI5OnqOPBNLWSHKh2a30DoXe8/edit?usp=sharing"",""สุราษฎร์ธานี!I164"")"),0)</f>
        <v>0</v>
      </c>
      <c r="J244" s="195">
        <f ca="1">IFERROR(__xludf.DUMMYFUNCTION("IMPORTRANGE(""https://docs.google.com/spreadsheets/d/1IYY_tgx_IHuhSq3AJ5eI5OnqOPBNLWSHKh2a30DoXe8/edit?usp=sharing"",""สุราษฎร์ธานี!J164"")"),0)</f>
        <v>0</v>
      </c>
      <c r="K244" s="169">
        <f ca="1">IF(I244&gt;0,J244*100/I244,0)</f>
        <v>0</v>
      </c>
      <c r="L244" s="189"/>
      <c r="M244" s="189"/>
      <c r="N244" s="189"/>
      <c r="O244" s="189"/>
      <c r="P244" s="189"/>
    </row>
    <row r="245" spans="1:16" ht="21.75" customHeight="1" x14ac:dyDescent="0.35">
      <c r="A245" s="183"/>
      <c r="B245" s="184"/>
      <c r="C245" s="184"/>
      <c r="D245" s="201"/>
      <c r="E245" s="202" t="s">
        <v>54</v>
      </c>
      <c r="F245" s="203"/>
      <c r="G245" s="204"/>
      <c r="H245" s="194"/>
      <c r="I245" s="195"/>
      <c r="J245" s="195">
        <f ca="1">IFERROR(__xludf.DUMMYFUNCTION("IMPORTRANGE(""https://docs.google.com/spreadsheets/d/1IYY_tgx_IHuhSq3AJ5eI5OnqOPBNLWSHKh2a30DoXe8/edit?usp=sharing"",""สุราษฎร์ธานี!J165"")"),0)</f>
        <v>0</v>
      </c>
      <c r="K245" s="169"/>
      <c r="L245" s="189"/>
      <c r="M245" s="189"/>
      <c r="N245" s="189"/>
      <c r="O245" s="189"/>
      <c r="P245" s="189"/>
    </row>
    <row r="246" spans="1:16" ht="21.75" customHeight="1" x14ac:dyDescent="0.35">
      <c r="A246" s="241"/>
      <c r="B246" s="242"/>
      <c r="C246" s="242"/>
      <c r="D246" s="243">
        <v>3</v>
      </c>
      <c r="E246" s="244" t="s">
        <v>55</v>
      </c>
      <c r="F246" s="245"/>
      <c r="G246" s="246"/>
      <c r="H246" s="247"/>
      <c r="I246" s="248"/>
      <c r="J246" s="249">
        <f ca="1">IFERROR(__xludf.DUMMYFUNCTION("IMPORTRANGE(""https://docs.google.com/spreadsheets/d/1IYY_tgx_IHuhSq3AJ5eI5OnqOPBNLWSHKh2a30DoXe8/edit?usp=sharing"",""สุราษฎร์ธานี!J166"")"),0)</f>
        <v>0</v>
      </c>
      <c r="K246" s="294"/>
      <c r="L246" s="252"/>
      <c r="M246" s="252"/>
      <c r="N246" s="252"/>
      <c r="O246" s="252"/>
      <c r="P246" s="252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IFERROR(__xludf.DUMMYFUNCTION("IMPORTRANGE(""https://docs.google.com/spreadsheets/d/1IYY_tgx_IHuhSq3AJ5eI5OnqOPBNLWSHKh2a30DoXe8/edit?usp=sharing"",""สุราษฎร์ธานี!I169"")"),25)</f>
        <v>25</v>
      </c>
      <c r="J249" s="322">
        <f ca="1">IFERROR(__xludf.DUMMYFUNCTION("IMPORTRANGE(""https://docs.google.com/spreadsheets/d/1IYY_tgx_IHuhSq3AJ5eI5OnqOPBNLWSHKh2a30DoXe8/edit?usp=sharing"",""สุราษฎร์ธานี!J169"")"),25)</f>
        <v>25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52" t="s">
        <v>17</v>
      </c>
      <c r="E250" s="543"/>
      <c r="F250" s="543"/>
      <c r="G250" s="543"/>
      <c r="H250" s="153" t="s">
        <v>12</v>
      </c>
      <c r="I250" s="168"/>
      <c r="J250" s="168"/>
      <c r="K250" s="169"/>
      <c r="L250" s="156">
        <f t="shared" ref="L250:N250" ca="1" si="77">L251+L252</f>
        <v>89000</v>
      </c>
      <c r="M250" s="156">
        <f t="shared" ca="1" si="77"/>
        <v>42500</v>
      </c>
      <c r="N250" s="156">
        <f t="shared" ca="1" si="77"/>
        <v>42070</v>
      </c>
      <c r="O250" s="155">
        <f t="shared" ref="O250:O252" ca="1" si="78">IF(L250&gt;0,N250*100/L250,0)</f>
        <v>47.269662921348313</v>
      </c>
      <c r="P250" s="155">
        <f t="shared" ref="P250:P252" ca="1" si="79">IF(M250&gt;0,N250*100/M250,0)</f>
        <v>98.988235294117644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8"/>
      <c r="J251" s="168"/>
      <c r="K251" s="169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8"/>
      <c r="J252" s="168"/>
      <c r="K252" s="169"/>
      <c r="L252" s="161">
        <f t="shared" ref="L252:N252" ca="1" si="81">L254+L258</f>
        <v>89000</v>
      </c>
      <c r="M252" s="161">
        <f t="shared" ca="1" si="81"/>
        <v>42500</v>
      </c>
      <c r="N252" s="161">
        <f t="shared" ca="1" si="81"/>
        <v>42070</v>
      </c>
      <c r="O252" s="160">
        <f t="shared" ca="1" si="78"/>
        <v>47.269662921348313</v>
      </c>
      <c r="P252" s="160">
        <f t="shared" ca="1" si="79"/>
        <v>98.988235294117644</v>
      </c>
    </row>
    <row r="253" spans="1:16" ht="21.75" customHeight="1" x14ac:dyDescent="0.35">
      <c r="A253" s="162"/>
      <c r="B253" s="163"/>
      <c r="C253" s="163" t="s">
        <v>16</v>
      </c>
      <c r="D253" s="164" t="s">
        <v>38</v>
      </c>
      <c r="E253" s="165"/>
      <c r="F253" s="165"/>
      <c r="G253" s="166" t="s">
        <v>39</v>
      </c>
      <c r="H253" s="167" t="s">
        <v>12</v>
      </c>
      <c r="I253" s="168" t="s">
        <v>40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 x14ac:dyDescent="0.35">
      <c r="A254" s="162"/>
      <c r="B254" s="163"/>
      <c r="C254" s="163"/>
      <c r="D254" s="172"/>
      <c r="E254" s="165"/>
      <c r="F254" s="165" t="s">
        <v>40</v>
      </c>
      <c r="G254" s="166" t="s">
        <v>41</v>
      </c>
      <c r="H254" s="167" t="s">
        <v>12</v>
      </c>
      <c r="I254" s="168"/>
      <c r="J254" s="168"/>
      <c r="K254" s="169"/>
      <c r="L254" s="173">
        <f ca="1">L255+L256</f>
        <v>89000</v>
      </c>
      <c r="M254" s="174">
        <f ca="1">IFERROR(__xludf.DUMMYFUNCTION("IMPORTRANGE(""https://docs.google.com/spreadsheets/d/1Yj_ptqi66GCucihVvJfMjLAmec39IyEx_6qawtMGysU/edit?usp=sharing"",""สบก!CB94"")"),42500)</f>
        <v>42500</v>
      </c>
      <c r="N254" s="175">
        <f ca="1">IFERROR(__xludf.DUMMYFUNCTION("IMPORTRANGE(""https://docs.google.com/spreadsheets/d/1Yj_ptqi66GCucihVvJfMjLAmec39IyEx_6qawtMGysU/edit?usp=sharing"",""สบก!CC94"")"),42070)</f>
        <v>42070</v>
      </c>
      <c r="O254" s="176">
        <f ca="1">IF(L254&gt;0,N254*100/L254,0)</f>
        <v>47.269662921348313</v>
      </c>
      <c r="P254" s="176">
        <f ca="1">IF(M254&gt;0,N254*100/M254,0)</f>
        <v>98.988235294117644</v>
      </c>
    </row>
    <row r="255" spans="1:16" ht="21.75" customHeight="1" x14ac:dyDescent="0.35">
      <c r="A255" s="162"/>
      <c r="B255" s="163"/>
      <c r="C255" s="163"/>
      <c r="D255" s="172"/>
      <c r="E255" s="165"/>
      <c r="F255" s="165"/>
      <c r="G255" s="177" t="s">
        <v>42</v>
      </c>
      <c r="H255" s="167" t="s">
        <v>12</v>
      </c>
      <c r="I255" s="168"/>
      <c r="J255" s="168"/>
      <c r="K255" s="169"/>
      <c r="L255" s="174">
        <f ca="1">IFERROR(__xludf.DUMMYFUNCTION("IMPORTRANGE(""https://docs.google.com/spreadsheets/d/1Yj_ptqi66GCucihVvJfMjLAmec39IyEx_6qawtMGysU/edit?usp=sharing"",""สบก!BX94"")"),0)</f>
        <v>0</v>
      </c>
      <c r="M255" s="173"/>
      <c r="N255" s="173"/>
      <c r="O255" s="176"/>
      <c r="P255" s="176"/>
    </row>
    <row r="256" spans="1:16" ht="21.75" customHeight="1" x14ac:dyDescent="0.35">
      <c r="A256" s="162"/>
      <c r="B256" s="163"/>
      <c r="C256" s="163"/>
      <c r="D256" s="172"/>
      <c r="E256" s="165"/>
      <c r="F256" s="165"/>
      <c r="G256" s="177" t="s">
        <v>43</v>
      </c>
      <c r="H256" s="167" t="s">
        <v>12</v>
      </c>
      <c r="I256" s="168"/>
      <c r="J256" s="168"/>
      <c r="K256" s="169"/>
      <c r="L256" s="174">
        <f ca="1">IFERROR(__xludf.DUMMYFUNCTION("IMPORTRANGE(""https://docs.google.com/spreadsheets/d/1Yj_ptqi66GCucihVvJfMjLAmec39IyEx_6qawtMGysU/edit?usp=sharing"",""สบก!BY94"")"),89000)</f>
        <v>89000</v>
      </c>
      <c r="M256" s="173"/>
      <c r="N256" s="173"/>
      <c r="O256" s="176"/>
      <c r="P256" s="176"/>
    </row>
    <row r="257" spans="1:16" ht="21.75" customHeight="1" x14ac:dyDescent="0.45">
      <c r="A257" s="178"/>
      <c r="B257" s="81"/>
      <c r="C257" s="82" t="s">
        <v>16</v>
      </c>
      <c r="D257" s="549" t="s">
        <v>23</v>
      </c>
      <c r="E257" s="545"/>
      <c r="F257" s="89"/>
      <c r="G257" s="83" t="s">
        <v>18</v>
      </c>
      <c r="H257" s="179" t="s">
        <v>12</v>
      </c>
      <c r="I257" s="168"/>
      <c r="J257" s="168"/>
      <c r="K257" s="169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80"/>
      <c r="B258" s="95"/>
      <c r="C258" s="95"/>
      <c r="D258" s="181"/>
      <c r="E258" s="96"/>
      <c r="F258" s="96"/>
      <c r="G258" s="97" t="s">
        <v>19</v>
      </c>
      <c r="H258" s="182" t="s">
        <v>12</v>
      </c>
      <c r="I258" s="168"/>
      <c r="J258" s="168"/>
      <c r="K258" s="169"/>
      <c r="L258" s="91">
        <f ca="1">IFERROR(__xludf.DUMMYFUNCTION("IMPORTRANGE(""https://docs.google.com/spreadsheets/d/1Yj_ptqi66GCucihVvJfMjLAmec39IyEx_6qawtMGysU/edit?usp=sharing"",""สบก!BZ94"")"),0)</f>
        <v>0</v>
      </c>
      <c r="M258" s="101"/>
      <c r="N258" s="91">
        <f ca="1">IFERROR(__xludf.DUMMYFUNCTION("IMPORTRANGE(""https://docs.google.com/spreadsheets/d/1Yj_ptqi66GCucihVvJfMjLAmec39IyEx_6qawtMGysU/edit?usp=sharing"",""สบก!CD94"")"),0)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3"/>
      <c r="B259" s="184"/>
      <c r="C259" s="163" t="s">
        <v>16</v>
      </c>
      <c r="D259" s="185" t="s">
        <v>44</v>
      </c>
      <c r="E259" s="186"/>
      <c r="F259" s="186"/>
      <c r="G259" s="187"/>
      <c r="H259" s="188"/>
      <c r="I259" s="168"/>
      <c r="J259" s="168"/>
      <c r="K259" s="169"/>
      <c r="L259" s="189"/>
      <c r="M259" s="189"/>
      <c r="N259" s="189"/>
      <c r="O259" s="189"/>
      <c r="P259" s="189"/>
    </row>
    <row r="260" spans="1:16" ht="21.75" customHeight="1" x14ac:dyDescent="0.35">
      <c r="A260" s="183"/>
      <c r="B260" s="184"/>
      <c r="C260" s="184"/>
      <c r="D260" s="190">
        <v>1</v>
      </c>
      <c r="E260" s="191" t="s">
        <v>45</v>
      </c>
      <c r="F260" s="192"/>
      <c r="G260" s="193"/>
      <c r="H260" s="194"/>
      <c r="I260" s="195"/>
      <c r="J260" s="196">
        <f ca="1">IFERROR(__xludf.DUMMYFUNCTION("IMPORTRANGE(""https://docs.google.com/spreadsheets/d/1IYY_tgx_IHuhSq3AJ5eI5OnqOPBNLWSHKh2a30DoXe8/edit?usp=sharing"",""สุราษฎร์ธานี!J175"")"),0)</f>
        <v>0</v>
      </c>
      <c r="K260" s="169"/>
      <c r="L260" s="189"/>
      <c r="M260" s="189"/>
      <c r="N260" s="189"/>
      <c r="O260" s="189"/>
      <c r="P260" s="189"/>
    </row>
    <row r="261" spans="1:16" ht="21.75" customHeight="1" x14ac:dyDescent="0.35">
      <c r="A261" s="183"/>
      <c r="B261" s="184"/>
      <c r="C261" s="184"/>
      <c r="D261" s="197">
        <v>2</v>
      </c>
      <c r="E261" s="198" t="s">
        <v>46</v>
      </c>
      <c r="F261" s="199"/>
      <c r="G261" s="200"/>
      <c r="H261" s="194"/>
      <c r="I261" s="195"/>
      <c r="J261" s="205">
        <f ca="1">IFERROR(__xludf.DUMMYFUNCTION("IMPORTRANGE(""https://docs.google.com/spreadsheets/d/1IYY_tgx_IHuhSq3AJ5eI5OnqOPBNLWSHKh2a30DoXe8/edit?usp=sharing"",""สุราษฎร์ธานี!J176"")"),1)</f>
        <v>1</v>
      </c>
      <c r="K261" s="169"/>
      <c r="L261" s="189" t="s">
        <v>40</v>
      </c>
      <c r="M261" s="189"/>
      <c r="N261" s="189" t="s">
        <v>40</v>
      </c>
      <c r="O261" s="189"/>
      <c r="P261" s="189"/>
    </row>
    <row r="262" spans="1:16" ht="21.75" customHeight="1" x14ac:dyDescent="0.35">
      <c r="A262" s="183"/>
      <c r="B262" s="184"/>
      <c r="C262" s="184"/>
      <c r="D262" s="201"/>
      <c r="E262" s="202" t="s">
        <v>47</v>
      </c>
      <c r="F262" s="203"/>
      <c r="G262" s="204"/>
      <c r="H262" s="194"/>
      <c r="I262" s="195"/>
      <c r="J262" s="205">
        <f ca="1">IFERROR(__xludf.DUMMYFUNCTION("IMPORTRANGE(""https://docs.google.com/spreadsheets/d/1IYY_tgx_IHuhSq3AJ5eI5OnqOPBNLWSHKh2a30DoXe8/edit?usp=sharing"",""สุราษฎร์ธานี!J177"")"),1)</f>
        <v>1</v>
      </c>
      <c r="K262" s="169"/>
      <c r="L262" s="189"/>
      <c r="M262" s="189"/>
      <c r="N262" s="189"/>
      <c r="O262" s="189"/>
      <c r="P262" s="189"/>
    </row>
    <row r="263" spans="1:16" ht="21.75" customHeight="1" x14ac:dyDescent="0.35">
      <c r="A263" s="183"/>
      <c r="B263" s="184"/>
      <c r="C263" s="184"/>
      <c r="D263" s="201"/>
      <c r="E263" s="202" t="s">
        <v>48</v>
      </c>
      <c r="F263" s="203"/>
      <c r="G263" s="204"/>
      <c r="H263" s="194"/>
      <c r="I263" s="195"/>
      <c r="J263" s="205">
        <f ca="1">IFERROR(__xludf.DUMMYFUNCTION("IMPORTRANGE(""https://docs.google.com/spreadsheets/d/1IYY_tgx_IHuhSq3AJ5eI5OnqOPBNLWSHKh2a30DoXe8/edit?usp=sharing"",""สุราษฎร์ธานี!J178"")"),1)</f>
        <v>1</v>
      </c>
      <c r="K263" s="169"/>
      <c r="L263" s="189"/>
      <c r="M263" s="189"/>
      <c r="N263" s="189"/>
      <c r="O263" s="189"/>
      <c r="P263" s="189"/>
    </row>
    <row r="264" spans="1:16" ht="21.75" customHeight="1" x14ac:dyDescent="0.35">
      <c r="A264" s="183"/>
      <c r="B264" s="184"/>
      <c r="C264" s="184"/>
      <c r="D264" s="201"/>
      <c r="E264" s="206"/>
      <c r="F264" s="202" t="s">
        <v>105</v>
      </c>
      <c r="G264" s="204"/>
      <c r="H264" s="188" t="s">
        <v>59</v>
      </c>
      <c r="I264" s="195">
        <f ca="1">IFERROR(__xludf.DUMMYFUNCTION("IMPORTRANGE(""https://docs.google.com/spreadsheets/d/1IYY_tgx_IHuhSq3AJ5eI5OnqOPBNLWSHKh2a30DoXe8/edit?usp=sharing"",""สุราษฎร์ธานี!I179"")"),1)</f>
        <v>1</v>
      </c>
      <c r="J264" s="196">
        <f ca="1">IFERROR(__xludf.DUMMYFUNCTION("IMPORTRANGE(""https://docs.google.com/spreadsheets/d/1IYY_tgx_IHuhSq3AJ5eI5OnqOPBNLWSHKh2a30DoXe8/edit?usp=sharing"",""สุราษฎร์ธานี!J179"")"),1)</f>
        <v>1</v>
      </c>
      <c r="K264" s="169">
        <f t="shared" ref="K264:K267" ca="1" si="82">IF(I264&gt;0,J264*100/I264,0)</f>
        <v>100</v>
      </c>
      <c r="L264" s="189"/>
      <c r="M264" s="189"/>
      <c r="N264" s="189"/>
      <c r="O264" s="189"/>
      <c r="P264" s="189"/>
    </row>
    <row r="265" spans="1:16" ht="21.75" customHeight="1" x14ac:dyDescent="0.35">
      <c r="A265" s="183"/>
      <c r="B265" s="184"/>
      <c r="C265" s="184"/>
      <c r="D265" s="201"/>
      <c r="E265" s="206"/>
      <c r="F265" s="202" t="s">
        <v>106</v>
      </c>
      <c r="G265" s="204"/>
      <c r="H265" s="188" t="s">
        <v>37</v>
      </c>
      <c r="I265" s="195">
        <f ca="1">IFERROR(__xludf.DUMMYFUNCTION("IMPORTRANGE(""https://docs.google.com/spreadsheets/d/1IYY_tgx_IHuhSq3AJ5eI5OnqOPBNLWSHKh2a30DoXe8/edit?usp=sharing"",""สุราษฎร์ธานี!I180"")"),25)</f>
        <v>25</v>
      </c>
      <c r="J265" s="196">
        <f ca="1">IFERROR(__xludf.DUMMYFUNCTION("IMPORTRANGE(""https://docs.google.com/spreadsheets/d/1IYY_tgx_IHuhSq3AJ5eI5OnqOPBNLWSHKh2a30DoXe8/edit?usp=sharing"",""สุราษฎร์ธานี!J180"")"),25)</f>
        <v>25</v>
      </c>
      <c r="K265" s="169">
        <f t="shared" ca="1" si="82"/>
        <v>100</v>
      </c>
      <c r="L265" s="189"/>
      <c r="M265" s="189"/>
      <c r="N265" s="189"/>
      <c r="O265" s="189"/>
      <c r="P265" s="189"/>
    </row>
    <row r="266" spans="1:16" ht="21.75" customHeight="1" x14ac:dyDescent="0.35">
      <c r="A266" s="183"/>
      <c r="B266" s="184"/>
      <c r="C266" s="184"/>
      <c r="D266" s="201"/>
      <c r="E266" s="206"/>
      <c r="F266" s="202" t="s">
        <v>107</v>
      </c>
      <c r="G266" s="204"/>
      <c r="H266" s="188" t="s">
        <v>37</v>
      </c>
      <c r="I266" s="195">
        <f ca="1">IFERROR(__xludf.DUMMYFUNCTION("IMPORTRANGE(""https://docs.google.com/spreadsheets/d/1IYY_tgx_IHuhSq3AJ5eI5OnqOPBNLWSHKh2a30DoXe8/edit?usp=sharing"",""สุราษฎร์ธานี!I181"")"),25)</f>
        <v>25</v>
      </c>
      <c r="J266" s="196">
        <f ca="1">IFERROR(__xludf.DUMMYFUNCTION("IMPORTRANGE(""https://docs.google.com/spreadsheets/d/1IYY_tgx_IHuhSq3AJ5eI5OnqOPBNLWSHKh2a30DoXe8/edit?usp=sharing"",""สุราษฎร์ธานี!J181"")"),0)</f>
        <v>0</v>
      </c>
      <c r="K266" s="169">
        <f t="shared" ca="1" si="82"/>
        <v>0</v>
      </c>
      <c r="L266" s="189"/>
      <c r="M266" s="189"/>
      <c r="N266" s="189"/>
      <c r="O266" s="189"/>
      <c r="P266" s="189"/>
    </row>
    <row r="267" spans="1:16" ht="21.75" customHeight="1" x14ac:dyDescent="0.35">
      <c r="A267" s="183"/>
      <c r="B267" s="184"/>
      <c r="C267" s="184"/>
      <c r="D267" s="201"/>
      <c r="E267" s="206"/>
      <c r="F267" s="202" t="s">
        <v>108</v>
      </c>
      <c r="G267" s="204"/>
      <c r="H267" s="188" t="s">
        <v>37</v>
      </c>
      <c r="I267" s="195">
        <f ca="1">IFERROR(__xludf.DUMMYFUNCTION("IMPORTRANGE(""https://docs.google.com/spreadsheets/d/1IYY_tgx_IHuhSq3AJ5eI5OnqOPBNLWSHKh2a30DoXe8/edit?usp=sharing"",""สุราษฎร์ธานี!I182"")"),1)</f>
        <v>1</v>
      </c>
      <c r="J267" s="196">
        <f ca="1">IFERROR(__xludf.DUMMYFUNCTION("IMPORTRANGE(""https://docs.google.com/spreadsheets/d/1IYY_tgx_IHuhSq3AJ5eI5OnqOPBNLWSHKh2a30DoXe8/edit?usp=sharing"",""สุราษฎร์ธานี!J182"")"),0)</f>
        <v>0</v>
      </c>
      <c r="K267" s="169">
        <f t="shared" ca="1" si="82"/>
        <v>0</v>
      </c>
      <c r="L267" s="189"/>
      <c r="M267" s="189"/>
      <c r="N267" s="189"/>
      <c r="O267" s="189"/>
      <c r="P267" s="189"/>
    </row>
    <row r="268" spans="1:16" ht="21.75" customHeight="1" x14ac:dyDescent="0.35">
      <c r="A268" s="183"/>
      <c r="B268" s="184"/>
      <c r="C268" s="184"/>
      <c r="D268" s="201"/>
      <c r="E268" s="202" t="s">
        <v>54</v>
      </c>
      <c r="F268" s="203"/>
      <c r="G268" s="204"/>
      <c r="H268" s="194"/>
      <c r="I268" s="195"/>
      <c r="J268" s="205">
        <f ca="1">IFERROR(__xludf.DUMMYFUNCTION("IMPORTRANGE(""https://docs.google.com/spreadsheets/d/1IYY_tgx_IHuhSq3AJ5eI5OnqOPBNLWSHKh2a30DoXe8/edit?usp=sharing"",""สุราษฎร์ธานี!J183"")"),0)</f>
        <v>0</v>
      </c>
      <c r="K268" s="169"/>
      <c r="L268" s="189"/>
      <c r="M268" s="189"/>
      <c r="N268" s="189"/>
      <c r="O268" s="189"/>
      <c r="P268" s="189"/>
    </row>
    <row r="269" spans="1:16" ht="21.75" customHeight="1" x14ac:dyDescent="0.35">
      <c r="A269" s="241"/>
      <c r="B269" s="242"/>
      <c r="C269" s="242"/>
      <c r="D269" s="243">
        <v>3</v>
      </c>
      <c r="E269" s="244" t="s">
        <v>55</v>
      </c>
      <c r="F269" s="245"/>
      <c r="G269" s="246"/>
      <c r="H269" s="247"/>
      <c r="I269" s="248"/>
      <c r="J269" s="293">
        <f ca="1">IFERROR(__xludf.DUMMYFUNCTION("IMPORTRANGE(""https://docs.google.com/spreadsheets/d/1IYY_tgx_IHuhSq3AJ5eI5OnqOPBNLWSHKh2a30DoXe8/edit?usp=sharing"",""สุราษฎร์ธานี!J184"")"),0)</f>
        <v>0</v>
      </c>
      <c r="K269" s="294"/>
      <c r="L269" s="252"/>
      <c r="M269" s="252"/>
      <c r="N269" s="252"/>
      <c r="O269" s="252"/>
      <c r="P269" s="252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IFERROR(__xludf.DUMMYFUNCTION("IMPORTRANGE(""https://docs.google.com/spreadsheets/d/1IYY_tgx_IHuhSq3AJ5eI5OnqOPBNLWSHKh2a30DoXe8/edit?usp=sharing"",""สุราษฎร์ธานี!I185"")"),20)</f>
        <v>20</v>
      </c>
      <c r="J270" s="322">
        <f ca="1">IFERROR(__xludf.DUMMYFUNCTION("IMPORTRANGE(""https://docs.google.com/spreadsheets/d/1IYY_tgx_IHuhSq3AJ5eI5OnqOPBNLWSHKh2a30DoXe8/edit?usp=sharing"",""สุราษฎร์ธานี!J185"")"),20)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52" t="s">
        <v>17</v>
      </c>
      <c r="E271" s="543"/>
      <c r="F271" s="543"/>
      <c r="G271" s="543"/>
      <c r="H271" s="153" t="s">
        <v>12</v>
      </c>
      <c r="I271" s="168"/>
      <c r="J271" s="168"/>
      <c r="K271" s="169"/>
      <c r="L271" s="156">
        <f t="shared" ref="L271:N271" ca="1" si="83">L272+L273</f>
        <v>447600</v>
      </c>
      <c r="M271" s="156">
        <f t="shared" ca="1" si="83"/>
        <v>225000</v>
      </c>
      <c r="N271" s="156">
        <f t="shared" ca="1" si="83"/>
        <v>175390</v>
      </c>
      <c r="O271" s="155">
        <f t="shared" ref="O271:O273" ca="1" si="84">IF(L271&gt;0,N271*100/L271,0)</f>
        <v>39.184539767649689</v>
      </c>
      <c r="P271" s="155">
        <f t="shared" ref="P271:P273" ca="1" si="85">IF(M271&gt;0,N271*100/M271,0)</f>
        <v>77.951111111111118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8"/>
      <c r="J272" s="168"/>
      <c r="K272" s="169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8"/>
      <c r="J273" s="168"/>
      <c r="K273" s="169"/>
      <c r="L273" s="161">
        <f t="shared" ref="L273:N273" ca="1" si="87">L275+L279</f>
        <v>447600</v>
      </c>
      <c r="M273" s="161">
        <f t="shared" ca="1" si="87"/>
        <v>225000</v>
      </c>
      <c r="N273" s="161">
        <f t="shared" ca="1" si="87"/>
        <v>175390</v>
      </c>
      <c r="O273" s="160">
        <f t="shared" ca="1" si="84"/>
        <v>39.184539767649689</v>
      </c>
      <c r="P273" s="160">
        <f t="shared" ca="1" si="85"/>
        <v>77.951111111111118</v>
      </c>
    </row>
    <row r="274" spans="1:16" ht="21.75" customHeight="1" x14ac:dyDescent="0.35">
      <c r="A274" s="162"/>
      <c r="B274" s="163"/>
      <c r="C274" s="163" t="s">
        <v>16</v>
      </c>
      <c r="D274" s="164" t="s">
        <v>38</v>
      </c>
      <c r="E274" s="165"/>
      <c r="F274" s="165"/>
      <c r="G274" s="166" t="s">
        <v>39</v>
      </c>
      <c r="H274" s="167" t="s">
        <v>12</v>
      </c>
      <c r="I274" s="168" t="s">
        <v>40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 x14ac:dyDescent="0.35">
      <c r="A275" s="162"/>
      <c r="B275" s="163"/>
      <c r="C275" s="163"/>
      <c r="D275" s="172"/>
      <c r="E275" s="165"/>
      <c r="F275" s="165" t="s">
        <v>40</v>
      </c>
      <c r="G275" s="166" t="s">
        <v>41</v>
      </c>
      <c r="H275" s="167" t="s">
        <v>12</v>
      </c>
      <c r="I275" s="168"/>
      <c r="J275" s="168"/>
      <c r="K275" s="169"/>
      <c r="L275" s="173">
        <f ca="1">L276+L277</f>
        <v>447600</v>
      </c>
      <c r="M275" s="174">
        <f ca="1">IFERROR(__xludf.DUMMYFUNCTION("IMPORTRANGE(""https://docs.google.com/spreadsheets/d/1Yj_ptqi66GCucihVvJfMjLAmec39IyEx_6qawtMGysU/edit?usp=sharing"",""สบก!CK94"")"),225000)</f>
        <v>225000</v>
      </c>
      <c r="N275" s="175">
        <f ca="1">IFERROR(__xludf.DUMMYFUNCTION("IMPORTRANGE(""https://docs.google.com/spreadsheets/d/1Yj_ptqi66GCucihVvJfMjLAmec39IyEx_6qawtMGysU/edit?usp=sharing"",""สบก!CL94"")"),175390)</f>
        <v>175390</v>
      </c>
      <c r="O275" s="176">
        <f ca="1">IF(L275&gt;0,N275*100/L275,0)</f>
        <v>39.184539767649689</v>
      </c>
      <c r="P275" s="176">
        <f ca="1">IF(M275&gt;0,N275*100/M275,0)</f>
        <v>77.951111111111118</v>
      </c>
    </row>
    <row r="276" spans="1:16" ht="21.75" customHeight="1" x14ac:dyDescent="0.35">
      <c r="A276" s="162"/>
      <c r="B276" s="163"/>
      <c r="C276" s="163"/>
      <c r="D276" s="172"/>
      <c r="E276" s="165"/>
      <c r="F276" s="165"/>
      <c r="G276" s="177" t="s">
        <v>42</v>
      </c>
      <c r="H276" s="167" t="s">
        <v>12</v>
      </c>
      <c r="I276" s="168"/>
      <c r="J276" s="168"/>
      <c r="K276" s="169"/>
      <c r="L276" s="174">
        <f ca="1">IFERROR(__xludf.DUMMYFUNCTION("IMPORTRANGE(""https://docs.google.com/spreadsheets/d/1Yj_ptqi66GCucihVvJfMjLAmec39IyEx_6qawtMGysU/edit?usp=sharing"",""สบก!CG94"")"),264000)</f>
        <v>264000</v>
      </c>
      <c r="M276" s="173"/>
      <c r="N276" s="173"/>
      <c r="O276" s="176"/>
      <c r="P276" s="176"/>
    </row>
    <row r="277" spans="1:16" ht="21.75" customHeight="1" x14ac:dyDescent="0.35">
      <c r="A277" s="162"/>
      <c r="B277" s="163"/>
      <c r="C277" s="163"/>
      <c r="D277" s="172"/>
      <c r="E277" s="165"/>
      <c r="F277" s="165"/>
      <c r="G277" s="177" t="s">
        <v>43</v>
      </c>
      <c r="H277" s="167" t="s">
        <v>12</v>
      </c>
      <c r="I277" s="168"/>
      <c r="J277" s="168"/>
      <c r="K277" s="169"/>
      <c r="L277" s="174">
        <f ca="1">IFERROR(__xludf.DUMMYFUNCTION("IMPORTRANGE(""https://docs.google.com/spreadsheets/d/1Yj_ptqi66GCucihVvJfMjLAmec39IyEx_6qawtMGysU/edit?usp=sharing"",""สบก!CH94"")"),183600)</f>
        <v>183600</v>
      </c>
      <c r="M277" s="173"/>
      <c r="N277" s="173"/>
      <c r="O277" s="176"/>
      <c r="P277" s="176"/>
    </row>
    <row r="278" spans="1:16" ht="21.75" customHeight="1" x14ac:dyDescent="0.45">
      <c r="A278" s="178"/>
      <c r="B278" s="81"/>
      <c r="C278" s="82" t="s">
        <v>16</v>
      </c>
      <c r="D278" s="549" t="s">
        <v>23</v>
      </c>
      <c r="E278" s="545"/>
      <c r="F278" s="89"/>
      <c r="G278" s="83" t="s">
        <v>18</v>
      </c>
      <c r="H278" s="179" t="s">
        <v>12</v>
      </c>
      <c r="I278" s="168"/>
      <c r="J278" s="168"/>
      <c r="K278" s="169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80"/>
      <c r="B279" s="95"/>
      <c r="C279" s="95"/>
      <c r="D279" s="181"/>
      <c r="E279" s="96"/>
      <c r="F279" s="96"/>
      <c r="G279" s="97" t="s">
        <v>19</v>
      </c>
      <c r="H279" s="182" t="s">
        <v>12</v>
      </c>
      <c r="I279" s="168"/>
      <c r="J279" s="168"/>
      <c r="K279" s="169"/>
      <c r="L279" s="91">
        <f ca="1">IFERROR(__xludf.DUMMYFUNCTION("IMPORTRANGE(""https://docs.google.com/spreadsheets/d/1Yj_ptqi66GCucihVvJfMjLAmec39IyEx_6qawtMGysU/edit?usp=sharing"",""สบก!CI94"")"),0)</f>
        <v>0</v>
      </c>
      <c r="M279" s="101"/>
      <c r="N279" s="91">
        <f ca="1">IFERROR(__xludf.DUMMYFUNCTION("IMPORTRANGE(""https://docs.google.com/spreadsheets/d/1Yj_ptqi66GCucihVvJfMjLAmec39IyEx_6qawtMGysU/edit?usp=sharing"",""สบก!CM94"")"),0)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3"/>
      <c r="B280" s="184"/>
      <c r="C280" s="163" t="s">
        <v>16</v>
      </c>
      <c r="D280" s="185" t="s">
        <v>44</v>
      </c>
      <c r="E280" s="186"/>
      <c r="F280" s="186"/>
      <c r="G280" s="187"/>
      <c r="H280" s="188"/>
      <c r="I280" s="168"/>
      <c r="J280" s="168"/>
      <c r="K280" s="169"/>
      <c r="L280" s="189"/>
      <c r="M280" s="189"/>
      <c r="N280" s="189"/>
      <c r="O280" s="189"/>
      <c r="P280" s="189"/>
    </row>
    <row r="281" spans="1:16" ht="21.75" customHeight="1" x14ac:dyDescent="0.35">
      <c r="A281" s="183"/>
      <c r="B281" s="184"/>
      <c r="C281" s="184"/>
      <c r="D281" s="190">
        <v>1</v>
      </c>
      <c r="E281" s="191" t="s">
        <v>45</v>
      </c>
      <c r="F281" s="192"/>
      <c r="G281" s="193"/>
      <c r="H281" s="194"/>
      <c r="I281" s="195"/>
      <c r="J281" s="196">
        <f ca="1">IFERROR(__xludf.DUMMYFUNCTION("IMPORTRANGE(""https://docs.google.com/spreadsheets/d/1IYY_tgx_IHuhSq3AJ5eI5OnqOPBNLWSHKh2a30DoXe8/edit?usp=sharing"",""สุราษฎร์ธานี!J191"")"),0)</f>
        <v>0</v>
      </c>
      <c r="K281" s="169"/>
      <c r="L281" s="189"/>
      <c r="M281" s="189"/>
      <c r="N281" s="189"/>
      <c r="O281" s="189"/>
      <c r="P281" s="189"/>
    </row>
    <row r="282" spans="1:16" ht="21.75" customHeight="1" x14ac:dyDescent="0.35">
      <c r="A282" s="183"/>
      <c r="B282" s="184"/>
      <c r="C282" s="184"/>
      <c r="D282" s="197">
        <v>2</v>
      </c>
      <c r="E282" s="198" t="s">
        <v>46</v>
      </c>
      <c r="F282" s="199"/>
      <c r="G282" s="200"/>
      <c r="H282" s="194"/>
      <c r="I282" s="195"/>
      <c r="J282" s="205">
        <f ca="1">IFERROR(__xludf.DUMMYFUNCTION("IMPORTRANGE(""https://docs.google.com/spreadsheets/d/1IYY_tgx_IHuhSq3AJ5eI5OnqOPBNLWSHKh2a30DoXe8/edit?usp=sharing"",""สุราษฎร์ธานี!J192"")"),1)</f>
        <v>1</v>
      </c>
      <c r="K282" s="169"/>
      <c r="L282" s="189"/>
      <c r="M282" s="189"/>
      <c r="N282" s="189"/>
      <c r="O282" s="189"/>
      <c r="P282" s="189"/>
    </row>
    <row r="283" spans="1:16" ht="21.75" customHeight="1" x14ac:dyDescent="0.35">
      <c r="A283" s="183"/>
      <c r="B283" s="184"/>
      <c r="C283" s="184"/>
      <c r="D283" s="201"/>
      <c r="E283" s="202" t="s">
        <v>47</v>
      </c>
      <c r="F283" s="203"/>
      <c r="G283" s="204"/>
      <c r="H283" s="194"/>
      <c r="I283" s="195"/>
      <c r="J283" s="205">
        <f ca="1">IFERROR(__xludf.DUMMYFUNCTION("IMPORTRANGE(""https://docs.google.com/spreadsheets/d/1IYY_tgx_IHuhSq3AJ5eI5OnqOPBNLWSHKh2a30DoXe8/edit?usp=sharing"",""สุราษฎร์ธานี!J193"")"),1)</f>
        <v>1</v>
      </c>
      <c r="K283" s="169"/>
      <c r="L283" s="189"/>
      <c r="M283" s="189"/>
      <c r="N283" s="189"/>
      <c r="O283" s="189"/>
      <c r="P283" s="189"/>
    </row>
    <row r="284" spans="1:16" ht="21.75" customHeight="1" x14ac:dyDescent="0.35">
      <c r="A284" s="183"/>
      <c r="B284" s="184"/>
      <c r="C284" s="184"/>
      <c r="D284" s="201"/>
      <c r="E284" s="202" t="s">
        <v>48</v>
      </c>
      <c r="F284" s="203"/>
      <c r="G284" s="204"/>
      <c r="H284" s="194"/>
      <c r="I284" s="195"/>
      <c r="J284" s="205">
        <f ca="1">IFERROR(__xludf.DUMMYFUNCTION("IMPORTRANGE(""https://docs.google.com/spreadsheets/d/1IYY_tgx_IHuhSq3AJ5eI5OnqOPBNLWSHKh2a30DoXe8/edit?usp=sharing"",""สุราษฎร์ธานี!J194"")"),1)</f>
        <v>1</v>
      </c>
      <c r="K284" s="169"/>
      <c r="L284" s="189"/>
      <c r="M284" s="189"/>
      <c r="N284" s="189"/>
      <c r="O284" s="189"/>
      <c r="P284" s="189"/>
    </row>
    <row r="285" spans="1:16" ht="21.75" customHeight="1" x14ac:dyDescent="0.35">
      <c r="A285" s="183"/>
      <c r="B285" s="184"/>
      <c r="C285" s="184"/>
      <c r="D285" s="201"/>
      <c r="E285" s="203"/>
      <c r="F285" s="202" t="s">
        <v>110</v>
      </c>
      <c r="G285" s="204"/>
      <c r="H285" s="194" t="s">
        <v>37</v>
      </c>
      <c r="I285" s="195">
        <f ca="1">IFERROR(__xludf.DUMMYFUNCTION("IMPORTRANGE(""https://docs.google.com/spreadsheets/d/1IYY_tgx_IHuhSq3AJ5eI5OnqOPBNLWSHKh2a30DoXe8/edit?usp=sharing"",""สุราษฎร์ธานี!I195"")"),20)</f>
        <v>20</v>
      </c>
      <c r="J285" s="196">
        <f ca="1">IFERROR(__xludf.DUMMYFUNCTION("IMPORTRANGE(""https://docs.google.com/spreadsheets/d/1IYY_tgx_IHuhSq3AJ5eI5OnqOPBNLWSHKh2a30DoXe8/edit?usp=sharing"",""สุราษฎร์ธานี!J195"")"),20)</f>
        <v>20</v>
      </c>
      <c r="K285" s="169">
        <f ca="1">IF(I285&gt;0,J285*100/I285,0)</f>
        <v>100</v>
      </c>
      <c r="L285" s="189"/>
      <c r="M285" s="189"/>
      <c r="N285" s="189"/>
      <c r="O285" s="189"/>
      <c r="P285" s="189"/>
    </row>
    <row r="286" spans="1:16" ht="21.75" customHeight="1" x14ac:dyDescent="0.35">
      <c r="A286" s="183"/>
      <c r="B286" s="184"/>
      <c r="C286" s="184"/>
      <c r="D286" s="201"/>
      <c r="E286" s="202" t="s">
        <v>54</v>
      </c>
      <c r="F286" s="203"/>
      <c r="G286" s="204"/>
      <c r="H286" s="194"/>
      <c r="I286" s="195"/>
      <c r="J286" s="205">
        <f ca="1">IFERROR(__xludf.DUMMYFUNCTION("IMPORTRANGE(""https://docs.google.com/spreadsheets/d/1IYY_tgx_IHuhSq3AJ5eI5OnqOPBNLWSHKh2a30DoXe8/edit?usp=sharing"",""สุราษฎร์ธานี!J196"")"),0)</f>
        <v>0</v>
      </c>
      <c r="K286" s="169"/>
      <c r="L286" s="189"/>
      <c r="M286" s="189"/>
      <c r="N286" s="189"/>
      <c r="O286" s="189"/>
      <c r="P286" s="189"/>
    </row>
    <row r="287" spans="1:16" ht="21.75" customHeight="1" x14ac:dyDescent="0.35">
      <c r="A287" s="183"/>
      <c r="B287" s="184"/>
      <c r="C287" s="184"/>
      <c r="D287" s="213">
        <v>3</v>
      </c>
      <c r="E287" s="214" t="s">
        <v>55</v>
      </c>
      <c r="F287" s="215"/>
      <c r="G287" s="216"/>
      <c r="H287" s="194"/>
      <c r="I287" s="195"/>
      <c r="J287" s="217">
        <f ca="1">IFERROR(__xludf.DUMMYFUNCTION("IMPORTRANGE(""https://docs.google.com/spreadsheets/d/1IYY_tgx_IHuhSq3AJ5eI5OnqOPBNLWSHKh2a30DoXe8/edit?usp=sharing"",""สุราษฎร์ธานี!J197"")"),0)</f>
        <v>0</v>
      </c>
      <c r="K287" s="169"/>
      <c r="L287" s="189"/>
      <c r="M287" s="189"/>
      <c r="N287" s="189"/>
      <c r="O287" s="189"/>
      <c r="P287" s="189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IFERROR(__xludf.DUMMYFUNCTION("IMPORTRANGE(""https://docs.google.com/spreadsheets/d/1IYY_tgx_IHuhSq3AJ5eI5OnqOPBNLWSHKh2a30DoXe8/edit?usp=sharing"",""สุราษฎร์ธานี!I199"")"),15)</f>
        <v>15</v>
      </c>
      <c r="J289" s="322">
        <f ca="1">IFERROR(__xludf.DUMMYFUNCTION("IMPORTRANGE(""https://docs.google.com/spreadsheets/d/1IYY_tgx_IHuhSq3AJ5eI5OnqOPBNLWSHKh2a30DoXe8/edit?usp=sharing"",""สุราษฎร์ธานี!J199"")"),15)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52" t="s">
        <v>17</v>
      </c>
      <c r="E290" s="543"/>
      <c r="F290" s="543"/>
      <c r="G290" s="543"/>
      <c r="H290" s="153" t="s">
        <v>12</v>
      </c>
      <c r="I290" s="195"/>
      <c r="J290" s="195"/>
      <c r="K290" s="231"/>
      <c r="L290" s="156">
        <f t="shared" ref="L290:N290" ca="1" si="88">L291+L292</f>
        <v>84260</v>
      </c>
      <c r="M290" s="156">
        <f t="shared" ca="1" si="88"/>
        <v>41980</v>
      </c>
      <c r="N290" s="156">
        <f t="shared" ca="1" si="88"/>
        <v>43170</v>
      </c>
      <c r="O290" s="155">
        <f t="shared" ref="O290:O292" ca="1" si="89">IF(L290&gt;0,N290*100/L290,0)</f>
        <v>51.234274863517683</v>
      </c>
      <c r="P290" s="155">
        <f t="shared" ref="P290:P292" ca="1" si="90">IF(M290&gt;0,N290*100/M290,0)</f>
        <v>102.83468318246784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5"/>
      <c r="J291" s="195"/>
      <c r="K291" s="231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5"/>
      <c r="J292" s="195"/>
      <c r="K292" s="231"/>
      <c r="L292" s="161">
        <f t="shared" ref="L292:N292" ca="1" si="92">L294+L298</f>
        <v>84260</v>
      </c>
      <c r="M292" s="161">
        <f t="shared" ca="1" si="92"/>
        <v>41980</v>
      </c>
      <c r="N292" s="161">
        <f t="shared" ca="1" si="92"/>
        <v>43170</v>
      </c>
      <c r="O292" s="160">
        <f t="shared" ca="1" si="89"/>
        <v>51.234274863517683</v>
      </c>
      <c r="P292" s="160">
        <f t="shared" ca="1" si="90"/>
        <v>102.83468318246784</v>
      </c>
    </row>
    <row r="293" spans="1:16" ht="21.75" customHeight="1" x14ac:dyDescent="0.35">
      <c r="A293" s="162"/>
      <c r="B293" s="163"/>
      <c r="C293" s="163" t="s">
        <v>16</v>
      </c>
      <c r="D293" s="164" t="s">
        <v>38</v>
      </c>
      <c r="E293" s="165"/>
      <c r="F293" s="165"/>
      <c r="G293" s="166" t="s">
        <v>39</v>
      </c>
      <c r="H293" s="167" t="s">
        <v>12</v>
      </c>
      <c r="I293" s="195" t="s">
        <v>40</v>
      </c>
      <c r="J293" s="195"/>
      <c r="K293" s="231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 x14ac:dyDescent="0.35">
      <c r="A294" s="162"/>
      <c r="B294" s="163"/>
      <c r="C294" s="163"/>
      <c r="D294" s="172"/>
      <c r="E294" s="165"/>
      <c r="F294" s="165" t="s">
        <v>40</v>
      </c>
      <c r="G294" s="166" t="s">
        <v>41</v>
      </c>
      <c r="H294" s="167" t="s">
        <v>12</v>
      </c>
      <c r="I294" s="195"/>
      <c r="J294" s="195"/>
      <c r="K294" s="231"/>
      <c r="L294" s="173">
        <f ca="1">L295+L296</f>
        <v>72260</v>
      </c>
      <c r="M294" s="174">
        <f ca="1">IFERROR(__xludf.DUMMYFUNCTION("IMPORTRANGE(""https://docs.google.com/spreadsheets/d/1Yj_ptqi66GCucihVvJfMjLAmec39IyEx_6qawtMGysU/edit?usp=sharing"",""สบก!CT94"")"),29980)</f>
        <v>29980</v>
      </c>
      <c r="N294" s="175">
        <f ca="1">IFERROR(__xludf.DUMMYFUNCTION("IMPORTRANGE(""https://docs.google.com/spreadsheets/d/1Yj_ptqi66GCucihVvJfMjLAmec39IyEx_6qawtMGysU/edit?usp=sharing"",""สบก!CU94"")"),31170)</f>
        <v>31170</v>
      </c>
      <c r="O294" s="176">
        <f ca="1">IF(L294&gt;0,N294*100/L294,0)</f>
        <v>43.135898145585386</v>
      </c>
      <c r="P294" s="176">
        <f ca="1">IF(M294&gt;0,N294*100/M294,0)</f>
        <v>103.96931287525017</v>
      </c>
    </row>
    <row r="295" spans="1:16" ht="21.75" customHeight="1" x14ac:dyDescent="0.35">
      <c r="A295" s="162"/>
      <c r="B295" s="163"/>
      <c r="C295" s="163"/>
      <c r="D295" s="172"/>
      <c r="E295" s="165"/>
      <c r="F295" s="165"/>
      <c r="G295" s="177" t="s">
        <v>42</v>
      </c>
      <c r="H295" s="167" t="s">
        <v>12</v>
      </c>
      <c r="I295" s="195"/>
      <c r="J295" s="195"/>
      <c r="K295" s="231"/>
      <c r="L295" s="174">
        <f ca="1">IFERROR(__xludf.DUMMYFUNCTION("IMPORTRANGE(""https://docs.google.com/spreadsheets/d/1Yj_ptqi66GCucihVvJfMjLAmec39IyEx_6qawtMGysU/edit?usp=sharing"",""สบก!CP94"")"),0)</f>
        <v>0</v>
      </c>
      <c r="M295" s="173"/>
      <c r="N295" s="173"/>
      <c r="O295" s="176"/>
      <c r="P295" s="176"/>
    </row>
    <row r="296" spans="1:16" ht="21.75" customHeight="1" x14ac:dyDescent="0.35">
      <c r="A296" s="162"/>
      <c r="B296" s="163"/>
      <c r="C296" s="163"/>
      <c r="D296" s="172"/>
      <c r="E296" s="165"/>
      <c r="F296" s="165"/>
      <c r="G296" s="177" t="s">
        <v>43</v>
      </c>
      <c r="H296" s="167" t="s">
        <v>12</v>
      </c>
      <c r="I296" s="195"/>
      <c r="J296" s="195"/>
      <c r="K296" s="231"/>
      <c r="L296" s="174">
        <f ca="1">IFERROR(__xludf.DUMMYFUNCTION("IMPORTRANGE(""https://docs.google.com/spreadsheets/d/1Yj_ptqi66GCucihVvJfMjLAmec39IyEx_6qawtMGysU/edit?usp=sharing"",""สบก!CQ94"")"),72260)</f>
        <v>72260</v>
      </c>
      <c r="M296" s="173"/>
      <c r="N296" s="173"/>
      <c r="O296" s="176"/>
      <c r="P296" s="176"/>
    </row>
    <row r="297" spans="1:16" ht="21.75" customHeight="1" x14ac:dyDescent="0.45">
      <c r="A297" s="178"/>
      <c r="B297" s="81"/>
      <c r="C297" s="82" t="s">
        <v>16</v>
      </c>
      <c r="D297" s="549" t="s">
        <v>23</v>
      </c>
      <c r="E297" s="545"/>
      <c r="F297" s="89"/>
      <c r="G297" s="83" t="s">
        <v>18</v>
      </c>
      <c r="H297" s="179" t="s">
        <v>12</v>
      </c>
      <c r="I297" s="195"/>
      <c r="J297" s="195"/>
      <c r="K297" s="231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80"/>
      <c r="B298" s="95"/>
      <c r="C298" s="95"/>
      <c r="D298" s="181"/>
      <c r="E298" s="96"/>
      <c r="F298" s="96"/>
      <c r="G298" s="97" t="s">
        <v>19</v>
      </c>
      <c r="H298" s="182" t="s">
        <v>12</v>
      </c>
      <c r="I298" s="195"/>
      <c r="J298" s="195"/>
      <c r="K298" s="231"/>
      <c r="L298" s="91">
        <f ca="1">IFERROR(__xludf.DUMMYFUNCTION("IMPORTRANGE(""https://docs.google.com/spreadsheets/d/1Yj_ptqi66GCucihVvJfMjLAmec39IyEx_6qawtMGysU/edit?usp=sharing"",""สบก!CR94"")"),12000)</f>
        <v>12000</v>
      </c>
      <c r="M298" s="101">
        <f ca="1">L298</f>
        <v>12000</v>
      </c>
      <c r="N298" s="91">
        <f ca="1">IFERROR(__xludf.DUMMYFUNCTION("IMPORTRANGE(""https://docs.google.com/spreadsheets/d/1Yj_ptqi66GCucihVvJfMjLAmec39IyEx_6qawtMGysU/edit?usp=sharing"",""สบก!CV94"")"),12000)</f>
        <v>12000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35">
      <c r="A299" s="183"/>
      <c r="B299" s="184"/>
      <c r="C299" s="163" t="s">
        <v>16</v>
      </c>
      <c r="D299" s="185" t="s">
        <v>44</v>
      </c>
      <c r="E299" s="186"/>
      <c r="F299" s="186"/>
      <c r="G299" s="187"/>
      <c r="H299" s="188"/>
      <c r="I299" s="195"/>
      <c r="J299" s="195"/>
      <c r="K299" s="231"/>
      <c r="L299" s="176"/>
      <c r="M299" s="176"/>
      <c r="N299" s="176"/>
      <c r="O299" s="189"/>
      <c r="P299" s="189"/>
    </row>
    <row r="300" spans="1:16" ht="21.75" customHeight="1" x14ac:dyDescent="0.35">
      <c r="A300" s="183"/>
      <c r="B300" s="184"/>
      <c r="C300" s="184"/>
      <c r="D300" s="190">
        <v>1</v>
      </c>
      <c r="E300" s="191" t="s">
        <v>45</v>
      </c>
      <c r="F300" s="192"/>
      <c r="G300" s="193"/>
      <c r="H300" s="194"/>
      <c r="I300" s="195"/>
      <c r="J300" s="195">
        <f ca="1">IFERROR(__xludf.DUMMYFUNCTION("IMPORTRANGE(""https://docs.google.com/spreadsheets/d/1IYY_tgx_IHuhSq3AJ5eI5OnqOPBNLWSHKh2a30DoXe8/edit?usp=sharing"",""สุราษฎร์ธานี!J205"")"),0)</f>
        <v>0</v>
      </c>
      <c r="K300" s="231"/>
      <c r="L300" s="176"/>
      <c r="M300" s="176"/>
      <c r="N300" s="176"/>
      <c r="O300" s="189"/>
      <c r="P300" s="189"/>
    </row>
    <row r="301" spans="1:16" ht="21.75" customHeight="1" x14ac:dyDescent="0.35">
      <c r="A301" s="183"/>
      <c r="B301" s="184"/>
      <c r="C301" s="184"/>
      <c r="D301" s="197">
        <v>2</v>
      </c>
      <c r="E301" s="198" t="s">
        <v>46</v>
      </c>
      <c r="F301" s="199"/>
      <c r="G301" s="200"/>
      <c r="H301" s="194"/>
      <c r="I301" s="195"/>
      <c r="J301" s="195">
        <f ca="1">IFERROR(__xludf.DUMMYFUNCTION("IMPORTRANGE(""https://docs.google.com/spreadsheets/d/1IYY_tgx_IHuhSq3AJ5eI5OnqOPBNLWSHKh2a30DoXe8/edit?usp=sharing"",""สุราษฎร์ธานี!J206"")"),1)</f>
        <v>1</v>
      </c>
      <c r="K301" s="231"/>
      <c r="L301" s="176" t="s">
        <v>40</v>
      </c>
      <c r="M301" s="176"/>
      <c r="N301" s="176" t="s">
        <v>40</v>
      </c>
      <c r="O301" s="189"/>
      <c r="P301" s="189"/>
    </row>
    <row r="302" spans="1:16" ht="21.75" customHeight="1" x14ac:dyDescent="0.35">
      <c r="A302" s="183"/>
      <c r="B302" s="184"/>
      <c r="C302" s="184"/>
      <c r="D302" s="201"/>
      <c r="E302" s="202" t="s">
        <v>47</v>
      </c>
      <c r="F302" s="203"/>
      <c r="G302" s="204"/>
      <c r="H302" s="194"/>
      <c r="I302" s="195"/>
      <c r="J302" s="195">
        <f ca="1">IFERROR(__xludf.DUMMYFUNCTION("IMPORTRANGE(""https://docs.google.com/spreadsheets/d/1IYY_tgx_IHuhSq3AJ5eI5OnqOPBNLWSHKh2a30DoXe8/edit?usp=sharing"",""สุราษฎร์ธานี!J207"")"),1)</f>
        <v>1</v>
      </c>
      <c r="K302" s="231"/>
      <c r="L302" s="176"/>
      <c r="M302" s="176"/>
      <c r="N302" s="176"/>
      <c r="O302" s="189"/>
      <c r="P302" s="189"/>
    </row>
    <row r="303" spans="1:16" ht="21.75" customHeight="1" x14ac:dyDescent="0.35">
      <c r="A303" s="183"/>
      <c r="B303" s="184"/>
      <c r="C303" s="184"/>
      <c r="D303" s="201"/>
      <c r="E303" s="202" t="s">
        <v>48</v>
      </c>
      <c r="F303" s="203"/>
      <c r="G303" s="204"/>
      <c r="H303" s="194"/>
      <c r="I303" s="195"/>
      <c r="J303" s="195">
        <f ca="1">IFERROR(__xludf.DUMMYFUNCTION("IMPORTRANGE(""https://docs.google.com/spreadsheets/d/1IYY_tgx_IHuhSq3AJ5eI5OnqOPBNLWSHKh2a30DoXe8/edit?usp=sharing"",""สุราษฎร์ธานี!J208"")"),1)</f>
        <v>1</v>
      </c>
      <c r="K303" s="231"/>
      <c r="L303" s="176"/>
      <c r="M303" s="176"/>
      <c r="N303" s="176"/>
      <c r="O303" s="189"/>
      <c r="P303" s="189"/>
    </row>
    <row r="304" spans="1:16" ht="21.75" customHeight="1" x14ac:dyDescent="0.35">
      <c r="A304" s="183"/>
      <c r="B304" s="184"/>
      <c r="C304" s="184"/>
      <c r="D304" s="201"/>
      <c r="E304" s="206"/>
      <c r="F304" s="202" t="s">
        <v>113</v>
      </c>
      <c r="G304" s="204"/>
      <c r="H304" s="188" t="s">
        <v>37</v>
      </c>
      <c r="I304" s="195">
        <f ca="1">IFERROR(__xludf.DUMMYFUNCTION("IMPORTRANGE(""https://docs.google.com/spreadsheets/d/1IYY_tgx_IHuhSq3AJ5eI5OnqOPBNLWSHKh2a30DoXe8/edit?usp=sharing"",""สุราษฎร์ธานี!I209"")"),15)</f>
        <v>15</v>
      </c>
      <c r="J304" s="211">
        <f ca="1">IFERROR(__xludf.DUMMYFUNCTION("IMPORTRANGE(""https://docs.google.com/spreadsheets/d/1IYY_tgx_IHuhSq3AJ5eI5OnqOPBNLWSHKh2a30DoXe8/edit?usp=sharing"",""สุราษฎร์ธานี!J209"")"),15)</f>
        <v>15</v>
      </c>
      <c r="K304" s="231">
        <f ca="1">IF(I304&gt;0,J304*100/I304,0)</f>
        <v>100</v>
      </c>
      <c r="L304" s="176"/>
      <c r="M304" s="176"/>
      <c r="N304" s="176"/>
      <c r="O304" s="189"/>
      <c r="P304" s="189"/>
    </row>
    <row r="305" spans="1:16" ht="21.75" customHeight="1" x14ac:dyDescent="0.35">
      <c r="A305" s="183"/>
      <c r="B305" s="184"/>
      <c r="C305" s="184"/>
      <c r="D305" s="201"/>
      <c r="E305" s="206"/>
      <c r="F305" s="202" t="s">
        <v>114</v>
      </c>
      <c r="G305" s="204"/>
      <c r="H305" s="188"/>
      <c r="I305" s="195"/>
      <c r="J305" s="195"/>
      <c r="K305" s="231"/>
      <c r="L305" s="176"/>
      <c r="M305" s="176"/>
      <c r="N305" s="176"/>
      <c r="O305" s="189"/>
      <c r="P305" s="189"/>
    </row>
    <row r="306" spans="1:16" ht="21.75" customHeight="1" x14ac:dyDescent="0.35">
      <c r="A306" s="183"/>
      <c r="B306" s="184"/>
      <c r="C306" s="184"/>
      <c r="D306" s="201"/>
      <c r="E306" s="206"/>
      <c r="F306" s="203" t="s">
        <v>53</v>
      </c>
      <c r="G306" s="204"/>
      <c r="H306" s="188" t="s">
        <v>37</v>
      </c>
      <c r="I306" s="195">
        <f ca="1">IFERROR(__xludf.DUMMYFUNCTION("IMPORTRANGE(""https://docs.google.com/spreadsheets/d/1IYY_tgx_IHuhSq3AJ5eI5OnqOPBNLWSHKh2a30DoXe8/edit?usp=sharing"",""สุราษฎร์ธานี!I211"")"),15)</f>
        <v>15</v>
      </c>
      <c r="J306" s="211">
        <f ca="1">IFERROR(__xludf.DUMMYFUNCTION("IMPORTRANGE(""https://docs.google.com/spreadsheets/d/1IYY_tgx_IHuhSq3AJ5eI5OnqOPBNLWSHKh2a30DoXe8/edit?usp=sharing"",""สุราษฎร์ธานี!J211"")"),0)</f>
        <v>0</v>
      </c>
      <c r="K306" s="231">
        <f ca="1">IF(I306&gt;0,J306*100/I306,0)</f>
        <v>0</v>
      </c>
      <c r="L306" s="176"/>
      <c r="M306" s="176"/>
      <c r="N306" s="176"/>
      <c r="O306" s="189"/>
      <c r="P306" s="189"/>
    </row>
    <row r="307" spans="1:16" ht="21.75" customHeight="1" x14ac:dyDescent="0.35">
      <c r="A307" s="183"/>
      <c r="B307" s="184"/>
      <c r="C307" s="184"/>
      <c r="D307" s="201"/>
      <c r="E307" s="202" t="s">
        <v>54</v>
      </c>
      <c r="F307" s="203"/>
      <c r="G307" s="204"/>
      <c r="H307" s="194"/>
      <c r="I307" s="195"/>
      <c r="J307" s="195">
        <f ca="1">IFERROR(__xludf.DUMMYFUNCTION("IMPORTRANGE(""https://docs.google.com/spreadsheets/d/1IYY_tgx_IHuhSq3AJ5eI5OnqOPBNLWSHKh2a30DoXe8/edit?usp=sharing"",""สุราษฎร์ธานี!J212"")"),0)</f>
        <v>0</v>
      </c>
      <c r="K307" s="231"/>
      <c r="L307" s="176"/>
      <c r="M307" s="176"/>
      <c r="N307" s="176"/>
      <c r="O307" s="189"/>
      <c r="P307" s="189"/>
    </row>
    <row r="308" spans="1:16" ht="21.75" customHeight="1" x14ac:dyDescent="0.35">
      <c r="A308" s="183"/>
      <c r="B308" s="184"/>
      <c r="C308" s="184"/>
      <c r="D308" s="213">
        <v>3</v>
      </c>
      <c r="E308" s="214" t="s">
        <v>55</v>
      </c>
      <c r="F308" s="215"/>
      <c r="G308" s="216"/>
      <c r="H308" s="194"/>
      <c r="I308" s="195"/>
      <c r="J308" s="332">
        <f ca="1">IFERROR(__xludf.DUMMYFUNCTION("IMPORTRANGE(""https://docs.google.com/spreadsheets/d/1IYY_tgx_IHuhSq3AJ5eI5OnqOPBNLWSHKh2a30DoXe8/edit?usp=sharing"",""สุราษฎร์ธานี!J213"")"),0)</f>
        <v>0</v>
      </c>
      <c r="K308" s="231"/>
      <c r="L308" s="176"/>
      <c r="M308" s="176"/>
      <c r="N308" s="176"/>
      <c r="O308" s="189"/>
      <c r="P308" s="189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IFERROR(__xludf.DUMMYFUNCTION("IMPORTRANGE(""https://docs.google.com/spreadsheets/d/1IYY_tgx_IHuhSq3AJ5eI5OnqOPBNLWSHKh2a30DoXe8/edit?usp=sharing"",""สุราษฎร์ธานี!I214"")"),1)</f>
        <v>1</v>
      </c>
      <c r="J309" s="339">
        <f ca="1">IFERROR(__xludf.DUMMYFUNCTION("IMPORTRANGE(""https://docs.google.com/spreadsheets/d/1IYY_tgx_IHuhSq3AJ5eI5OnqOPBNLWSHKh2a30DoXe8/edit?usp=sharing"",""สุราษฎร์ธานี!J214"")"),0)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52" t="s">
        <v>17</v>
      </c>
      <c r="E310" s="543"/>
      <c r="F310" s="543"/>
      <c r="G310" s="543"/>
      <c r="H310" s="153" t="s">
        <v>12</v>
      </c>
      <c r="I310" s="342"/>
      <c r="J310" s="342"/>
      <c r="K310" s="343"/>
      <c r="L310" s="156">
        <f t="shared" ref="L310:N310" ca="1" si="93">L311+L312</f>
        <v>278600</v>
      </c>
      <c r="M310" s="156">
        <f t="shared" ca="1" si="93"/>
        <v>139300</v>
      </c>
      <c r="N310" s="156">
        <f t="shared" ca="1" si="93"/>
        <v>115857</v>
      </c>
      <c r="O310" s="155">
        <f t="shared" ref="O310:O312" ca="1" si="94">IF(L310&gt;0,N310*100/L310,0)</f>
        <v>41.585427135678394</v>
      </c>
      <c r="P310" s="155">
        <f t="shared" ref="P310:P312" ca="1" si="95">IF(M310&gt;0,N310*100/M310,0)</f>
        <v>83.170854271356788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278600</v>
      </c>
      <c r="M312" s="161">
        <f t="shared" ca="1" si="97"/>
        <v>139300</v>
      </c>
      <c r="N312" s="161">
        <f t="shared" ca="1" si="97"/>
        <v>115857</v>
      </c>
      <c r="O312" s="160">
        <f t="shared" ca="1" si="94"/>
        <v>41.585427135678394</v>
      </c>
      <c r="P312" s="160">
        <f t="shared" ca="1" si="95"/>
        <v>83.170854271356788</v>
      </c>
    </row>
    <row r="313" spans="1:16" ht="21.75" customHeight="1" x14ac:dyDescent="0.35">
      <c r="A313" s="162"/>
      <c r="B313" s="163"/>
      <c r="C313" s="163" t="s">
        <v>16</v>
      </c>
      <c r="D313" s="164" t="s">
        <v>38</v>
      </c>
      <c r="E313" s="165"/>
      <c r="F313" s="165"/>
      <c r="G313" s="166" t="s">
        <v>39</v>
      </c>
      <c r="H313" s="167" t="s">
        <v>12</v>
      </c>
      <c r="I313" s="168" t="s">
        <v>40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 x14ac:dyDescent="0.35">
      <c r="A314" s="162"/>
      <c r="B314" s="163"/>
      <c r="C314" s="163"/>
      <c r="D314" s="172"/>
      <c r="E314" s="165"/>
      <c r="F314" s="165" t="s">
        <v>40</v>
      </c>
      <c r="G314" s="166" t="s">
        <v>41</v>
      </c>
      <c r="H314" s="167" t="s">
        <v>12</v>
      </c>
      <c r="I314" s="168"/>
      <c r="J314" s="168"/>
      <c r="K314" s="169"/>
      <c r="L314" s="173">
        <f ca="1">L315+L316</f>
        <v>278600</v>
      </c>
      <c r="M314" s="174">
        <f ca="1">IFERROR(__xludf.DUMMYFUNCTION("IMPORTRANGE(""https://docs.google.com/spreadsheets/d/1Yj_ptqi66GCucihVvJfMjLAmec39IyEx_6qawtMGysU/edit?usp=sharing"",""สบก!DC94"")"),139300)</f>
        <v>139300</v>
      </c>
      <c r="N314" s="175">
        <f ca="1">IFERROR(__xludf.DUMMYFUNCTION("IMPORTRANGE(""https://docs.google.com/spreadsheets/d/1Yj_ptqi66GCucihVvJfMjLAmec39IyEx_6qawtMGysU/edit?usp=sharing"",""สบก!DD94"")"),115857)</f>
        <v>115857</v>
      </c>
      <c r="O314" s="176">
        <f ca="1">IF(L314&gt;0,N314*100/L314,0)</f>
        <v>41.585427135678394</v>
      </c>
      <c r="P314" s="176">
        <f ca="1">IF(M314&gt;0,N314*100/M314,0)</f>
        <v>83.170854271356788</v>
      </c>
    </row>
    <row r="315" spans="1:16" ht="21.75" customHeight="1" x14ac:dyDescent="0.35">
      <c r="A315" s="162"/>
      <c r="B315" s="163"/>
      <c r="C315" s="163"/>
      <c r="D315" s="172"/>
      <c r="E315" s="165"/>
      <c r="F315" s="165"/>
      <c r="G315" s="177" t="s">
        <v>42</v>
      </c>
      <c r="H315" s="167" t="s">
        <v>12</v>
      </c>
      <c r="I315" s="168"/>
      <c r="J315" s="168"/>
      <c r="K315" s="169"/>
      <c r="L315" s="174">
        <f ca="1">IFERROR(__xludf.DUMMYFUNCTION("IMPORTRANGE(""https://docs.google.com/spreadsheets/d/1Yj_ptqi66GCucihVvJfMjLAmec39IyEx_6qawtMGysU/edit?usp=sharing"",""สบก!CY94"")"),0)</f>
        <v>0</v>
      </c>
      <c r="M315" s="173"/>
      <c r="N315" s="173"/>
      <c r="O315" s="176"/>
      <c r="P315" s="176"/>
    </row>
    <row r="316" spans="1:16" ht="21.75" customHeight="1" x14ac:dyDescent="0.35">
      <c r="A316" s="162"/>
      <c r="B316" s="163"/>
      <c r="C316" s="163"/>
      <c r="D316" s="172"/>
      <c r="E316" s="165"/>
      <c r="F316" s="165"/>
      <c r="G316" s="177" t="s">
        <v>43</v>
      </c>
      <c r="H316" s="167" t="s">
        <v>12</v>
      </c>
      <c r="I316" s="168"/>
      <c r="J316" s="195"/>
      <c r="K316" s="231"/>
      <c r="L316" s="174">
        <f ca="1">IFERROR(__xludf.DUMMYFUNCTION("IMPORTRANGE(""https://docs.google.com/spreadsheets/d/1Yj_ptqi66GCucihVvJfMjLAmec39IyEx_6qawtMGysU/edit?usp=sharing"",""สบก!CZ94"")"),278600)</f>
        <v>278600</v>
      </c>
      <c r="M316" s="173"/>
      <c r="N316" s="173"/>
      <c r="O316" s="176"/>
      <c r="P316" s="176"/>
    </row>
    <row r="317" spans="1:16" ht="21.75" customHeight="1" x14ac:dyDescent="0.45">
      <c r="A317" s="178"/>
      <c r="B317" s="81"/>
      <c r="C317" s="82" t="s">
        <v>16</v>
      </c>
      <c r="D317" s="549" t="s">
        <v>23</v>
      </c>
      <c r="E317" s="545"/>
      <c r="F317" s="89"/>
      <c r="G317" s="83" t="s">
        <v>18</v>
      </c>
      <c r="H317" s="179" t="s">
        <v>12</v>
      </c>
      <c r="I317" s="168"/>
      <c r="J317" s="195"/>
      <c r="K317" s="231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80"/>
      <c r="B318" s="95"/>
      <c r="C318" s="95"/>
      <c r="D318" s="181"/>
      <c r="E318" s="96"/>
      <c r="F318" s="96"/>
      <c r="G318" s="97" t="s">
        <v>19</v>
      </c>
      <c r="H318" s="182" t="s">
        <v>12</v>
      </c>
      <c r="I318" s="168"/>
      <c r="J318" s="195"/>
      <c r="K318" s="231"/>
      <c r="L318" s="91">
        <f ca="1">IFERROR(__xludf.DUMMYFUNCTION("IMPORTRANGE(""https://docs.google.com/spreadsheets/d/1Yj_ptqi66GCucihVvJfMjLAmec39IyEx_6qawtMGysU/edit?usp=sharing"",""สบก!DA94"")"),0)</f>
        <v>0</v>
      </c>
      <c r="M318" s="101"/>
      <c r="N318" s="91">
        <f ca="1">IFERROR(__xludf.DUMMYFUNCTION("IMPORTRANGE(""https://docs.google.com/spreadsheets/d/1Yj_ptqi66GCucihVvJfMjLAmec39IyEx_6qawtMGysU/edit?usp=sharing"",""สบก!DE94"")"),0)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3"/>
      <c r="B319" s="184"/>
      <c r="C319" s="163" t="s">
        <v>16</v>
      </c>
      <c r="D319" s="185" t="s">
        <v>44</v>
      </c>
      <c r="E319" s="186"/>
      <c r="F319" s="186"/>
      <c r="G319" s="187"/>
      <c r="H319" s="188"/>
      <c r="I319" s="168"/>
      <c r="J319" s="195"/>
      <c r="K319" s="231"/>
      <c r="L319" s="176"/>
      <c r="M319" s="176"/>
      <c r="N319" s="176"/>
      <c r="O319" s="189"/>
      <c r="P319" s="189"/>
    </row>
    <row r="320" spans="1:16" ht="21.75" customHeight="1" x14ac:dyDescent="0.35">
      <c r="A320" s="183"/>
      <c r="B320" s="184"/>
      <c r="C320" s="184"/>
      <c r="D320" s="190">
        <v>1</v>
      </c>
      <c r="E320" s="191" t="s">
        <v>45</v>
      </c>
      <c r="F320" s="192"/>
      <c r="G320" s="193"/>
      <c r="H320" s="194"/>
      <c r="I320" s="195"/>
      <c r="J320" s="195">
        <f ca="1">IFERROR(__xludf.DUMMYFUNCTION("IMPORTRANGE(""https://docs.google.com/spreadsheets/d/1IYY_tgx_IHuhSq3AJ5eI5OnqOPBNLWSHKh2a30DoXe8/edit?usp=sharing"",""สุราษฎร์ธานี!J220"")"),0)</f>
        <v>0</v>
      </c>
      <c r="K320" s="231"/>
      <c r="L320" s="176"/>
      <c r="M320" s="176"/>
      <c r="N320" s="176"/>
      <c r="O320" s="189"/>
      <c r="P320" s="189"/>
    </row>
    <row r="321" spans="1:16" ht="21.75" customHeight="1" x14ac:dyDescent="0.35">
      <c r="A321" s="183"/>
      <c r="B321" s="184"/>
      <c r="C321" s="184"/>
      <c r="D321" s="197">
        <v>2</v>
      </c>
      <c r="E321" s="198" t="s">
        <v>46</v>
      </c>
      <c r="F321" s="199"/>
      <c r="G321" s="200"/>
      <c r="H321" s="194"/>
      <c r="I321" s="195"/>
      <c r="J321" s="195">
        <f ca="1">IFERROR(__xludf.DUMMYFUNCTION("IMPORTRANGE(""https://docs.google.com/spreadsheets/d/1IYY_tgx_IHuhSq3AJ5eI5OnqOPBNLWSHKh2a30DoXe8/edit?usp=sharing"",""สุราษฎร์ธานี!J221"")"),1)</f>
        <v>1</v>
      </c>
      <c r="K321" s="231"/>
      <c r="L321" s="176" t="s">
        <v>40</v>
      </c>
      <c r="M321" s="176"/>
      <c r="N321" s="176" t="s">
        <v>40</v>
      </c>
      <c r="O321" s="189"/>
      <c r="P321" s="189"/>
    </row>
    <row r="322" spans="1:16" ht="21.75" customHeight="1" x14ac:dyDescent="0.35">
      <c r="A322" s="183"/>
      <c r="B322" s="184"/>
      <c r="C322" s="184"/>
      <c r="D322" s="201"/>
      <c r="E322" s="202" t="s">
        <v>47</v>
      </c>
      <c r="F322" s="203"/>
      <c r="G322" s="204"/>
      <c r="H322" s="194"/>
      <c r="I322" s="195"/>
      <c r="J322" s="195">
        <f ca="1">IFERROR(__xludf.DUMMYFUNCTION("IMPORTRANGE(""https://docs.google.com/spreadsheets/d/1IYY_tgx_IHuhSq3AJ5eI5OnqOPBNLWSHKh2a30DoXe8/edit?usp=sharing"",""สุราษฎร์ธานี!J222"")"),1)</f>
        <v>1</v>
      </c>
      <c r="K322" s="231"/>
      <c r="L322" s="176"/>
      <c r="M322" s="176"/>
      <c r="N322" s="176"/>
      <c r="O322" s="189"/>
      <c r="P322" s="189"/>
    </row>
    <row r="323" spans="1:16" ht="21.75" customHeight="1" x14ac:dyDescent="0.35">
      <c r="A323" s="183"/>
      <c r="B323" s="184"/>
      <c r="C323" s="184"/>
      <c r="D323" s="201"/>
      <c r="E323" s="202" t="s">
        <v>48</v>
      </c>
      <c r="F323" s="203"/>
      <c r="G323" s="204"/>
      <c r="H323" s="194"/>
      <c r="I323" s="195"/>
      <c r="J323" s="195">
        <f ca="1">IFERROR(__xludf.DUMMYFUNCTION("IMPORTRANGE(""https://docs.google.com/spreadsheets/d/1IYY_tgx_IHuhSq3AJ5eI5OnqOPBNLWSHKh2a30DoXe8/edit?usp=sharing"",""สุราษฎร์ธานี!J223"")"),1)</f>
        <v>1</v>
      </c>
      <c r="K323" s="231"/>
      <c r="L323" s="176"/>
      <c r="M323" s="176"/>
      <c r="N323" s="176"/>
      <c r="O323" s="189"/>
      <c r="P323" s="189"/>
    </row>
    <row r="324" spans="1:16" ht="21.75" customHeight="1" x14ac:dyDescent="0.35">
      <c r="A324" s="183"/>
      <c r="B324" s="184"/>
      <c r="C324" s="184"/>
      <c r="D324" s="201"/>
      <c r="E324" s="206"/>
      <c r="F324" s="202" t="s">
        <v>117</v>
      </c>
      <c r="G324" s="204"/>
      <c r="H324" s="194" t="s">
        <v>116</v>
      </c>
      <c r="I324" s="195">
        <f ca="1">IFERROR(__xludf.DUMMYFUNCTION("IMPORTRANGE(""https://docs.google.com/spreadsheets/d/1IYY_tgx_IHuhSq3AJ5eI5OnqOPBNLWSHKh2a30DoXe8/edit?usp=sharing"",""สุราษฎร์ธานี!I224"")"),1)</f>
        <v>1</v>
      </c>
      <c r="J324" s="211">
        <f ca="1">IFERROR(__xludf.DUMMYFUNCTION("IMPORTRANGE(""https://docs.google.com/spreadsheets/d/1IYY_tgx_IHuhSq3AJ5eI5OnqOPBNLWSHKh2a30DoXe8/edit?usp=sharing"",""สุราษฎร์ธานี!J224"")"),0)</f>
        <v>0</v>
      </c>
      <c r="K324" s="231">
        <f ca="1">IF(I324&gt;0,J324*100/I324,0)</f>
        <v>0</v>
      </c>
      <c r="L324" s="176"/>
      <c r="M324" s="176"/>
      <c r="N324" s="176"/>
      <c r="O324" s="189"/>
      <c r="P324" s="189"/>
    </row>
    <row r="325" spans="1:16" ht="21.75" customHeight="1" x14ac:dyDescent="0.35">
      <c r="A325" s="183"/>
      <c r="B325" s="184"/>
      <c r="C325" s="184"/>
      <c r="D325" s="201"/>
      <c r="E325" s="202" t="s">
        <v>54</v>
      </c>
      <c r="F325" s="203"/>
      <c r="G325" s="204"/>
      <c r="H325" s="194"/>
      <c r="I325" s="195"/>
      <c r="J325" s="195">
        <f ca="1">IFERROR(__xludf.DUMMYFUNCTION("IMPORTRANGE(""https://docs.google.com/spreadsheets/d/1IYY_tgx_IHuhSq3AJ5eI5OnqOPBNLWSHKh2a30DoXe8/edit?usp=sharing"",""สุราษฎร์ธานี!J225"")"),0)</f>
        <v>0</v>
      </c>
      <c r="K325" s="231"/>
      <c r="L325" s="176"/>
      <c r="M325" s="176"/>
      <c r="N325" s="176"/>
      <c r="O325" s="189"/>
      <c r="P325" s="189"/>
    </row>
    <row r="326" spans="1:16" ht="21.75" customHeight="1" x14ac:dyDescent="0.35">
      <c r="A326" s="183"/>
      <c r="B326" s="184"/>
      <c r="C326" s="184"/>
      <c r="D326" s="213">
        <v>3</v>
      </c>
      <c r="E326" s="214" t="s">
        <v>55</v>
      </c>
      <c r="F326" s="215"/>
      <c r="G326" s="216"/>
      <c r="H326" s="194"/>
      <c r="I326" s="195"/>
      <c r="J326" s="234">
        <f ca="1">IFERROR(__xludf.DUMMYFUNCTION("IMPORTRANGE(""https://docs.google.com/spreadsheets/d/1IYY_tgx_IHuhSq3AJ5eI5OnqOPBNLWSHKh2a30DoXe8/edit?usp=sharing"",""สุราษฎร์ธานี!J226"")"),0)</f>
        <v>0</v>
      </c>
      <c r="K326" s="231"/>
      <c r="L326" s="176"/>
      <c r="M326" s="176"/>
      <c r="N326" s="176"/>
      <c r="O326" s="189"/>
      <c r="P326" s="189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IFERROR(__xludf.DUMMYFUNCTION("IMPORTRANGE(""https://docs.google.com/spreadsheets/d/1IYY_tgx_IHuhSq3AJ5eI5OnqOPBNLWSHKh2a30DoXe8/edit?usp=sharing"",""สุราษฎร์ธานี!I228"")"),550)</f>
        <v>550</v>
      </c>
      <c r="J328" s="345">
        <f ca="1">IFERROR(__xludf.DUMMYFUNCTION("IMPORTRANGE(""https://docs.google.com/spreadsheets/d/1IYY_tgx_IHuhSq3AJ5eI5OnqOPBNLWSHKh2a30DoXe8/edit?usp=sharing"",""สุราษฎร์ธานี!J228"")"),290)</f>
        <v>290</v>
      </c>
      <c r="K328" s="323">
        <f ca="1">IF(I328&gt;0,J328*100/I328,0)</f>
        <v>52.727272727272727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52" t="s">
        <v>17</v>
      </c>
      <c r="E329" s="543"/>
      <c r="F329" s="543"/>
      <c r="G329" s="543"/>
      <c r="H329" s="153" t="s">
        <v>12</v>
      </c>
      <c r="I329" s="168"/>
      <c r="J329" s="168"/>
      <c r="K329" s="169"/>
      <c r="L329" s="156">
        <f t="shared" ref="L329:N329" ca="1" si="98">L330+L331</f>
        <v>1952810</v>
      </c>
      <c r="M329" s="156">
        <f t="shared" ca="1" si="98"/>
        <v>1134210</v>
      </c>
      <c r="N329" s="156">
        <f t="shared" ca="1" si="98"/>
        <v>812474</v>
      </c>
      <c r="O329" s="155">
        <f t="shared" ref="O329:O331" ca="1" si="99">IF(L329&gt;0,N329*100/L329,0)</f>
        <v>41.605378915511494</v>
      </c>
      <c r="P329" s="155">
        <f t="shared" ref="P329:P331" ca="1" si="100">IF(M329&gt;0,N329*100/M329,0)</f>
        <v>71.633471755671351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8"/>
      <c r="J330" s="168"/>
      <c r="K330" s="169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8"/>
      <c r="J331" s="168"/>
      <c r="K331" s="169"/>
      <c r="L331" s="161">
        <f t="shared" ref="L331:N331" ca="1" si="102">L333+L337</f>
        <v>1952810</v>
      </c>
      <c r="M331" s="161">
        <f t="shared" ca="1" si="102"/>
        <v>1134210</v>
      </c>
      <c r="N331" s="161">
        <f t="shared" ca="1" si="102"/>
        <v>812474</v>
      </c>
      <c r="O331" s="160">
        <f t="shared" ca="1" si="99"/>
        <v>41.605378915511494</v>
      </c>
      <c r="P331" s="160">
        <f t="shared" ca="1" si="100"/>
        <v>71.633471755671351</v>
      </c>
    </row>
    <row r="332" spans="1:16" ht="21.75" customHeight="1" x14ac:dyDescent="0.35">
      <c r="A332" s="162"/>
      <c r="B332" s="163"/>
      <c r="C332" s="163" t="s">
        <v>16</v>
      </c>
      <c r="D332" s="164" t="s">
        <v>38</v>
      </c>
      <c r="E332" s="165"/>
      <c r="F332" s="165"/>
      <c r="G332" s="166" t="s">
        <v>39</v>
      </c>
      <c r="H332" s="167" t="s">
        <v>12</v>
      </c>
      <c r="I332" s="168" t="s">
        <v>40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 x14ac:dyDescent="0.35">
      <c r="A333" s="162"/>
      <c r="B333" s="163"/>
      <c r="C333" s="163"/>
      <c r="D333" s="172"/>
      <c r="E333" s="165"/>
      <c r="F333" s="165" t="s">
        <v>40</v>
      </c>
      <c r="G333" s="166" t="s">
        <v>41</v>
      </c>
      <c r="H333" s="167" t="s">
        <v>12</v>
      </c>
      <c r="I333" s="168"/>
      <c r="J333" s="168"/>
      <c r="K333" s="169"/>
      <c r="L333" s="173">
        <f ca="1">L334+L335</f>
        <v>1816010</v>
      </c>
      <c r="M333" s="174">
        <f ca="1">IFERROR(__xludf.DUMMYFUNCTION("IMPORTRANGE(""https://docs.google.com/spreadsheets/d/1Yj_ptqi66GCucihVvJfMjLAmec39IyEx_6qawtMGysU/edit?usp=sharing"",""สบก!DL94"")"),997410)</f>
        <v>997410</v>
      </c>
      <c r="N333" s="175">
        <f ca="1">IFERROR(__xludf.DUMMYFUNCTION("IMPORTRANGE(""https://docs.google.com/spreadsheets/d/1Yj_ptqi66GCucihVvJfMjLAmec39IyEx_6qawtMGysU/edit?usp=sharing"",""สบก!DM94"")"),675674)</f>
        <v>675674</v>
      </c>
      <c r="O333" s="176">
        <f ca="1">IF(L333&gt;0,N333*100/L333,0)</f>
        <v>37.2065131799935</v>
      </c>
      <c r="P333" s="176">
        <f ca="1">IF(M333&gt;0,N333*100/M333,0)</f>
        <v>67.742853991838857</v>
      </c>
    </row>
    <row r="334" spans="1:16" ht="21.75" customHeight="1" x14ac:dyDescent="0.35">
      <c r="A334" s="162"/>
      <c r="B334" s="163"/>
      <c r="C334" s="163"/>
      <c r="D334" s="172"/>
      <c r="E334" s="165"/>
      <c r="F334" s="165"/>
      <c r="G334" s="177" t="s">
        <v>42</v>
      </c>
      <c r="H334" s="167" t="s">
        <v>12</v>
      </c>
      <c r="I334" s="168"/>
      <c r="J334" s="168"/>
      <c r="K334" s="169"/>
      <c r="L334" s="174">
        <f ca="1">IFERROR(__xludf.DUMMYFUNCTION("IMPORTRANGE(""https://docs.google.com/spreadsheets/d/1Yj_ptqi66GCucihVvJfMjLAmec39IyEx_6qawtMGysU/edit?usp=sharing"",""สบก!DH94"")"),923400)</f>
        <v>923400</v>
      </c>
      <c r="M334" s="173"/>
      <c r="N334" s="173"/>
      <c r="O334" s="176"/>
      <c r="P334" s="176"/>
    </row>
    <row r="335" spans="1:16" ht="21.75" customHeight="1" x14ac:dyDescent="0.35">
      <c r="A335" s="162"/>
      <c r="B335" s="163"/>
      <c r="C335" s="163"/>
      <c r="D335" s="172"/>
      <c r="E335" s="165"/>
      <c r="F335" s="165"/>
      <c r="G335" s="177" t="s">
        <v>43</v>
      </c>
      <c r="H335" s="167" t="s">
        <v>12</v>
      </c>
      <c r="I335" s="168"/>
      <c r="J335" s="168"/>
      <c r="K335" s="169"/>
      <c r="L335" s="174">
        <f ca="1">IFERROR(__xludf.DUMMYFUNCTION("IMPORTRANGE(""https://docs.google.com/spreadsheets/d/1Yj_ptqi66GCucihVvJfMjLAmec39IyEx_6qawtMGysU/edit?usp=sharing"",""สบก!DI94"")"),892610)</f>
        <v>892610</v>
      </c>
      <c r="M335" s="173"/>
      <c r="N335" s="173"/>
      <c r="O335" s="176"/>
      <c r="P335" s="176"/>
    </row>
    <row r="336" spans="1:16" ht="21.75" customHeight="1" x14ac:dyDescent="0.45">
      <c r="A336" s="178"/>
      <c r="B336" s="81"/>
      <c r="C336" s="82" t="s">
        <v>16</v>
      </c>
      <c r="D336" s="549" t="s">
        <v>23</v>
      </c>
      <c r="E336" s="545"/>
      <c r="F336" s="89"/>
      <c r="G336" s="83" t="s">
        <v>18</v>
      </c>
      <c r="H336" s="179" t="s">
        <v>12</v>
      </c>
      <c r="I336" s="168"/>
      <c r="J336" s="168"/>
      <c r="K336" s="169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80"/>
      <c r="B337" s="95"/>
      <c r="C337" s="95"/>
      <c r="D337" s="181"/>
      <c r="E337" s="96"/>
      <c r="F337" s="96"/>
      <c r="G337" s="97" t="s">
        <v>19</v>
      </c>
      <c r="H337" s="182" t="s">
        <v>12</v>
      </c>
      <c r="I337" s="168"/>
      <c r="J337" s="168"/>
      <c r="K337" s="169"/>
      <c r="L337" s="91">
        <f ca="1">IFERROR(__xludf.DUMMYFUNCTION("IMPORTRANGE(""https://docs.google.com/spreadsheets/d/1Yj_ptqi66GCucihVvJfMjLAmec39IyEx_6qawtMGysU/edit?usp=sharing"",""สบก!DJ94"")"),136800)</f>
        <v>136800</v>
      </c>
      <c r="M337" s="101">
        <f ca="1">L337</f>
        <v>136800</v>
      </c>
      <c r="N337" s="91">
        <f ca="1">IFERROR(__xludf.DUMMYFUNCTION("IMPORTRANGE(""https://docs.google.com/spreadsheets/d/1Yj_ptqi66GCucihVvJfMjLAmec39IyEx_6qawtMGysU/edit?usp=sharing"",""สบก!DN94"")"),136800)</f>
        <v>136800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3"/>
      <c r="B338" s="297"/>
      <c r="C338" s="346" t="s">
        <v>120</v>
      </c>
      <c r="D338" s="203"/>
      <c r="E338" s="203"/>
      <c r="F338" s="203"/>
      <c r="G338" s="204"/>
      <c r="H338" s="188"/>
      <c r="I338" s="347"/>
      <c r="J338" s="347"/>
      <c r="K338" s="348"/>
      <c r="L338" s="189"/>
      <c r="M338" s="189"/>
      <c r="N338" s="189"/>
      <c r="O338" s="349"/>
      <c r="P338" s="349"/>
    </row>
    <row r="339" spans="1:16" ht="21.75" customHeight="1" x14ac:dyDescent="0.35">
      <c r="A339" s="183"/>
      <c r="B339" s="297"/>
      <c r="C339" s="184"/>
      <c r="D339" s="203"/>
      <c r="E339" s="202" t="s">
        <v>121</v>
      </c>
      <c r="F339" s="203"/>
      <c r="G339" s="204"/>
      <c r="H339" s="350" t="s">
        <v>37</v>
      </c>
      <c r="I339" s="211">
        <f ca="1">IFERROR(__xludf.DUMMYFUNCTION("IMPORTRANGE(""https://docs.google.com/spreadsheets/d/1IYY_tgx_IHuhSq3AJ5eI5OnqOPBNLWSHKh2a30DoXe8/edit?usp=sharing"",""สุราษฎร์ธานี!I234"")"),0)</f>
        <v>0</v>
      </c>
      <c r="J339" s="195">
        <f ca="1">IFERROR(__xludf.DUMMYFUNCTION("IMPORTRANGE(""https://docs.google.com/spreadsheets/d/1IYY_tgx_IHuhSq3AJ5eI5OnqOPBNLWSHKh2a30DoXe8/edit?usp=sharing"",""สุราษฎร์ธานี!J234"")"),387)</f>
        <v>387</v>
      </c>
      <c r="K339" s="348">
        <f t="shared" ref="K339:K346" ca="1" si="103">IF(I339&gt;0,J339*100/I339,0)</f>
        <v>0</v>
      </c>
      <c r="L339" s="189"/>
      <c r="M339" s="189"/>
      <c r="N339" s="189"/>
      <c r="O339" s="349"/>
      <c r="P339" s="349"/>
    </row>
    <row r="340" spans="1:16" ht="21.75" customHeight="1" x14ac:dyDescent="0.35">
      <c r="A340" s="183"/>
      <c r="B340" s="297"/>
      <c r="C340" s="184"/>
      <c r="D340" s="203"/>
      <c r="E340" s="203"/>
      <c r="F340" s="203"/>
      <c r="G340" s="204"/>
      <c r="H340" s="350" t="s">
        <v>122</v>
      </c>
      <c r="I340" s="195">
        <f ca="1">IFERROR(__xludf.DUMMYFUNCTION("IMPORTRANGE(""https://docs.google.com/spreadsheets/d/1IYY_tgx_IHuhSq3AJ5eI5OnqOPBNLWSHKh2a30DoXe8/edit?usp=sharing"",""สุราษฎร์ธานี!I235"")"),5600)</f>
        <v>5600</v>
      </c>
      <c r="J340" s="195">
        <f ca="1">IFERROR(__xludf.DUMMYFUNCTION("IMPORTRANGE(""https://docs.google.com/spreadsheets/d/1IYY_tgx_IHuhSq3AJ5eI5OnqOPBNLWSHKh2a30DoXe8/edit?usp=sharing"",""สุราษฎร์ธานี!J235"")"),3767.2)</f>
        <v>3767.2</v>
      </c>
      <c r="K340" s="348">
        <f t="shared" ca="1" si="103"/>
        <v>67.271428571428572</v>
      </c>
      <c r="L340" s="189"/>
      <c r="M340" s="189"/>
      <c r="N340" s="189"/>
      <c r="O340" s="349"/>
      <c r="P340" s="349"/>
    </row>
    <row r="341" spans="1:16" ht="21.75" customHeight="1" x14ac:dyDescent="0.35">
      <c r="A341" s="183"/>
      <c r="B341" s="297"/>
      <c r="C341" s="184"/>
      <c r="D341" s="203"/>
      <c r="E341" s="202" t="s">
        <v>123</v>
      </c>
      <c r="F341" s="203"/>
      <c r="G341" s="204"/>
      <c r="H341" s="188" t="s">
        <v>37</v>
      </c>
      <c r="I341" s="195">
        <f ca="1">IFERROR(__xludf.DUMMYFUNCTION("IMPORTRANGE(""https://docs.google.com/spreadsheets/d/1IYY_tgx_IHuhSq3AJ5eI5OnqOPBNLWSHKh2a30DoXe8/edit?usp=sharing"",""สุราษฎร์ธานี!I236"")"),550)</f>
        <v>550</v>
      </c>
      <c r="J341" s="195">
        <f ca="1">IFERROR(__xludf.DUMMYFUNCTION("IMPORTRANGE(""https://docs.google.com/spreadsheets/d/1IYY_tgx_IHuhSq3AJ5eI5OnqOPBNLWSHKh2a30DoXe8/edit?usp=sharing"",""สุราษฎร์ธานี!J236"")"),422)</f>
        <v>422</v>
      </c>
      <c r="K341" s="348">
        <f t="shared" ca="1" si="103"/>
        <v>76.727272727272734</v>
      </c>
      <c r="L341" s="189"/>
      <c r="M341" s="189"/>
      <c r="N341" s="189"/>
      <c r="O341" s="349"/>
      <c r="P341" s="349"/>
    </row>
    <row r="342" spans="1:16" ht="21.75" customHeight="1" x14ac:dyDescent="0.35">
      <c r="A342" s="183"/>
      <c r="B342" s="297"/>
      <c r="C342" s="184"/>
      <c r="D342" s="203"/>
      <c r="E342" s="203"/>
      <c r="F342" s="203"/>
      <c r="G342" s="204"/>
      <c r="H342" s="188" t="s">
        <v>122</v>
      </c>
      <c r="I342" s="351">
        <f ca="1">IFERROR(__xludf.DUMMYFUNCTION("IMPORTRANGE(""https://docs.google.com/spreadsheets/d/1IYY_tgx_IHuhSq3AJ5eI5OnqOPBNLWSHKh2a30DoXe8/edit?usp=sharing"",""สุราษฎร์ธานี!I237"")"),0)</f>
        <v>0</v>
      </c>
      <c r="J342" s="195">
        <f ca="1">IFERROR(__xludf.DUMMYFUNCTION("IMPORTRANGE(""https://docs.google.com/spreadsheets/d/1IYY_tgx_IHuhSq3AJ5eI5OnqOPBNLWSHKh2a30DoXe8/edit?usp=sharing"",""สุราษฎร์ธานี!J237"")"),5399.24)</f>
        <v>5399.24</v>
      </c>
      <c r="K342" s="348">
        <f t="shared" ca="1" si="103"/>
        <v>0</v>
      </c>
      <c r="L342" s="189"/>
      <c r="M342" s="189"/>
      <c r="N342" s="189"/>
      <c r="O342" s="349"/>
      <c r="P342" s="349"/>
    </row>
    <row r="343" spans="1:16" ht="21.75" customHeight="1" x14ac:dyDescent="0.35">
      <c r="A343" s="183"/>
      <c r="B343" s="297"/>
      <c r="C343" s="184"/>
      <c r="D343" s="203"/>
      <c r="E343" s="202" t="s">
        <v>124</v>
      </c>
      <c r="F343" s="203"/>
      <c r="G343" s="204"/>
      <c r="H343" s="188" t="s">
        <v>37</v>
      </c>
      <c r="I343" s="195">
        <f ca="1">IFERROR(__xludf.DUMMYFUNCTION("IMPORTRANGE(""https://docs.google.com/spreadsheets/d/1IYY_tgx_IHuhSq3AJ5eI5OnqOPBNLWSHKh2a30DoXe8/edit?usp=sharing"",""สุราษฎร์ธานี!I238"")"),550)</f>
        <v>550</v>
      </c>
      <c r="J343" s="195">
        <f ca="1">IFERROR(__xludf.DUMMYFUNCTION("IMPORTRANGE(""https://docs.google.com/spreadsheets/d/1IYY_tgx_IHuhSq3AJ5eI5OnqOPBNLWSHKh2a30DoXe8/edit?usp=sharing"",""สุราษฎร์ธานี!J238"")"),0)</f>
        <v>0</v>
      </c>
      <c r="K343" s="348">
        <f t="shared" ca="1" si="103"/>
        <v>0</v>
      </c>
      <c r="L343" s="189"/>
      <c r="M343" s="189"/>
      <c r="N343" s="189"/>
      <c r="O343" s="349"/>
      <c r="P343" s="349"/>
    </row>
    <row r="344" spans="1:16" ht="21.75" customHeight="1" x14ac:dyDescent="0.35">
      <c r="A344" s="183"/>
      <c r="B344" s="297"/>
      <c r="C344" s="184"/>
      <c r="D344" s="203"/>
      <c r="E344" s="203"/>
      <c r="F344" s="203"/>
      <c r="G344" s="204"/>
      <c r="H344" s="188" t="s">
        <v>122</v>
      </c>
      <c r="I344" s="351">
        <f ca="1">IFERROR(__xludf.DUMMYFUNCTION("IMPORTRANGE(""https://docs.google.com/spreadsheets/d/1IYY_tgx_IHuhSq3AJ5eI5OnqOPBNLWSHKh2a30DoXe8/edit?usp=sharing"",""สุราษฎร์ธานี!I239"")"),0)</f>
        <v>0</v>
      </c>
      <c r="J344" s="195">
        <f ca="1">IFERROR(__xludf.DUMMYFUNCTION("IMPORTRANGE(""https://docs.google.com/spreadsheets/d/1IYY_tgx_IHuhSq3AJ5eI5OnqOPBNLWSHKh2a30DoXe8/edit?usp=sharing"",""สุราษฎร์ธานี!J239"")"),0)</f>
        <v>0</v>
      </c>
      <c r="K344" s="348">
        <f t="shared" ca="1" si="103"/>
        <v>0</v>
      </c>
      <c r="L344" s="189"/>
      <c r="M344" s="189"/>
      <c r="N344" s="189"/>
      <c r="O344" s="349"/>
      <c r="P344" s="349"/>
    </row>
    <row r="345" spans="1:16" ht="21.75" customHeight="1" x14ac:dyDescent="0.35">
      <c r="A345" s="183"/>
      <c r="B345" s="297"/>
      <c r="C345" s="184"/>
      <c r="D345" s="203"/>
      <c r="E345" s="202" t="s">
        <v>125</v>
      </c>
      <c r="F345" s="203"/>
      <c r="G345" s="204"/>
      <c r="H345" s="188" t="s">
        <v>37</v>
      </c>
      <c r="I345" s="195">
        <f ca="1">IFERROR(__xludf.DUMMYFUNCTION("IMPORTRANGE(""https://docs.google.com/spreadsheets/d/1IYY_tgx_IHuhSq3AJ5eI5OnqOPBNLWSHKh2a30DoXe8/edit?usp=sharing"",""สุราษฎร์ธานี!I240"")"),550)</f>
        <v>550</v>
      </c>
      <c r="J345" s="195">
        <f ca="1">IFERROR(__xludf.DUMMYFUNCTION("IMPORTRANGE(""https://docs.google.com/spreadsheets/d/1IYY_tgx_IHuhSq3AJ5eI5OnqOPBNLWSHKh2a30DoXe8/edit?usp=sharing"",""สุราษฎร์ธานี!J240"")"),290)</f>
        <v>290</v>
      </c>
      <c r="K345" s="348">
        <f t="shared" ca="1" si="103"/>
        <v>52.727272727272727</v>
      </c>
      <c r="L345" s="189"/>
      <c r="M345" s="189"/>
      <c r="N345" s="189"/>
      <c r="O345" s="349"/>
      <c r="P345" s="349"/>
    </row>
    <row r="346" spans="1:16" ht="21.75" customHeight="1" x14ac:dyDescent="0.35">
      <c r="A346" s="241"/>
      <c r="B346" s="352"/>
      <c r="C346" s="242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IFERROR(__xludf.DUMMYFUNCTION("IMPORTRANGE(""https://docs.google.com/spreadsheets/d/1IYY_tgx_IHuhSq3AJ5eI5OnqOPBNLWSHKh2a30DoXe8/edit?usp=sharing"",""สุราษฎร์ธานี!I241"")"),0)</f>
        <v>0</v>
      </c>
      <c r="J346" s="195">
        <f ca="1">IFERROR(__xludf.DUMMYFUNCTION("IMPORTRANGE(""https://docs.google.com/spreadsheets/d/1IYY_tgx_IHuhSq3AJ5eI5OnqOPBNLWSHKh2a30DoXe8/edit?usp=sharing"",""สุราษฎร์ธานี!J241"")"),4251.14)</f>
        <v>4251.1400000000003</v>
      </c>
      <c r="K346" s="357">
        <f t="shared" ca="1" si="103"/>
        <v>0</v>
      </c>
      <c r="L346" s="252"/>
      <c r="M346" s="252"/>
      <c r="N346" s="252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IFERROR(__xludf.DUMMYFUNCTION("IMPORTRANGE(""https://docs.google.com/spreadsheets/d/1IYY_tgx_IHuhSq3AJ5eI5OnqOPBNLWSHKh2a30DoXe8/edit?usp=sharing"",""สุราษฎร์ธานี!L242"")"),2788438)</f>
        <v>2788438</v>
      </c>
      <c r="M347" s="364"/>
      <c r="N347" s="364">
        <f ca="1">IFERROR(__xludf.DUMMYFUNCTION("IMPORTRANGE(""https://docs.google.com/spreadsheets/d/1IYY_tgx_IHuhSq3AJ5eI5OnqOPBNLWSHKh2a30DoXe8/edit?usp=sharing"",""สุราษฎร์ธานี!M242"")"),539855.08)</f>
        <v>539855.07999999996</v>
      </c>
      <c r="O347" s="364">
        <f ca="1">+IF(L347&gt;0,N347*100/L347,0)</f>
        <v>19.360483539530012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IFERROR(__xludf.DUMMYFUNCTION("IMPORTRANGE(""https://docs.google.com/spreadsheets/d/1IYY_tgx_IHuhSq3AJ5eI5OnqOPBNLWSHKh2a30DoXe8/edit?usp=sharing"",""สุราษฎร์ธานี!I244"")"),80)</f>
        <v>80</v>
      </c>
      <c r="J349" s="377">
        <f ca="1">IFERROR(__xludf.DUMMYFUNCTION("IMPORTRANGE(""https://docs.google.com/spreadsheets/d/1IYY_tgx_IHuhSq3AJ5eI5OnqOPBNLWSHKh2a30DoXe8/edit?usp=sharing"",""สุราษฎร์ธานี!J244"")"),0)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IFERROR(__xludf.DUMMYFUNCTION("IMPORTRANGE(""https://docs.google.com/spreadsheets/d/1IYY_tgx_IHuhSq3AJ5eI5OnqOPBNLWSHKh2a30DoXe8/edit?usp=sharing"",""สุราษฎร์ธานี!L244"")"),311160)</f>
        <v>311160</v>
      </c>
      <c r="M349" s="379"/>
      <c r="N349" s="379">
        <f ca="1">IFERROR(__xludf.DUMMYFUNCTION("IMPORTRANGE(""https://docs.google.com/spreadsheets/d/1IYY_tgx_IHuhSq3AJ5eI5OnqOPBNLWSHKh2a30DoXe8/edit?usp=sharing"",""สุราษฎร์ธานี!M244"")"),95030.9599999999)</f>
        <v>95030.959999999905</v>
      </c>
      <c r="O349" s="379">
        <f ca="1">+IF(L349&gt;0,N349*100/L349,0)</f>
        <v>30.540866435274427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IFERROR(__xludf.DUMMYFUNCTION("IMPORTRANGE(""https://docs.google.com/spreadsheets/d/1IYY_tgx_IHuhSq3AJ5eI5OnqOPBNLWSHKh2a30DoXe8/edit?usp=sharing"",""สุราษฎร์ธานี!I245"")"),40)</f>
        <v>40</v>
      </c>
      <c r="J350" s="377">
        <f ca="1">IFERROR(__xludf.DUMMYFUNCTION("IMPORTRANGE(""https://docs.google.com/spreadsheets/d/1IYY_tgx_IHuhSq3AJ5eI5OnqOPBNLWSHKh2a30DoXe8/edit?usp=sharing"",""สุราษฎร์ธานี!J245"")"),20)</f>
        <v>20</v>
      </c>
      <c r="K350" s="378">
        <f t="shared" ca="1" si="104"/>
        <v>50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164" t="s">
        <v>38</v>
      </c>
      <c r="E351" s="165"/>
      <c r="F351" s="165"/>
      <c r="G351" s="166" t="s">
        <v>39</v>
      </c>
      <c r="H351" s="167" t="s">
        <v>12</v>
      </c>
      <c r="I351" s="168" t="s">
        <v>40</v>
      </c>
      <c r="J351" s="168"/>
      <c r="K351" s="169"/>
      <c r="L351" s="170">
        <f ca="1">IFERROR(__xludf.DUMMYFUNCTION("IMPORTRANGE(""https://docs.google.com/spreadsheets/d/1IYY_tgx_IHuhSq3AJ5eI5OnqOPBNLWSHKh2a30DoXe8/edit?usp=sharing"",""สุราษฎร์ธานี!L246"")"),0)</f>
        <v>0</v>
      </c>
      <c r="M351" s="170"/>
      <c r="N351" s="170">
        <f ca="1">IFERROR(__xludf.DUMMYFUNCTION("IMPORTRANGE(""https://docs.google.com/spreadsheets/d/1IYY_tgx_IHuhSq3AJ5eI5OnqOPBNLWSHKh2a30DoXe8/edit?usp=sharing"",""สุราษฎร์ธานี!M246"")"),0)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 x14ac:dyDescent="0.35">
      <c r="A352" s="162"/>
      <c r="B352" s="163"/>
      <c r="C352" s="163"/>
      <c r="D352" s="172"/>
      <c r="E352" s="165"/>
      <c r="F352" s="165" t="s">
        <v>40</v>
      </c>
      <c r="G352" s="166" t="s">
        <v>41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IFERROR(__xludf.DUMMYFUNCTION("IMPORTRANGE(""https://docs.google.com/spreadsheets/d/1IYY_tgx_IHuhSq3AJ5eI5OnqOPBNLWSHKh2a30DoXe8/edit?usp=sharing"",""สุราษฎร์ธานี!L247"")"),311160)</f>
        <v>311160</v>
      </c>
      <c r="M352" s="171"/>
      <c r="N352" s="170">
        <f ca="1">IFERROR(__xludf.DUMMYFUNCTION("IMPORTRANGE(""https://docs.google.com/spreadsheets/d/1IYY_tgx_IHuhSq3AJ5eI5OnqOPBNLWSHKh2a30DoXe8/edit?usp=sharing"",""สุราษฎร์ธานี!M247"")"),95030.9599999999)</f>
        <v>95030.959999999905</v>
      </c>
      <c r="O352" s="171">
        <f t="shared" ca="1" si="105"/>
        <v>30.540866435274427</v>
      </c>
      <c r="P352" s="171"/>
    </row>
    <row r="353" spans="1:16" ht="21.75" customHeight="1" x14ac:dyDescent="0.35">
      <c r="A353" s="162"/>
      <c r="B353" s="163"/>
      <c r="C353" s="163"/>
      <c r="D353" s="172"/>
      <c r="E353" s="165"/>
      <c r="F353" s="165"/>
      <c r="G353" s="380" t="s">
        <v>129</v>
      </c>
      <c r="H353" s="167" t="s">
        <v>12</v>
      </c>
      <c r="I353" s="168"/>
      <c r="J353" s="168"/>
      <c r="K353" s="169"/>
      <c r="L353" s="176">
        <f ca="1">IFERROR(__xludf.DUMMYFUNCTION("IMPORTRANGE(""https://docs.google.com/spreadsheets/d/1IYY_tgx_IHuhSq3AJ5eI5OnqOPBNLWSHKh2a30DoXe8/edit?usp=sharing"",""สุราษฎร์ธานี!L248"")"),0)</f>
        <v>0</v>
      </c>
      <c r="M353" s="176"/>
      <c r="N353" s="176">
        <f ca="1">IFERROR(__xludf.DUMMYFUNCTION("IMPORTRANGE(""https://docs.google.com/spreadsheets/d/1IYY_tgx_IHuhSq3AJ5eI5OnqOPBNLWSHKh2a30DoXe8/edit?usp=sharing"",""สุราษฎร์ธานี!M248"")"),0)</f>
        <v>0</v>
      </c>
      <c r="O353" s="176">
        <f t="shared" ca="1" si="105"/>
        <v>0</v>
      </c>
      <c r="P353" s="176"/>
    </row>
    <row r="354" spans="1:16" ht="21.75" customHeight="1" x14ac:dyDescent="0.35">
      <c r="A354" s="162"/>
      <c r="B354" s="163"/>
      <c r="C354" s="163"/>
      <c r="D354" s="172"/>
      <c r="E354" s="165"/>
      <c r="F354" s="165"/>
      <c r="G354" s="380" t="s">
        <v>130</v>
      </c>
      <c r="H354" s="167" t="s">
        <v>12</v>
      </c>
      <c r="I354" s="168"/>
      <c r="J354" s="168"/>
      <c r="K354" s="169"/>
      <c r="L354" s="176">
        <f ca="1">IFERROR(__xludf.DUMMYFUNCTION("IMPORTRANGE(""https://docs.google.com/spreadsheets/d/1IYY_tgx_IHuhSq3AJ5eI5OnqOPBNLWSHKh2a30DoXe8/edit?usp=sharing"",""สุราษฎร์ธานี!L249"")"),311160)</f>
        <v>311160</v>
      </c>
      <c r="M354" s="176"/>
      <c r="N354" s="173">
        <f ca="1">IFERROR(__xludf.DUMMYFUNCTION("IMPORTRANGE(""https://docs.google.com/spreadsheets/d/1IYY_tgx_IHuhSq3AJ5eI5OnqOPBNLWSHKh2a30DoXe8/edit?usp=sharing"",""สุราษฎร์ธานี!M249"")"),95030.9599999999)</f>
        <v>95030.959999999905</v>
      </c>
      <c r="O354" s="176">
        <f t="shared" ca="1" si="105"/>
        <v>30.540866435274427</v>
      </c>
      <c r="P354" s="176"/>
    </row>
    <row r="355" spans="1:16" ht="21.75" customHeight="1" x14ac:dyDescent="0.35">
      <c r="A355" s="381"/>
      <c r="B355" s="382"/>
      <c r="C355" s="163"/>
      <c r="D355" s="383"/>
      <c r="E355" s="165"/>
      <c r="F355" s="165"/>
      <c r="G355" s="384" t="s">
        <v>131</v>
      </c>
      <c r="H355" s="167" t="s">
        <v>12</v>
      </c>
      <c r="I355" s="195"/>
      <c r="J355" s="195"/>
      <c r="K355" s="231"/>
      <c r="L355" s="176"/>
      <c r="M355" s="176"/>
      <c r="N355" s="385">
        <f ca="1">IFERROR(__xludf.DUMMYFUNCTION("IMPORTRANGE(""https://docs.google.com/spreadsheets/d/1IYY_tgx_IHuhSq3AJ5eI5OnqOPBNLWSHKh2a30DoXe8/edit?usp=sharing"",""สุราษฎร์ธานี!M250"")"),27589)</f>
        <v>27589</v>
      </c>
      <c r="O355" s="176"/>
      <c r="P355" s="176"/>
    </row>
    <row r="356" spans="1:16" ht="21.75" customHeight="1" x14ac:dyDescent="0.35">
      <c r="A356" s="381"/>
      <c r="B356" s="382"/>
      <c r="C356" s="163"/>
      <c r="D356" s="383"/>
      <c r="E356" s="165"/>
      <c r="F356" s="165"/>
      <c r="G356" s="384" t="s">
        <v>132</v>
      </c>
      <c r="H356" s="167" t="s">
        <v>12</v>
      </c>
      <c r="I356" s="195"/>
      <c r="J356" s="195"/>
      <c r="K356" s="231"/>
      <c r="L356" s="176"/>
      <c r="M356" s="176"/>
      <c r="N356" s="385">
        <f ca="1">IFERROR(__xludf.DUMMYFUNCTION("IMPORTRANGE(""https://docs.google.com/spreadsheets/d/1IYY_tgx_IHuhSq3AJ5eI5OnqOPBNLWSHKh2a30DoXe8/edit?usp=sharing"",""สุราษฎร์ธานี!M251"")"),0)</f>
        <v>0</v>
      </c>
      <c r="O356" s="176"/>
      <c r="P356" s="176"/>
    </row>
    <row r="357" spans="1:16" ht="21.75" customHeight="1" x14ac:dyDescent="0.35">
      <c r="A357" s="381"/>
      <c r="B357" s="382"/>
      <c r="C357" s="163"/>
      <c r="D357" s="383"/>
      <c r="E357" s="165"/>
      <c r="F357" s="165"/>
      <c r="G357" s="384" t="s">
        <v>133</v>
      </c>
      <c r="H357" s="167" t="s">
        <v>12</v>
      </c>
      <c r="I357" s="195"/>
      <c r="J357" s="195"/>
      <c r="K357" s="231"/>
      <c r="L357" s="176"/>
      <c r="M357" s="176"/>
      <c r="N357" s="385">
        <f ca="1">IFERROR(__xludf.DUMMYFUNCTION("IMPORTRANGE(""https://docs.google.com/spreadsheets/d/1IYY_tgx_IHuhSq3AJ5eI5OnqOPBNLWSHKh2a30DoXe8/edit?usp=sharing"",""สุราษฎร์ธานี!M252"")"),62441.96)</f>
        <v>62441.96</v>
      </c>
      <c r="O357" s="176"/>
      <c r="P357" s="176"/>
    </row>
    <row r="358" spans="1:16" ht="21.75" customHeight="1" x14ac:dyDescent="0.35">
      <c r="A358" s="381"/>
      <c r="B358" s="382"/>
      <c r="C358" s="163"/>
      <c r="D358" s="383"/>
      <c r="E358" s="165"/>
      <c r="F358" s="165"/>
      <c r="G358" s="384" t="s">
        <v>134</v>
      </c>
      <c r="H358" s="167" t="s">
        <v>12</v>
      </c>
      <c r="I358" s="195"/>
      <c r="J358" s="195"/>
      <c r="K358" s="231"/>
      <c r="L358" s="176"/>
      <c r="M358" s="176"/>
      <c r="N358" s="385">
        <f ca="1">IFERROR(__xludf.DUMMYFUNCTION("IMPORTRANGE(""https://docs.google.com/spreadsheets/d/1IYY_tgx_IHuhSq3AJ5eI5OnqOPBNLWSHKh2a30DoXe8/edit?usp=sharing"",""สุราษฎร์ธานี!M253"")"),5000)</f>
        <v>5000</v>
      </c>
      <c r="O358" s="176"/>
      <c r="P358" s="176"/>
    </row>
    <row r="359" spans="1:16" ht="21.75" customHeight="1" x14ac:dyDescent="0.35">
      <c r="A359" s="183"/>
      <c r="B359" s="184"/>
      <c r="C359" s="163" t="s">
        <v>16</v>
      </c>
      <c r="D359" s="185" t="s">
        <v>44</v>
      </c>
      <c r="E359" s="186"/>
      <c r="F359" s="186"/>
      <c r="G359" s="187"/>
      <c r="H359" s="188"/>
      <c r="I359" s="168"/>
      <c r="J359" s="168"/>
      <c r="K359" s="169"/>
      <c r="L359" s="189"/>
      <c r="M359" s="189"/>
      <c r="N359" s="189"/>
      <c r="O359" s="189"/>
      <c r="P359" s="189"/>
    </row>
    <row r="360" spans="1:16" ht="21.75" customHeight="1" x14ac:dyDescent="0.35">
      <c r="A360" s="183"/>
      <c r="B360" s="184"/>
      <c r="C360" s="184"/>
      <c r="D360" s="190">
        <v>1</v>
      </c>
      <c r="E360" s="191" t="s">
        <v>45</v>
      </c>
      <c r="F360" s="192"/>
      <c r="G360" s="193"/>
      <c r="H360" s="194"/>
      <c r="I360" s="195"/>
      <c r="J360" s="205">
        <f ca="1">IFERROR(__xludf.DUMMYFUNCTION("IMPORTRANGE(""https://docs.google.com/spreadsheets/d/1IYY_tgx_IHuhSq3AJ5eI5OnqOPBNLWSHKh2a30DoXe8/edit?usp=sharing"",""สุราษฎร์ธานี!J255"")"),0)</f>
        <v>0</v>
      </c>
      <c r="K360" s="169"/>
      <c r="L360" s="189"/>
      <c r="M360" s="189"/>
      <c r="N360" s="189"/>
      <c r="O360" s="189"/>
      <c r="P360" s="189"/>
    </row>
    <row r="361" spans="1:16" ht="21.75" customHeight="1" x14ac:dyDescent="0.35">
      <c r="A361" s="183"/>
      <c r="B361" s="184"/>
      <c r="C361" s="184"/>
      <c r="D361" s="197">
        <v>2</v>
      </c>
      <c r="E361" s="198" t="s">
        <v>46</v>
      </c>
      <c r="F361" s="199"/>
      <c r="G361" s="200"/>
      <c r="H361" s="194"/>
      <c r="I361" s="195"/>
      <c r="J361" s="196">
        <f ca="1">IFERROR(__xludf.DUMMYFUNCTION("IMPORTRANGE(""https://docs.google.com/spreadsheets/d/1IYY_tgx_IHuhSq3AJ5eI5OnqOPBNLWSHKh2a30DoXe8/edit?usp=sharing"",""สุราษฎร์ธานี!J256"")"),1)</f>
        <v>1</v>
      </c>
      <c r="K361" s="169"/>
      <c r="L361" s="189" t="s">
        <v>40</v>
      </c>
      <c r="M361" s="189"/>
      <c r="N361" s="189" t="s">
        <v>40</v>
      </c>
      <c r="O361" s="189"/>
      <c r="P361" s="189"/>
    </row>
    <row r="362" spans="1:16" ht="21.75" customHeight="1" x14ac:dyDescent="0.35">
      <c r="A362" s="183"/>
      <c r="B362" s="184"/>
      <c r="C362" s="184"/>
      <c r="D362" s="201"/>
      <c r="E362" s="202" t="s">
        <v>47</v>
      </c>
      <c r="F362" s="203"/>
      <c r="G362" s="204"/>
      <c r="H362" s="194"/>
      <c r="I362" s="195"/>
      <c r="J362" s="196">
        <f ca="1">IFERROR(__xludf.DUMMYFUNCTION("IMPORTRANGE(""https://docs.google.com/spreadsheets/d/1IYY_tgx_IHuhSq3AJ5eI5OnqOPBNLWSHKh2a30DoXe8/edit?usp=sharing"",""สุราษฎร์ธานี!J257"")"),1)</f>
        <v>1</v>
      </c>
      <c r="K362" s="169"/>
      <c r="L362" s="189"/>
      <c r="M362" s="189"/>
      <c r="N362" s="189"/>
      <c r="O362" s="189"/>
      <c r="P362" s="189"/>
    </row>
    <row r="363" spans="1:16" ht="21.75" customHeight="1" x14ac:dyDescent="0.35">
      <c r="A363" s="183"/>
      <c r="B363" s="184"/>
      <c r="C363" s="184"/>
      <c r="D363" s="201"/>
      <c r="E363" s="202" t="s">
        <v>48</v>
      </c>
      <c r="F363" s="203"/>
      <c r="G363" s="204"/>
      <c r="H363" s="194"/>
      <c r="I363" s="195"/>
      <c r="J363" s="205">
        <f ca="1">IFERROR(__xludf.DUMMYFUNCTION("IMPORTRANGE(""https://docs.google.com/spreadsheets/d/1IYY_tgx_IHuhSq3AJ5eI5OnqOPBNLWSHKh2a30DoXe8/edit?usp=sharing"",""สุราษฎร์ธานี!J258"")"),1)</f>
        <v>1</v>
      </c>
      <c r="K363" s="169"/>
      <c r="L363" s="189"/>
      <c r="M363" s="189"/>
      <c r="N363" s="189"/>
      <c r="O363" s="189"/>
      <c r="P363" s="189"/>
    </row>
    <row r="364" spans="1:16" ht="21.75" hidden="1" customHeight="1" x14ac:dyDescent="0.35">
      <c r="A364" s="183"/>
      <c r="B364" s="184"/>
      <c r="C364" s="184"/>
      <c r="D364" s="201"/>
      <c r="E364" s="206"/>
      <c r="F364" s="202" t="s">
        <v>70</v>
      </c>
      <c r="G364" s="204"/>
      <c r="H364" s="188"/>
      <c r="I364" s="195"/>
      <c r="J364" s="195">
        <f ca="1">IFERROR(__xludf.DUMMYFUNCTION("IMPORTRANGE(""https://docs.google.com/spreadsheets/d/1IYY_tgx_IHuhSq3AJ5eI5OnqOPBNLWSHKh2a30DoXe8/edit?usp=sharing"",""สุราษฎร์ธานี!J166"")"),0)</f>
        <v>0</v>
      </c>
      <c r="K364" s="169"/>
      <c r="L364" s="189"/>
      <c r="M364" s="189"/>
      <c r="N364" s="189"/>
      <c r="O364" s="189"/>
      <c r="P364" s="189"/>
    </row>
    <row r="365" spans="1:16" ht="21.75" hidden="1" customHeight="1" x14ac:dyDescent="0.35">
      <c r="A365" s="183"/>
      <c r="B365" s="184"/>
      <c r="C365" s="184"/>
      <c r="D365" s="201"/>
      <c r="E365" s="206"/>
      <c r="F365" s="203"/>
      <c r="G365" s="233" t="s">
        <v>135</v>
      </c>
      <c r="H365" s="188" t="s">
        <v>37</v>
      </c>
      <c r="I365" s="195">
        <f ca="1">IFERROR(__xludf.DUMMYFUNCTION("IMPORTRANGE(""https://docs.google.com/spreadsheets/d/1C3CXT74ZlgGe6_JY_1olB1XN4rF0dxEuIIF-xsYjHgg/edit?usp=sharing"",""งบกองทุน!f63"")"),0)</f>
        <v>0</v>
      </c>
      <c r="J365" s="195">
        <f ca="1">IFERROR(__xludf.DUMMYFUNCTION("IMPORTRANGE(""https://docs.google.com/spreadsheets/d/1IYY_tgx_IHuhSq3AJ5eI5OnqOPBNLWSHKh2a30DoXe8/edit?usp=sharing"",""สุราษฎร์ธานี!J166"")"),0)</f>
        <v>0</v>
      </c>
      <c r="K365" s="169">
        <f ca="1">IF(I365&gt;0,J365*100/I365,0)</f>
        <v>0</v>
      </c>
      <c r="L365" s="189"/>
      <c r="M365" s="189"/>
      <c r="N365" s="189"/>
      <c r="O365" s="189"/>
      <c r="P365" s="189"/>
    </row>
    <row r="366" spans="1:16" ht="21.75" hidden="1" customHeight="1" x14ac:dyDescent="0.35">
      <c r="A366" s="183"/>
      <c r="B366" s="184"/>
      <c r="C366" s="184"/>
      <c r="D366" s="201"/>
      <c r="E366" s="206"/>
      <c r="F366" s="203"/>
      <c r="G366" s="204" t="s">
        <v>136</v>
      </c>
      <c r="H366" s="188"/>
      <c r="I366" s="168"/>
      <c r="J366" s="195">
        <f ca="1">IFERROR(__xludf.DUMMYFUNCTION("IMPORTRANGE(""https://docs.google.com/spreadsheets/d/1IYY_tgx_IHuhSq3AJ5eI5OnqOPBNLWSHKh2a30DoXe8/edit?usp=sharing"",""สุราษฎร์ธานี!J166"")"),0)</f>
        <v>0</v>
      </c>
      <c r="K366" s="169"/>
      <c r="L366" s="189"/>
      <c r="M366" s="189"/>
      <c r="N366" s="189"/>
      <c r="O366" s="189"/>
      <c r="P366" s="189"/>
    </row>
    <row r="367" spans="1:16" ht="21.75" hidden="1" customHeight="1" x14ac:dyDescent="0.35">
      <c r="A367" s="183"/>
      <c r="B367" s="184"/>
      <c r="C367" s="184"/>
      <c r="D367" s="201"/>
      <c r="E367" s="206"/>
      <c r="F367" s="203"/>
      <c r="G367" s="233" t="s">
        <v>137</v>
      </c>
      <c r="H367" s="194" t="s">
        <v>122</v>
      </c>
      <c r="I367" s="195">
        <f ca="1">SUM(I369,I371)</f>
        <v>0</v>
      </c>
      <c r="J367" s="195">
        <f ca="1">IFERROR(__xludf.DUMMYFUNCTION("IMPORTRANGE(""https://docs.google.com/spreadsheets/d/1IYY_tgx_IHuhSq3AJ5eI5OnqOPBNLWSHKh2a30DoXe8/edit?usp=sharing"",""สุราษฎร์ธานี!J166"")"),0)</f>
        <v>0</v>
      </c>
      <c r="K367" s="169">
        <f t="shared" ref="K367:K373" ca="1" si="106">IF(I367&gt;0,J367*100/I367,0)</f>
        <v>0</v>
      </c>
      <c r="L367" s="189"/>
      <c r="M367" s="189"/>
      <c r="N367" s="189"/>
      <c r="O367" s="189"/>
      <c r="P367" s="189"/>
    </row>
    <row r="368" spans="1:16" ht="21.75" customHeight="1" x14ac:dyDescent="0.35">
      <c r="A368" s="183"/>
      <c r="B368" s="184"/>
      <c r="C368" s="184"/>
      <c r="D368" s="201"/>
      <c r="E368" s="206"/>
      <c r="F368" s="386" t="s">
        <v>138</v>
      </c>
      <c r="G368" s="387"/>
      <c r="H368" s="194" t="s">
        <v>37</v>
      </c>
      <c r="I368" s="168">
        <f ca="1">IFERROR(__xludf.DUMMYFUNCTION("IMPORTRANGE(""https://docs.google.com/spreadsheets/d/1IYY_tgx_IHuhSq3AJ5eI5OnqOPBNLWSHKh2a30DoXe8/edit?usp=sharing"",""สุราษฎร์ธานี!I263"")"),40)</f>
        <v>40</v>
      </c>
      <c r="J368" s="195">
        <f ca="1">IFERROR(__xludf.DUMMYFUNCTION("IMPORTRANGE(""https://docs.google.com/spreadsheets/d/1IYY_tgx_IHuhSq3AJ5eI5OnqOPBNLWSHKh2a30DoXe8/edit?usp=sharing"",""สุราษฎร์ธานี!J263"")"),20)</f>
        <v>20</v>
      </c>
      <c r="K368" s="169">
        <f t="shared" ca="1" si="106"/>
        <v>50</v>
      </c>
      <c r="L368" s="189"/>
      <c r="M368" s="189"/>
      <c r="N368" s="189"/>
      <c r="O368" s="189"/>
      <c r="P368" s="189"/>
    </row>
    <row r="369" spans="1:16" ht="21.75" hidden="1" customHeight="1" x14ac:dyDescent="0.35">
      <c r="A369" s="183"/>
      <c r="B369" s="184"/>
      <c r="C369" s="184"/>
      <c r="D369" s="201"/>
      <c r="E369" s="206"/>
      <c r="F369" s="203"/>
      <c r="G369" s="387"/>
      <c r="H369" s="188" t="s">
        <v>122</v>
      </c>
      <c r="I369" s="168">
        <f ca="1">IFERROR(__xludf.DUMMYFUNCTION("IMPORTRANGE(""https://docs.google.com/spreadsheets/d/1IYY_tgx_IHuhSq3AJ5eI5OnqOPBNLWSHKh2a30DoXe8/edit?usp=sharing"",""สุราษฎร์ธานี!I164"")"),0)</f>
        <v>0</v>
      </c>
      <c r="J369" s="211">
        <f ca="1">IFERROR(__xludf.DUMMYFUNCTION("IMPORTRANGE(""https://docs.google.com/spreadsheets/d/1IYY_tgx_IHuhSq3AJ5eI5OnqOPBNLWSHKh2a30DoXe8/edit?usp=sharing"",""สุราษฎร์ธานี!J164"")"),0)</f>
        <v>0</v>
      </c>
      <c r="K369" s="169">
        <f t="shared" ca="1" si="106"/>
        <v>0</v>
      </c>
      <c r="L369" s="189"/>
      <c r="M369" s="189"/>
      <c r="N369" s="189"/>
      <c r="O369" s="189"/>
      <c r="P369" s="189"/>
    </row>
    <row r="370" spans="1:16" ht="21.75" customHeight="1" x14ac:dyDescent="0.35">
      <c r="A370" s="183"/>
      <c r="B370" s="184"/>
      <c r="C370" s="184"/>
      <c r="D370" s="201"/>
      <c r="E370" s="206"/>
      <c r="F370" s="203"/>
      <c r="G370" s="386" t="s">
        <v>139</v>
      </c>
      <c r="H370" s="188" t="s">
        <v>37</v>
      </c>
      <c r="I370" s="168">
        <f ca="1">IFERROR(__xludf.DUMMYFUNCTION("IMPORTRANGE(""https://docs.google.com/spreadsheets/d/1IYY_tgx_IHuhSq3AJ5eI5OnqOPBNLWSHKh2a30DoXe8/edit?usp=sharing"",""สุราษฎร์ธานี!I265"")"),40)</f>
        <v>40</v>
      </c>
      <c r="J370" s="211">
        <f ca="1">IFERROR(__xludf.DUMMYFUNCTION("IMPORTRANGE(""https://docs.google.com/spreadsheets/d/1IYY_tgx_IHuhSq3AJ5eI5OnqOPBNLWSHKh2a30DoXe8/edit?usp=sharing"",""สุราษฎร์ธานี!J265"")"),20)</f>
        <v>20</v>
      </c>
      <c r="K370" s="169">
        <f t="shared" ca="1" si="106"/>
        <v>50</v>
      </c>
      <c r="L370" s="189"/>
      <c r="M370" s="189"/>
      <c r="N370" s="189"/>
      <c r="O370" s="189"/>
      <c r="P370" s="189"/>
    </row>
    <row r="371" spans="1:16" ht="21.75" hidden="1" customHeight="1" x14ac:dyDescent="0.35">
      <c r="A371" s="183"/>
      <c r="B371" s="184"/>
      <c r="C371" s="184"/>
      <c r="D371" s="201"/>
      <c r="E371" s="206"/>
      <c r="F371" s="203"/>
      <c r="G371" s="387"/>
      <c r="H371" s="188" t="s">
        <v>122</v>
      </c>
      <c r="I371" s="168">
        <f ca="1">IFERROR(__xludf.DUMMYFUNCTION("IMPORTRANGE(""https://docs.google.com/spreadsheets/d/1IYY_tgx_IHuhSq3AJ5eI5OnqOPBNLWSHKh2a30DoXe8/edit?usp=sharing"",""สุราษฎร์ธานี!I164"")"),0)</f>
        <v>0</v>
      </c>
      <c r="J371" s="196">
        <f ca="1">IFERROR(__xludf.DUMMYFUNCTION("IMPORTRANGE(""https://docs.google.com/spreadsheets/d/1IYY_tgx_IHuhSq3AJ5eI5OnqOPBNLWSHKh2a30DoXe8/edit?usp=sharing"",""สุราษฎร์ธานี!J164"")"),0)</f>
        <v>0</v>
      </c>
      <c r="K371" s="169">
        <f t="shared" ca="1" si="106"/>
        <v>0</v>
      </c>
      <c r="L371" s="189"/>
      <c r="M371" s="189"/>
      <c r="N371" s="189"/>
      <c r="O371" s="189"/>
      <c r="P371" s="189"/>
    </row>
    <row r="372" spans="1:16" ht="21.75" customHeight="1" x14ac:dyDescent="0.35">
      <c r="A372" s="183"/>
      <c r="B372" s="184"/>
      <c r="C372" s="184"/>
      <c r="D372" s="201"/>
      <c r="E372" s="206"/>
      <c r="F372" s="203"/>
      <c r="G372" s="386" t="s">
        <v>140</v>
      </c>
      <c r="H372" s="188" t="s">
        <v>37</v>
      </c>
      <c r="I372" s="168">
        <f ca="1">IFERROR(__xludf.DUMMYFUNCTION("IMPORTRANGE(""https://docs.google.com/spreadsheets/d/1IYY_tgx_IHuhSq3AJ5eI5OnqOPBNLWSHKh2a30DoXe8/edit?usp=sharing"",""สุราษฎร์ธานี!I267"")"),40)</f>
        <v>40</v>
      </c>
      <c r="J372" s="196">
        <f ca="1">IFERROR(__xludf.DUMMYFUNCTION("IMPORTRANGE(""https://docs.google.com/spreadsheets/d/1IYY_tgx_IHuhSq3AJ5eI5OnqOPBNLWSHKh2a30DoXe8/edit?usp=sharing"",""สุราษฎร์ธานี!J267"")"),20)</f>
        <v>20</v>
      </c>
      <c r="K372" s="169">
        <f t="shared" ca="1" si="106"/>
        <v>50</v>
      </c>
      <c r="L372" s="189"/>
      <c r="M372" s="189"/>
      <c r="N372" s="189"/>
      <c r="O372" s="189"/>
      <c r="P372" s="189"/>
    </row>
    <row r="373" spans="1:16" ht="21.75" hidden="1" customHeight="1" x14ac:dyDescent="0.35">
      <c r="A373" s="183"/>
      <c r="B373" s="184"/>
      <c r="C373" s="184"/>
      <c r="D373" s="201"/>
      <c r="E373" s="206"/>
      <c r="F373" s="203"/>
      <c r="G373" s="233" t="s">
        <v>141</v>
      </c>
      <c r="H373" s="188" t="s">
        <v>37</v>
      </c>
      <c r="I373" s="195">
        <f ca="1">IFERROR(__xludf.DUMMYFUNCTION("IMPORTRANGE(""https://docs.google.com/spreadsheets/d/1IYY_tgx_IHuhSq3AJ5eI5OnqOPBNLWSHKh2a30DoXe8/edit?usp=sharing"",""สุราษฎร์ธานี!I164"")"),0)</f>
        <v>0</v>
      </c>
      <c r="J373" s="211">
        <f ca="1">IFERROR(__xludf.DUMMYFUNCTION("IMPORTRANGE(""https://docs.google.com/spreadsheets/d/1IYY_tgx_IHuhSq3AJ5eI5OnqOPBNLWSHKh2a30DoXe8/edit?usp=sharing"",""สุราษฎร์ธานี!J164"")"),0)</f>
        <v>0</v>
      </c>
      <c r="K373" s="169">
        <f t="shared" ca="1" si="106"/>
        <v>0</v>
      </c>
      <c r="L373" s="189"/>
      <c r="M373" s="189"/>
      <c r="N373" s="189"/>
      <c r="O373" s="189"/>
      <c r="P373" s="189"/>
    </row>
    <row r="374" spans="1:16" ht="21.75" hidden="1" customHeight="1" x14ac:dyDescent="0.35">
      <c r="A374" s="183"/>
      <c r="B374" s="184"/>
      <c r="C374" s="184"/>
      <c r="D374" s="201"/>
      <c r="E374" s="206"/>
      <c r="F374" s="203"/>
      <c r="G374" s="204" t="s">
        <v>142</v>
      </c>
      <c r="H374" s="188"/>
      <c r="I374" s="195">
        <f ca="1">IFERROR(__xludf.DUMMYFUNCTION("IMPORTRANGE(""https://docs.google.com/spreadsheets/d/1IYY_tgx_IHuhSq3AJ5eI5OnqOPBNLWSHKh2a30DoXe8/edit?usp=sharing"",""สุราษฎร์ธานี!I164"")"),0)</f>
        <v>0</v>
      </c>
      <c r="J374" s="195">
        <f ca="1">IFERROR(__xludf.DUMMYFUNCTION("IMPORTRANGE(""https://docs.google.com/spreadsheets/d/1IYY_tgx_IHuhSq3AJ5eI5OnqOPBNLWSHKh2a30DoXe8/edit?usp=sharing"",""สุราษฎร์ธานี!J164"")"),0)</f>
        <v>0</v>
      </c>
      <c r="K374" s="169"/>
      <c r="L374" s="189"/>
      <c r="M374" s="189"/>
      <c r="N374" s="189"/>
      <c r="O374" s="189"/>
      <c r="P374" s="189"/>
    </row>
    <row r="375" spans="1:16" ht="21.75" customHeight="1" x14ac:dyDescent="0.35">
      <c r="A375" s="183"/>
      <c r="B375" s="184"/>
      <c r="C375" s="184"/>
      <c r="D375" s="201"/>
      <c r="E375" s="203"/>
      <c r="F375" s="212" t="s">
        <v>53</v>
      </c>
      <c r="G375" s="204"/>
      <c r="H375" s="286" t="s">
        <v>122</v>
      </c>
      <c r="I375" s="195">
        <f ca="1">IFERROR(__xludf.DUMMYFUNCTION("IMPORTRANGE(""https://docs.google.com/spreadsheets/d/1IYY_tgx_IHuhSq3AJ5eI5OnqOPBNLWSHKh2a30DoXe8/edit?usp=sharing"",""สุราษฎร์ธานี!I270"")"),80)</f>
        <v>80</v>
      </c>
      <c r="J375" s="195">
        <f ca="1">IFERROR(__xludf.DUMMYFUNCTION("IMPORTRANGE(""https://docs.google.com/spreadsheets/d/1IYY_tgx_IHuhSq3AJ5eI5OnqOPBNLWSHKh2a30DoXe8/edit?usp=sharing"",""สุราษฎร์ธานี!J270"")"),0)</f>
        <v>0</v>
      </c>
      <c r="K375" s="169">
        <f t="shared" ref="K375:K377" ca="1" si="107">IF(I375&gt;0,J375*100/I375,0)</f>
        <v>0</v>
      </c>
      <c r="L375" s="189"/>
      <c r="M375" s="189"/>
      <c r="N375" s="189"/>
      <c r="O375" s="189"/>
      <c r="P375" s="189"/>
    </row>
    <row r="376" spans="1:16" ht="21.75" customHeight="1" x14ac:dyDescent="0.35">
      <c r="A376" s="183"/>
      <c r="B376" s="184"/>
      <c r="C376" s="184"/>
      <c r="D376" s="201"/>
      <c r="E376" s="203"/>
      <c r="F376" s="203"/>
      <c r="G376" s="287" t="s">
        <v>143</v>
      </c>
      <c r="H376" s="286" t="s">
        <v>122</v>
      </c>
      <c r="I376" s="195">
        <f ca="1">IFERROR(__xludf.DUMMYFUNCTION("IMPORTRANGE(""https://docs.google.com/spreadsheets/d/1IYY_tgx_IHuhSq3AJ5eI5OnqOPBNLWSHKh2a30DoXe8/edit?usp=sharing"",""สุราษฎร์ธานี!I271"")"),40)</f>
        <v>40</v>
      </c>
      <c r="J376" s="196">
        <f ca="1">IFERROR(__xludf.DUMMYFUNCTION("IMPORTRANGE(""https://docs.google.com/spreadsheets/d/1IYY_tgx_IHuhSq3AJ5eI5OnqOPBNLWSHKh2a30DoXe8/edit?usp=sharing"",""สุราษฎร์ธานี!J271"")"),0)</f>
        <v>0</v>
      </c>
      <c r="K376" s="169">
        <f t="shared" ca="1" si="107"/>
        <v>0</v>
      </c>
      <c r="L376" s="189"/>
      <c r="M376" s="189"/>
      <c r="N376" s="189"/>
      <c r="O376" s="189"/>
      <c r="P376" s="189"/>
    </row>
    <row r="377" spans="1:16" ht="21.75" customHeight="1" x14ac:dyDescent="0.35">
      <c r="A377" s="183"/>
      <c r="B377" s="184"/>
      <c r="C377" s="184"/>
      <c r="D377" s="201"/>
      <c r="E377" s="203"/>
      <c r="F377" s="203"/>
      <c r="G377" s="287" t="s">
        <v>144</v>
      </c>
      <c r="H377" s="286" t="s">
        <v>122</v>
      </c>
      <c r="I377" s="195">
        <f ca="1">IFERROR(__xludf.DUMMYFUNCTION("IMPORTRANGE(""https://docs.google.com/spreadsheets/d/1IYY_tgx_IHuhSq3AJ5eI5OnqOPBNLWSHKh2a30DoXe8/edit?usp=sharing"",""สุราษฎร์ธานี!I272"")"),40)</f>
        <v>40</v>
      </c>
      <c r="J377" s="211">
        <f ca="1">IFERROR(__xludf.DUMMYFUNCTION("IMPORTRANGE(""https://docs.google.com/spreadsheets/d/1IYY_tgx_IHuhSq3AJ5eI5OnqOPBNLWSHKh2a30DoXe8/edit?usp=sharing"",""สุราษฎร์ธานี!J272"")"),0)</f>
        <v>0</v>
      </c>
      <c r="K377" s="169">
        <f t="shared" ca="1" si="107"/>
        <v>0</v>
      </c>
      <c r="L377" s="189"/>
      <c r="M377" s="189"/>
      <c r="N377" s="189"/>
      <c r="O377" s="189"/>
      <c r="P377" s="189"/>
    </row>
    <row r="378" spans="1:16" ht="21.75" customHeight="1" x14ac:dyDescent="0.35">
      <c r="A378" s="183"/>
      <c r="B378" s="184"/>
      <c r="C378" s="184"/>
      <c r="D378" s="201"/>
      <c r="E378" s="202" t="s">
        <v>54</v>
      </c>
      <c r="F378" s="203"/>
      <c r="G378" s="204"/>
      <c r="H378" s="194"/>
      <c r="I378" s="195"/>
      <c r="J378" s="205">
        <f ca="1">IFERROR(__xludf.DUMMYFUNCTION("IMPORTRANGE(""https://docs.google.com/spreadsheets/d/1IYY_tgx_IHuhSq3AJ5eI5OnqOPBNLWSHKh2a30DoXe8/edit?usp=sharing"",""สุราษฎร์ธานี!J273"")"),0)</f>
        <v>0</v>
      </c>
      <c r="K378" s="169"/>
      <c r="L378" s="189"/>
      <c r="M378" s="189"/>
      <c r="N378" s="189"/>
      <c r="O378" s="189"/>
      <c r="P378" s="189"/>
    </row>
    <row r="379" spans="1:16" ht="21.75" customHeight="1" x14ac:dyDescent="0.35">
      <c r="A379" s="183"/>
      <c r="B379" s="184"/>
      <c r="C379" s="184"/>
      <c r="D379" s="213">
        <v>3</v>
      </c>
      <c r="E379" s="214" t="s">
        <v>55</v>
      </c>
      <c r="F379" s="215"/>
      <c r="G379" s="216"/>
      <c r="H379" s="194"/>
      <c r="I379" s="195"/>
      <c r="J379" s="217">
        <f ca="1">IFERROR(__xludf.DUMMYFUNCTION("IMPORTRANGE(""https://docs.google.com/spreadsheets/d/1IYY_tgx_IHuhSq3AJ5eI5OnqOPBNLWSHKh2a30DoXe8/edit?usp=sharing"",""สุราษฎร์ธานี!J274"")"),0)</f>
        <v>0</v>
      </c>
      <c r="K379" s="169"/>
      <c r="L379" s="189"/>
      <c r="M379" s="189"/>
      <c r="N379" s="189"/>
      <c r="O379" s="189"/>
      <c r="P379" s="189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IFERROR(__xludf.DUMMYFUNCTION("IMPORTRANGE(""https://docs.google.com/spreadsheets/d/1IYY_tgx_IHuhSq3AJ5eI5OnqOPBNLWSHKh2a30DoXe8/edit?usp=sharing"",""สุราษฎร์ธานี!I275"")"),1000)</f>
        <v>1000</v>
      </c>
      <c r="J380" s="377">
        <f ca="1">IFERROR(__xludf.DUMMYFUNCTION("IMPORTRANGE(""https://docs.google.com/spreadsheets/d/1IYY_tgx_IHuhSq3AJ5eI5OnqOPBNLWSHKh2a30DoXe8/edit?usp=sharing"",""สุราษฎร์ธานี!J275"")"),0)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IFERROR(__xludf.DUMMYFUNCTION("IMPORTRANGE(""https://docs.google.com/spreadsheets/d/1IYY_tgx_IHuhSq3AJ5eI5OnqOPBNLWSHKh2a30DoXe8/edit?usp=sharing"",""สุราษฎร์ธานี!L275"")"),1028520)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IFERROR(__xludf.DUMMYFUNCTION("IMPORTRANGE(""https://docs.google.com/spreadsheets/d/1IYY_tgx_IHuhSq3AJ5eI5OnqOPBNLWSHKh2a30DoXe8/edit?usp=sharing"",""สุราษฎร์ธานี!M275"")"),189081.169999999)</f>
        <v>189081.16999999899</v>
      </c>
      <c r="O380" s="379">
        <f ca="1">+IF(L380&gt;0,N380*100/L380,0)</f>
        <v>18.383810718313594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IFERROR(__xludf.DUMMYFUNCTION("IMPORTRANGE(""https://docs.google.com/spreadsheets/d/1IYY_tgx_IHuhSq3AJ5eI5OnqOPBNLWSHKh2a30DoXe8/edit?usp=sharing"",""สุราษฎร์ธานี!I276"")"),100)</f>
        <v>100</v>
      </c>
      <c r="J381" s="377">
        <f ca="1">IFERROR(__xludf.DUMMYFUNCTION("IMPORTRANGE(""https://docs.google.com/spreadsheets/d/1IYY_tgx_IHuhSq3AJ5eI5OnqOPBNLWSHKh2a30DoXe8/edit?usp=sharing"",""สุราษฎร์ธานี!J276"")"),50)</f>
        <v>50</v>
      </c>
      <c r="K381" s="378">
        <f t="shared" ca="1" si="108"/>
        <v>50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164" t="s">
        <v>38</v>
      </c>
      <c r="E382" s="165"/>
      <c r="F382" s="165"/>
      <c r="G382" s="166" t="s">
        <v>39</v>
      </c>
      <c r="H382" s="167" t="s">
        <v>12</v>
      </c>
      <c r="I382" s="168" t="s">
        <v>40</v>
      </c>
      <c r="J382" s="168"/>
      <c r="K382" s="169"/>
      <c r="L382" s="170">
        <f ca="1">IFERROR(__xludf.DUMMYFUNCTION("IMPORTRANGE(""https://docs.google.com/spreadsheets/d/1IYY_tgx_IHuhSq3AJ5eI5OnqOPBNLWSHKh2a30DoXe8/edit?usp=sharing"",""สุราษฎร์ธานี!L277"")"),0)</f>
        <v>0</v>
      </c>
      <c r="M382" s="170"/>
      <c r="N382" s="170">
        <f ca="1">IFERROR(__xludf.DUMMYFUNCTION("IMPORTRANGE(""https://docs.google.com/spreadsheets/d/1IYY_tgx_IHuhSq3AJ5eI5OnqOPBNLWSHKh2a30DoXe8/edit?usp=sharing"",""สุราษฎร์ธานี!M277"")"),0)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 x14ac:dyDescent="0.35">
      <c r="A383" s="162"/>
      <c r="B383" s="163"/>
      <c r="C383" s="163"/>
      <c r="D383" s="172"/>
      <c r="E383" s="165"/>
      <c r="F383" s="165" t="s">
        <v>40</v>
      </c>
      <c r="G383" s="166" t="s">
        <v>41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IFERROR(__xludf.DUMMYFUNCTION("IMPORTRANGE(""https://docs.google.com/spreadsheets/d/1IYY_tgx_IHuhSq3AJ5eI5OnqOPBNLWSHKh2a30DoXe8/edit?usp=sharing"",""สุราษฎร์ธานี!L278"")"),1028520)</f>
        <v>1028520</v>
      </c>
      <c r="M383" s="171"/>
      <c r="N383" s="171">
        <f ca="1">IFERROR(__xludf.DUMMYFUNCTION("IMPORTRANGE(""https://docs.google.com/spreadsheets/d/1IYY_tgx_IHuhSq3AJ5eI5OnqOPBNLWSHKh2a30DoXe8/edit?usp=sharing"",""สุราษฎร์ธานี!M278"")"),189081.169999999)</f>
        <v>189081.16999999899</v>
      </c>
      <c r="O383" s="171">
        <f t="shared" ca="1" si="109"/>
        <v>18.383810718313594</v>
      </c>
      <c r="P383" s="171"/>
    </row>
    <row r="384" spans="1:16" ht="21.75" customHeight="1" x14ac:dyDescent="0.35">
      <c r="A384" s="162"/>
      <c r="B384" s="163"/>
      <c r="C384" s="163"/>
      <c r="D384" s="172"/>
      <c r="E384" s="165"/>
      <c r="F384" s="165"/>
      <c r="G384" s="380" t="s">
        <v>129</v>
      </c>
      <c r="H384" s="167" t="s">
        <v>12</v>
      </c>
      <c r="I384" s="168"/>
      <c r="J384" s="168"/>
      <c r="K384" s="169"/>
      <c r="L384" s="176">
        <f ca="1">IFERROR(__xludf.DUMMYFUNCTION("IMPORTRANGE(""https://docs.google.com/spreadsheets/d/1IYY_tgx_IHuhSq3AJ5eI5OnqOPBNLWSHKh2a30DoXe8/edit?usp=sharing"",""สุราษฎร์ธานี!L279"")"),0)</f>
        <v>0</v>
      </c>
      <c r="M384" s="176"/>
      <c r="N384" s="176">
        <f ca="1">IFERROR(__xludf.DUMMYFUNCTION("IMPORTRANGE(""https://docs.google.com/spreadsheets/d/1IYY_tgx_IHuhSq3AJ5eI5OnqOPBNLWSHKh2a30DoXe8/edit?usp=sharing"",""สุราษฎร์ธานี!M279"")"),0)</f>
        <v>0</v>
      </c>
      <c r="O384" s="176">
        <f t="shared" ca="1" si="109"/>
        <v>0</v>
      </c>
      <c r="P384" s="176"/>
    </row>
    <row r="385" spans="1:16" ht="21.75" customHeight="1" x14ac:dyDescent="0.35">
      <c r="A385" s="162"/>
      <c r="B385" s="163"/>
      <c r="C385" s="163"/>
      <c r="D385" s="172"/>
      <c r="E385" s="165"/>
      <c r="F385" s="165"/>
      <c r="G385" s="380" t="s">
        <v>130</v>
      </c>
      <c r="H385" s="167" t="s">
        <v>12</v>
      </c>
      <c r="I385" s="168"/>
      <c r="J385" s="168"/>
      <c r="K385" s="169"/>
      <c r="L385" s="176">
        <f ca="1">IFERROR(__xludf.DUMMYFUNCTION("IMPORTRANGE(""https://docs.google.com/spreadsheets/d/1IYY_tgx_IHuhSq3AJ5eI5OnqOPBNLWSHKh2a30DoXe8/edit?usp=sharing"",""สุราษฎร์ธานี!L280"")"),1028520)</f>
        <v>1028520</v>
      </c>
      <c r="M385" s="176"/>
      <c r="N385" s="173">
        <f ca="1">IFERROR(__xludf.DUMMYFUNCTION("IMPORTRANGE(""https://docs.google.com/spreadsheets/d/1IYY_tgx_IHuhSq3AJ5eI5OnqOPBNLWSHKh2a30DoXe8/edit?usp=sharing"",""สุราษฎร์ธานี!M280"")"),189081.169999999)</f>
        <v>189081.16999999899</v>
      </c>
      <c r="O385" s="176">
        <f t="shared" ca="1" si="109"/>
        <v>18.383810718313594</v>
      </c>
      <c r="P385" s="176"/>
    </row>
    <row r="386" spans="1:16" ht="21.75" customHeight="1" x14ac:dyDescent="0.35">
      <c r="A386" s="381"/>
      <c r="B386" s="382"/>
      <c r="C386" s="163"/>
      <c r="D386" s="383"/>
      <c r="E386" s="165"/>
      <c r="F386" s="165"/>
      <c r="G386" s="384" t="s">
        <v>131</v>
      </c>
      <c r="H386" s="167" t="s">
        <v>12</v>
      </c>
      <c r="I386" s="195"/>
      <c r="J386" s="195"/>
      <c r="K386" s="231"/>
      <c r="L386" s="176"/>
      <c r="M386" s="176"/>
      <c r="N386" s="385">
        <f ca="1">IFERROR(__xludf.DUMMYFUNCTION("IMPORTRANGE(""https://docs.google.com/spreadsheets/d/1IYY_tgx_IHuhSq3AJ5eI5OnqOPBNLWSHKh2a30DoXe8/edit?usp=sharing"",""สุราษฎร์ธานี!M281"")"),127999)</f>
        <v>127999</v>
      </c>
      <c r="O386" s="176"/>
      <c r="P386" s="176"/>
    </row>
    <row r="387" spans="1:16" ht="21.75" customHeight="1" x14ac:dyDescent="0.35">
      <c r="A387" s="381"/>
      <c r="B387" s="382"/>
      <c r="C387" s="163"/>
      <c r="D387" s="383"/>
      <c r="E387" s="165"/>
      <c r="F387" s="165"/>
      <c r="G387" s="384" t="s">
        <v>132</v>
      </c>
      <c r="H387" s="167" t="s">
        <v>12</v>
      </c>
      <c r="I387" s="195"/>
      <c r="J387" s="195"/>
      <c r="K387" s="231"/>
      <c r="L387" s="176"/>
      <c r="M387" s="176"/>
      <c r="N387" s="385">
        <f ca="1">IFERROR(__xludf.DUMMYFUNCTION("IMPORTRANGE(""https://docs.google.com/spreadsheets/d/1IYY_tgx_IHuhSq3AJ5eI5OnqOPBNLWSHKh2a30DoXe8/edit?usp=sharing"",""สุราษฎร์ธานี!M282"")"),0)</f>
        <v>0</v>
      </c>
      <c r="O387" s="176"/>
      <c r="P387" s="176"/>
    </row>
    <row r="388" spans="1:16" ht="21.75" customHeight="1" x14ac:dyDescent="0.35">
      <c r="A388" s="381"/>
      <c r="B388" s="382"/>
      <c r="C388" s="163"/>
      <c r="D388" s="383"/>
      <c r="E388" s="165"/>
      <c r="F388" s="165"/>
      <c r="G388" s="384" t="s">
        <v>133</v>
      </c>
      <c r="H388" s="167" t="s">
        <v>12</v>
      </c>
      <c r="I388" s="195"/>
      <c r="J388" s="195"/>
      <c r="K388" s="231"/>
      <c r="L388" s="176"/>
      <c r="M388" s="176"/>
      <c r="N388" s="385">
        <f ca="1">IFERROR(__xludf.DUMMYFUNCTION("IMPORTRANGE(""https://docs.google.com/spreadsheets/d/1IYY_tgx_IHuhSq3AJ5eI5OnqOPBNLWSHKh2a30DoXe8/edit?usp=sharing"",""สุราษฎร์ธานี!M283"")"),53202.17)</f>
        <v>53202.17</v>
      </c>
      <c r="O388" s="176"/>
      <c r="P388" s="176"/>
    </row>
    <row r="389" spans="1:16" ht="21.75" customHeight="1" x14ac:dyDescent="0.35">
      <c r="A389" s="381"/>
      <c r="B389" s="382"/>
      <c r="C389" s="163"/>
      <c r="D389" s="383"/>
      <c r="E389" s="165"/>
      <c r="F389" s="165"/>
      <c r="G389" s="384" t="s">
        <v>134</v>
      </c>
      <c r="H389" s="167" t="s">
        <v>12</v>
      </c>
      <c r="I389" s="195"/>
      <c r="J389" s="195"/>
      <c r="K389" s="231"/>
      <c r="L389" s="176"/>
      <c r="M389" s="176"/>
      <c r="N389" s="385">
        <f ca="1">IFERROR(__xludf.DUMMYFUNCTION("IMPORTRANGE(""https://docs.google.com/spreadsheets/d/1IYY_tgx_IHuhSq3AJ5eI5OnqOPBNLWSHKh2a30DoXe8/edit?usp=sharing"",""สุราษฎร์ธานี!M284"")"),7880)</f>
        <v>7880</v>
      </c>
      <c r="O389" s="176"/>
      <c r="P389" s="176"/>
    </row>
    <row r="390" spans="1:16" ht="21.75" customHeight="1" x14ac:dyDescent="0.35">
      <c r="A390" s="183"/>
      <c r="B390" s="184"/>
      <c r="C390" s="163" t="s">
        <v>16</v>
      </c>
      <c r="D390" s="185" t="s">
        <v>44</v>
      </c>
      <c r="E390" s="186"/>
      <c r="F390" s="186"/>
      <c r="G390" s="187"/>
      <c r="H390" s="188"/>
      <c r="I390" s="168"/>
      <c r="J390" s="168"/>
      <c r="K390" s="169"/>
      <c r="L390" s="189"/>
      <c r="M390" s="189"/>
      <c r="N390" s="189"/>
      <c r="O390" s="189"/>
      <c r="P390" s="189"/>
    </row>
    <row r="391" spans="1:16" ht="21.75" customHeight="1" x14ac:dyDescent="0.35">
      <c r="A391" s="183"/>
      <c r="B391" s="184"/>
      <c r="C391" s="184"/>
      <c r="D391" s="190">
        <v>1</v>
      </c>
      <c r="E391" s="191" t="s">
        <v>45</v>
      </c>
      <c r="F391" s="192"/>
      <c r="G391" s="193"/>
      <c r="H391" s="194"/>
      <c r="I391" s="195"/>
      <c r="J391" s="205">
        <f ca="1">IFERROR(__xludf.DUMMYFUNCTION("IMPORTRANGE(""https://docs.google.com/spreadsheets/d/1IYY_tgx_IHuhSq3AJ5eI5OnqOPBNLWSHKh2a30DoXe8/edit?usp=sharing"",""สุราษฎร์ธานี!J286"")"),0)</f>
        <v>0</v>
      </c>
      <c r="K391" s="169"/>
      <c r="L391" s="189"/>
      <c r="M391" s="189"/>
      <c r="N391" s="189"/>
      <c r="O391" s="189"/>
      <c r="P391" s="189"/>
    </row>
    <row r="392" spans="1:16" ht="21.75" customHeight="1" x14ac:dyDescent="0.35">
      <c r="A392" s="183"/>
      <c r="B392" s="184"/>
      <c r="C392" s="184"/>
      <c r="D392" s="197">
        <v>2</v>
      </c>
      <c r="E392" s="198" t="s">
        <v>46</v>
      </c>
      <c r="F392" s="199"/>
      <c r="G392" s="200"/>
      <c r="H392" s="194"/>
      <c r="I392" s="195"/>
      <c r="J392" s="196">
        <f ca="1">IFERROR(__xludf.DUMMYFUNCTION("IMPORTRANGE(""https://docs.google.com/spreadsheets/d/1IYY_tgx_IHuhSq3AJ5eI5OnqOPBNLWSHKh2a30DoXe8/edit?usp=sharing"",""สุราษฎร์ธานี!J287"")"),1)</f>
        <v>1</v>
      </c>
      <c r="K392" s="169"/>
      <c r="L392" s="189" t="s">
        <v>40</v>
      </c>
      <c r="M392" s="189"/>
      <c r="N392" s="189" t="s">
        <v>40</v>
      </c>
      <c r="O392" s="189"/>
      <c r="P392" s="189"/>
    </row>
    <row r="393" spans="1:16" ht="21.75" customHeight="1" x14ac:dyDescent="0.35">
      <c r="A393" s="183"/>
      <c r="B393" s="184"/>
      <c r="C393" s="184"/>
      <c r="D393" s="201"/>
      <c r="E393" s="202" t="s">
        <v>47</v>
      </c>
      <c r="F393" s="203"/>
      <c r="G393" s="204"/>
      <c r="H393" s="194"/>
      <c r="I393" s="195"/>
      <c r="J393" s="196">
        <f ca="1">IFERROR(__xludf.DUMMYFUNCTION("IMPORTRANGE(""https://docs.google.com/spreadsheets/d/1IYY_tgx_IHuhSq3AJ5eI5OnqOPBNLWSHKh2a30DoXe8/edit?usp=sharing"",""สุราษฎร์ธานี!J288"")"),1)</f>
        <v>1</v>
      </c>
      <c r="K393" s="169"/>
      <c r="L393" s="189"/>
      <c r="M393" s="189"/>
      <c r="N393" s="189"/>
      <c r="O393" s="189"/>
      <c r="P393" s="189"/>
    </row>
    <row r="394" spans="1:16" ht="21.75" customHeight="1" x14ac:dyDescent="0.35">
      <c r="A394" s="183"/>
      <c r="B394" s="184"/>
      <c r="C394" s="184"/>
      <c r="D394" s="201"/>
      <c r="E394" s="202" t="s">
        <v>48</v>
      </c>
      <c r="F394" s="203"/>
      <c r="G394" s="204"/>
      <c r="H394" s="194"/>
      <c r="I394" s="195"/>
      <c r="J394" s="205">
        <f ca="1">IFERROR(__xludf.DUMMYFUNCTION("IMPORTRANGE(""https://docs.google.com/spreadsheets/d/1IYY_tgx_IHuhSq3AJ5eI5OnqOPBNLWSHKh2a30DoXe8/edit?usp=sharing"",""สุราษฎร์ธานี!J289"")"),1)</f>
        <v>1</v>
      </c>
      <c r="K394" s="169"/>
      <c r="L394" s="189"/>
      <c r="M394" s="189"/>
      <c r="N394" s="189"/>
      <c r="O394" s="189"/>
      <c r="P394" s="189"/>
    </row>
    <row r="395" spans="1:16" ht="21.75" customHeight="1" x14ac:dyDescent="0.35">
      <c r="A395" s="183"/>
      <c r="B395" s="184"/>
      <c r="C395" s="184"/>
      <c r="D395" s="201"/>
      <c r="E395" s="206"/>
      <c r="F395" s="202" t="s">
        <v>146</v>
      </c>
      <c r="G395" s="203"/>
      <c r="H395" s="194"/>
      <c r="I395" s="195"/>
      <c r="J395" s="195"/>
      <c r="K395" s="169"/>
      <c r="L395" s="189"/>
      <c r="M395" s="189"/>
      <c r="N395" s="189"/>
      <c r="O395" s="189"/>
      <c r="P395" s="189"/>
    </row>
    <row r="396" spans="1:16" ht="21.75" customHeight="1" x14ac:dyDescent="0.35">
      <c r="A396" s="183"/>
      <c r="B396" s="184"/>
      <c r="C396" s="184"/>
      <c r="D396" s="201"/>
      <c r="E396" s="206"/>
      <c r="F396" s="203"/>
      <c r="G396" s="299" t="s">
        <v>70</v>
      </c>
      <c r="H396" s="194" t="s">
        <v>37</v>
      </c>
      <c r="I396" s="195">
        <f ca="1">IFERROR(__xludf.DUMMYFUNCTION("IMPORTRANGE(""https://docs.google.com/spreadsheets/d/1IYY_tgx_IHuhSq3AJ5eI5OnqOPBNLWSHKh2a30DoXe8/edit?usp=sharing"",""สุราษฎร์ธานี!I291"")"),100)</f>
        <v>100</v>
      </c>
      <c r="J396" s="205">
        <f ca="1">IFERROR(__xludf.DUMMYFUNCTION("IMPORTRANGE(""https://docs.google.com/spreadsheets/d/1IYY_tgx_IHuhSq3AJ5eI5OnqOPBNLWSHKh2a30DoXe8/edit?usp=sharing"",""สุราษฎร์ธานี!J291"")"),50)</f>
        <v>50</v>
      </c>
      <c r="K396" s="169">
        <f t="shared" ref="K396:K398" ca="1" si="110">IF(I396&gt;0,J396*100/I396,0)</f>
        <v>50</v>
      </c>
      <c r="L396" s="189"/>
      <c r="M396" s="189"/>
      <c r="N396" s="189"/>
      <c r="O396" s="189"/>
      <c r="P396" s="189"/>
    </row>
    <row r="397" spans="1:16" ht="21.75" customHeight="1" x14ac:dyDescent="0.35">
      <c r="A397" s="183"/>
      <c r="B397" s="184"/>
      <c r="C397" s="184"/>
      <c r="D397" s="201"/>
      <c r="E397" s="206"/>
      <c r="F397" s="203"/>
      <c r="G397" s="204" t="s">
        <v>53</v>
      </c>
      <c r="H397" s="194" t="s">
        <v>122</v>
      </c>
      <c r="I397" s="195">
        <f ca="1">IFERROR(__xludf.DUMMYFUNCTION("IMPORTRANGE(""https://docs.google.com/spreadsheets/d/1IYY_tgx_IHuhSq3AJ5eI5OnqOPBNLWSHKh2a30DoXe8/edit?usp=sharing"",""สุราษฎร์ธานี!I292"")"),1000)</f>
        <v>1000</v>
      </c>
      <c r="J397" s="205">
        <f ca="1">IFERROR(__xludf.DUMMYFUNCTION("IMPORTRANGE(""https://docs.google.com/spreadsheets/d/1IYY_tgx_IHuhSq3AJ5eI5OnqOPBNLWSHKh2a30DoXe8/edit?usp=sharing"",""สุราษฎร์ธานี!J292"")"),0)</f>
        <v>0</v>
      </c>
      <c r="K397" s="169">
        <f t="shared" ca="1" si="110"/>
        <v>0</v>
      </c>
      <c r="L397" s="189"/>
      <c r="M397" s="189"/>
      <c r="N397" s="189"/>
      <c r="O397" s="189"/>
      <c r="P397" s="189"/>
    </row>
    <row r="398" spans="1:16" ht="21.75" customHeight="1" x14ac:dyDescent="0.35">
      <c r="A398" s="183"/>
      <c r="B398" s="184"/>
      <c r="C398" s="184"/>
      <c r="D398" s="201"/>
      <c r="E398" s="206"/>
      <c r="F398" s="203"/>
      <c r="G398" s="204"/>
      <c r="H398" s="194" t="s">
        <v>37</v>
      </c>
      <c r="I398" s="195">
        <f ca="1">IFERROR(__xludf.DUMMYFUNCTION("IMPORTRANGE(""https://docs.google.com/spreadsheets/d/1IYY_tgx_IHuhSq3AJ5eI5OnqOPBNLWSHKh2a30DoXe8/edit?usp=sharing"",""สุราษฎร์ธานี!I293"")"),100)</f>
        <v>100</v>
      </c>
      <c r="J398" s="205">
        <f ca="1">IFERROR(__xludf.DUMMYFUNCTION("IMPORTRANGE(""https://docs.google.com/spreadsheets/d/1IYY_tgx_IHuhSq3AJ5eI5OnqOPBNLWSHKh2a30DoXe8/edit?usp=sharing"",""สุราษฎร์ธานี!J293"")"),0)</f>
        <v>0</v>
      </c>
      <c r="K398" s="169">
        <f t="shared" ca="1" si="110"/>
        <v>0</v>
      </c>
      <c r="L398" s="189"/>
      <c r="M398" s="189"/>
      <c r="N398" s="189"/>
      <c r="O398" s="189"/>
      <c r="P398" s="189"/>
    </row>
    <row r="399" spans="1:16" ht="21.75" customHeight="1" x14ac:dyDescent="0.35">
      <c r="A399" s="183"/>
      <c r="B399" s="184"/>
      <c r="C399" s="184"/>
      <c r="D399" s="201"/>
      <c r="E399" s="202" t="s">
        <v>54</v>
      </c>
      <c r="F399" s="203"/>
      <c r="G399" s="204"/>
      <c r="H399" s="194"/>
      <c r="I399" s="195"/>
      <c r="J399" s="205">
        <f ca="1">IFERROR(__xludf.DUMMYFUNCTION("IMPORTRANGE(""https://docs.google.com/spreadsheets/d/1IYY_tgx_IHuhSq3AJ5eI5OnqOPBNLWSHKh2a30DoXe8/edit?usp=sharing"",""สุราษฎร์ธานี!J294"")"),0)</f>
        <v>0</v>
      </c>
      <c r="K399" s="169"/>
      <c r="L399" s="189"/>
      <c r="M399" s="189"/>
      <c r="N399" s="189"/>
      <c r="O399" s="189"/>
      <c r="P399" s="189"/>
    </row>
    <row r="400" spans="1:16" ht="21.75" customHeight="1" x14ac:dyDescent="0.35">
      <c r="A400" s="183"/>
      <c r="B400" s="184"/>
      <c r="C400" s="184"/>
      <c r="D400" s="213">
        <v>3</v>
      </c>
      <c r="E400" s="214" t="s">
        <v>55</v>
      </c>
      <c r="F400" s="215"/>
      <c r="G400" s="216"/>
      <c r="H400" s="194"/>
      <c r="I400" s="195"/>
      <c r="J400" s="217">
        <f ca="1">IFERROR(__xludf.DUMMYFUNCTION("IMPORTRANGE(""https://docs.google.com/spreadsheets/d/1IYY_tgx_IHuhSq3AJ5eI5OnqOPBNLWSHKh2a30DoXe8/edit?usp=sharing"",""สุราษฎร์ธานี!J295"")"),0)</f>
        <v>0</v>
      </c>
      <c r="K400" s="169"/>
      <c r="L400" s="189"/>
      <c r="M400" s="189"/>
      <c r="N400" s="189"/>
      <c r="O400" s="189"/>
      <c r="P400" s="189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IFERROR(__xludf.DUMMYFUNCTION("IMPORTRANGE(""https://docs.google.com/spreadsheets/d/1IYY_tgx_IHuhSq3AJ5eI5OnqOPBNLWSHKh2a30DoXe8/edit?usp=sharing"",""สุราษฎร์ธานี!I296"")"),75)</f>
        <v>75</v>
      </c>
      <c r="J401" s="377">
        <f ca="1">IFERROR(__xludf.DUMMYFUNCTION("IMPORTRANGE(""https://docs.google.com/spreadsheets/d/1IYY_tgx_IHuhSq3AJ5eI5OnqOPBNLWSHKh2a30DoXe8/edit?usp=sharing"",""สุราษฎร์ธานี!J296"")"),75)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IFERROR(__xludf.DUMMYFUNCTION("IMPORTRANGE(""https://docs.google.com/spreadsheets/d/1IYY_tgx_IHuhSq3AJ5eI5OnqOPBNLWSHKh2a30DoXe8/edit?usp=sharing"",""สุราษฎร์ธานี!L296"")"),81620)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IFERROR(__xludf.DUMMYFUNCTION("IMPORTRANGE(""https://docs.google.com/spreadsheets/d/1IYY_tgx_IHuhSq3AJ5eI5OnqOPBNLWSHKh2a30DoXe8/edit?usp=sharing"",""สุราษฎร์ธานี!M296"")"),43595)</f>
        <v>43595</v>
      </c>
      <c r="O401" s="379">
        <f ca="1">+IF(L401&gt;0,N401*100/L401,0)</f>
        <v>53.412153883852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IFERROR(__xludf.DUMMYFUNCTION("IMPORTRANGE(""https://docs.google.com/spreadsheets/d/1IYY_tgx_IHuhSq3AJ5eI5OnqOPBNLWSHKh2a30DoXe8/edit?usp=sharing"",""สุราษฎร์ธานี!I297"")"),25)</f>
        <v>25</v>
      </c>
      <c r="J402" s="377">
        <f ca="1">IFERROR(__xludf.DUMMYFUNCTION("IMPORTRANGE(""https://docs.google.com/spreadsheets/d/1IYY_tgx_IHuhSq3AJ5eI5OnqOPBNLWSHKh2a30DoXe8/edit?usp=sharing"",""สุราษฎร์ธานี!J297"")"),25)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164" t="s">
        <v>38</v>
      </c>
      <c r="E403" s="165"/>
      <c r="F403" s="165"/>
      <c r="G403" s="166" t="s">
        <v>39</v>
      </c>
      <c r="H403" s="167" t="s">
        <v>12</v>
      </c>
      <c r="I403" s="168" t="s">
        <v>40</v>
      </c>
      <c r="J403" s="168"/>
      <c r="K403" s="169"/>
      <c r="L403" s="170">
        <f ca="1">IFERROR(__xludf.DUMMYFUNCTION("IMPORTRANGE(""https://docs.google.com/spreadsheets/d/1IYY_tgx_IHuhSq3AJ5eI5OnqOPBNLWSHKh2a30DoXe8/edit?usp=sharing"",""สุราษฎร์ธานี!L298"")"),0)</f>
        <v>0</v>
      </c>
      <c r="M403" s="170"/>
      <c r="N403" s="176">
        <f ca="1">IFERROR(__xludf.DUMMYFUNCTION("IMPORTRANGE(""https://docs.google.com/spreadsheets/d/1IYY_tgx_IHuhSq3AJ5eI5OnqOPBNLWSHKh2a30DoXe8/edit?usp=sharing"",""สุราษฎร์ธานี!M298"")"),0)</f>
        <v>0</v>
      </c>
      <c r="O403" s="176">
        <f t="shared" ref="O403:O406" ca="1" si="112">+IF(L403&gt;0,N403*100/L403,0)</f>
        <v>0</v>
      </c>
      <c r="P403" s="176"/>
    </row>
    <row r="404" spans="1:16" ht="21.75" customHeight="1" x14ac:dyDescent="0.35">
      <c r="A404" s="162"/>
      <c r="B404" s="163"/>
      <c r="C404" s="163"/>
      <c r="D404" s="172"/>
      <c r="E404" s="165"/>
      <c r="F404" s="165" t="s">
        <v>40</v>
      </c>
      <c r="G404" s="166" t="s">
        <v>41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IFERROR(__xludf.DUMMYFUNCTION("IMPORTRANGE(""https://docs.google.com/spreadsheets/d/1IYY_tgx_IHuhSq3AJ5eI5OnqOPBNLWSHKh2a30DoXe8/edit?usp=sharing"",""สุราษฎร์ธานี!L299"")"),81620)</f>
        <v>81620</v>
      </c>
      <c r="M404" s="171"/>
      <c r="N404" s="176">
        <f ca="1">IFERROR(__xludf.DUMMYFUNCTION("IMPORTRANGE(""https://docs.google.com/spreadsheets/d/1IYY_tgx_IHuhSq3AJ5eI5OnqOPBNLWSHKh2a30DoXe8/edit?usp=sharing"",""สุราษฎร์ธานี!M299"")"),43595)</f>
        <v>43595</v>
      </c>
      <c r="O404" s="176">
        <f t="shared" ca="1" si="112"/>
        <v>53.412153883852</v>
      </c>
      <c r="P404" s="176"/>
    </row>
    <row r="405" spans="1:16" ht="21.75" customHeight="1" x14ac:dyDescent="0.35">
      <c r="A405" s="162"/>
      <c r="B405" s="163"/>
      <c r="C405" s="163"/>
      <c r="D405" s="172"/>
      <c r="E405" s="165"/>
      <c r="F405" s="165"/>
      <c r="G405" s="380" t="s">
        <v>129</v>
      </c>
      <c r="H405" s="167" t="s">
        <v>12</v>
      </c>
      <c r="I405" s="168"/>
      <c r="J405" s="168"/>
      <c r="K405" s="169"/>
      <c r="L405" s="176">
        <f ca="1">IFERROR(__xludf.DUMMYFUNCTION("IMPORTRANGE(""https://docs.google.com/spreadsheets/d/1IYY_tgx_IHuhSq3AJ5eI5OnqOPBNLWSHKh2a30DoXe8/edit?usp=sharing"",""สุราษฎร์ธานี!L300"")"),0)</f>
        <v>0</v>
      </c>
      <c r="M405" s="176"/>
      <c r="N405" s="176">
        <f ca="1">IFERROR(__xludf.DUMMYFUNCTION("IMPORTRANGE(""https://docs.google.com/spreadsheets/d/1IYY_tgx_IHuhSq3AJ5eI5OnqOPBNLWSHKh2a30DoXe8/edit?usp=sharing"",""สุราษฎร์ธานี!M300"")"),0)</f>
        <v>0</v>
      </c>
      <c r="O405" s="176">
        <f t="shared" ca="1" si="112"/>
        <v>0</v>
      </c>
      <c r="P405" s="176"/>
    </row>
    <row r="406" spans="1:16" ht="21.75" customHeight="1" x14ac:dyDescent="0.35">
      <c r="A406" s="162"/>
      <c r="B406" s="163"/>
      <c r="C406" s="163"/>
      <c r="D406" s="172"/>
      <c r="E406" s="165"/>
      <c r="F406" s="165"/>
      <c r="G406" s="380" t="s">
        <v>130</v>
      </c>
      <c r="H406" s="167" t="s">
        <v>12</v>
      </c>
      <c r="I406" s="168"/>
      <c r="J406" s="168"/>
      <c r="K406" s="169"/>
      <c r="L406" s="176">
        <f ca="1">IFERROR(__xludf.DUMMYFUNCTION("IMPORTRANGE(""https://docs.google.com/spreadsheets/d/1IYY_tgx_IHuhSq3AJ5eI5OnqOPBNLWSHKh2a30DoXe8/edit?usp=sharing"",""สุราษฎร์ธานี!L301"")"),81620)</f>
        <v>81620</v>
      </c>
      <c r="M406" s="176"/>
      <c r="N406" s="176">
        <f ca="1">IFERROR(__xludf.DUMMYFUNCTION("IMPORTRANGE(""https://docs.google.com/spreadsheets/d/1IYY_tgx_IHuhSq3AJ5eI5OnqOPBNLWSHKh2a30DoXe8/edit?usp=sharing"",""สุราษฎร์ธานี!M301"")"),43595)</f>
        <v>43595</v>
      </c>
      <c r="O406" s="176">
        <f t="shared" ca="1" si="112"/>
        <v>53.412153883852</v>
      </c>
      <c r="P406" s="176"/>
    </row>
    <row r="407" spans="1:16" ht="21.75" customHeight="1" x14ac:dyDescent="0.35">
      <c r="A407" s="381"/>
      <c r="B407" s="382"/>
      <c r="C407" s="163"/>
      <c r="D407" s="383"/>
      <c r="E407" s="165"/>
      <c r="F407" s="165"/>
      <c r="G407" s="384" t="s">
        <v>131</v>
      </c>
      <c r="H407" s="167" t="s">
        <v>12</v>
      </c>
      <c r="I407" s="195"/>
      <c r="J407" s="195"/>
      <c r="K407" s="231"/>
      <c r="L407" s="176"/>
      <c r="M407" s="176"/>
      <c r="N407" s="385">
        <f ca="1">IFERROR(__xludf.DUMMYFUNCTION("IMPORTRANGE(""https://docs.google.com/spreadsheets/d/1IYY_tgx_IHuhSq3AJ5eI5OnqOPBNLWSHKh2a30DoXe8/edit?usp=sharing"",""สุราษฎร์ธานี!M302"")"),39535)</f>
        <v>39535</v>
      </c>
      <c r="O407" s="176"/>
      <c r="P407" s="176"/>
    </row>
    <row r="408" spans="1:16" ht="21.75" customHeight="1" x14ac:dyDescent="0.35">
      <c r="A408" s="381"/>
      <c r="B408" s="382"/>
      <c r="C408" s="163"/>
      <c r="D408" s="383"/>
      <c r="E408" s="165"/>
      <c r="F408" s="165"/>
      <c r="G408" s="384" t="s">
        <v>132</v>
      </c>
      <c r="H408" s="167" t="s">
        <v>12</v>
      </c>
      <c r="I408" s="195"/>
      <c r="J408" s="195"/>
      <c r="K408" s="231"/>
      <c r="L408" s="176"/>
      <c r="M408" s="176"/>
      <c r="N408" s="385">
        <f ca="1">IFERROR(__xludf.DUMMYFUNCTION("IMPORTRANGE(""https://docs.google.com/spreadsheets/d/1IYY_tgx_IHuhSq3AJ5eI5OnqOPBNLWSHKh2a30DoXe8/edit?usp=sharing"",""สุราษฎร์ธานี!M303"")"),0)</f>
        <v>0</v>
      </c>
      <c r="O408" s="176"/>
      <c r="P408" s="176"/>
    </row>
    <row r="409" spans="1:16" ht="21.75" customHeight="1" x14ac:dyDescent="0.35">
      <c r="A409" s="381"/>
      <c r="B409" s="382"/>
      <c r="C409" s="163"/>
      <c r="D409" s="383"/>
      <c r="E409" s="165"/>
      <c r="F409" s="165"/>
      <c r="G409" s="384" t="s">
        <v>133</v>
      </c>
      <c r="H409" s="167" t="s">
        <v>12</v>
      </c>
      <c r="I409" s="195"/>
      <c r="J409" s="195"/>
      <c r="K409" s="231"/>
      <c r="L409" s="176"/>
      <c r="M409" s="176"/>
      <c r="N409" s="385">
        <f ca="1">IFERROR(__xludf.DUMMYFUNCTION("IMPORTRANGE(""https://docs.google.com/spreadsheets/d/1IYY_tgx_IHuhSq3AJ5eI5OnqOPBNLWSHKh2a30DoXe8/edit?usp=sharing"",""สุราษฎร์ธานี!M304"")"),0)</f>
        <v>0</v>
      </c>
      <c r="O409" s="176"/>
      <c r="P409" s="176"/>
    </row>
    <row r="410" spans="1:16" ht="21.75" customHeight="1" x14ac:dyDescent="0.35">
      <c r="A410" s="381"/>
      <c r="B410" s="382"/>
      <c r="C410" s="163"/>
      <c r="D410" s="383"/>
      <c r="E410" s="165"/>
      <c r="F410" s="165"/>
      <c r="G410" s="384" t="s">
        <v>134</v>
      </c>
      <c r="H410" s="167" t="s">
        <v>12</v>
      </c>
      <c r="I410" s="195"/>
      <c r="J410" s="195"/>
      <c r="K410" s="231"/>
      <c r="L410" s="176"/>
      <c r="M410" s="176"/>
      <c r="N410" s="385">
        <f ca="1">IFERROR(__xludf.DUMMYFUNCTION("IMPORTRANGE(""https://docs.google.com/spreadsheets/d/1IYY_tgx_IHuhSq3AJ5eI5OnqOPBNLWSHKh2a30DoXe8/edit?usp=sharing"",""สุราษฎร์ธานี!M305"")"),4060)</f>
        <v>4060</v>
      </c>
      <c r="O410" s="176"/>
      <c r="P410" s="176"/>
    </row>
    <row r="411" spans="1:16" ht="21.75" customHeight="1" x14ac:dyDescent="0.35">
      <c r="A411" s="183"/>
      <c r="B411" s="184"/>
      <c r="C411" s="163" t="s">
        <v>16</v>
      </c>
      <c r="D411" s="185" t="s">
        <v>44</v>
      </c>
      <c r="E411" s="186"/>
      <c r="F411" s="186"/>
      <c r="G411" s="187"/>
      <c r="H411" s="188"/>
      <c r="I411" s="168"/>
      <c r="J411" s="168"/>
      <c r="K411" s="169"/>
      <c r="L411" s="189"/>
      <c r="M411" s="189"/>
      <c r="N411" s="189"/>
      <c r="O411" s="189"/>
      <c r="P411" s="189"/>
    </row>
    <row r="412" spans="1:16" ht="21.75" customHeight="1" x14ac:dyDescent="0.35">
      <c r="A412" s="183"/>
      <c r="B412" s="184"/>
      <c r="C412" s="184"/>
      <c r="D412" s="190">
        <v>1</v>
      </c>
      <c r="E412" s="191" t="s">
        <v>45</v>
      </c>
      <c r="F412" s="192"/>
      <c r="G412" s="193"/>
      <c r="H412" s="194"/>
      <c r="I412" s="195"/>
      <c r="J412" s="205">
        <f ca="1">IFERROR(__xludf.DUMMYFUNCTION("IMPORTRANGE(""https://docs.google.com/spreadsheets/d/1IYY_tgx_IHuhSq3AJ5eI5OnqOPBNLWSHKh2a30DoXe8/edit?usp=sharing"",""สุราษฎร์ธานี!J307"")"),0)</f>
        <v>0</v>
      </c>
      <c r="K412" s="169"/>
      <c r="L412" s="189"/>
      <c r="M412" s="189"/>
      <c r="N412" s="189"/>
      <c r="O412" s="189"/>
      <c r="P412" s="189"/>
    </row>
    <row r="413" spans="1:16" ht="21.75" customHeight="1" x14ac:dyDescent="0.35">
      <c r="A413" s="183"/>
      <c r="B413" s="184"/>
      <c r="C413" s="184"/>
      <c r="D413" s="197">
        <v>2</v>
      </c>
      <c r="E413" s="198" t="s">
        <v>46</v>
      </c>
      <c r="F413" s="199"/>
      <c r="G413" s="200"/>
      <c r="H413" s="194"/>
      <c r="I413" s="195"/>
      <c r="J413" s="196">
        <f ca="1">IFERROR(__xludf.DUMMYFUNCTION("IMPORTRANGE(""https://docs.google.com/spreadsheets/d/1IYY_tgx_IHuhSq3AJ5eI5OnqOPBNLWSHKh2a30DoXe8/edit?usp=sharing"",""สุราษฎร์ธานี!J308"")"),1)</f>
        <v>1</v>
      </c>
      <c r="K413" s="169"/>
      <c r="L413" s="189" t="s">
        <v>40</v>
      </c>
      <c r="M413" s="189"/>
      <c r="N413" s="189" t="s">
        <v>40</v>
      </c>
      <c r="O413" s="189"/>
      <c r="P413" s="189"/>
    </row>
    <row r="414" spans="1:16" ht="21.75" customHeight="1" x14ac:dyDescent="0.35">
      <c r="A414" s="183"/>
      <c r="B414" s="184"/>
      <c r="C414" s="184"/>
      <c r="D414" s="201"/>
      <c r="E414" s="202" t="s">
        <v>47</v>
      </c>
      <c r="F414" s="203"/>
      <c r="G414" s="204"/>
      <c r="H414" s="194"/>
      <c r="I414" s="195"/>
      <c r="J414" s="196">
        <f ca="1">IFERROR(__xludf.DUMMYFUNCTION("IMPORTRANGE(""https://docs.google.com/spreadsheets/d/1IYY_tgx_IHuhSq3AJ5eI5OnqOPBNLWSHKh2a30DoXe8/edit?usp=sharing"",""สุราษฎร์ธานี!J309"")"),1)</f>
        <v>1</v>
      </c>
      <c r="K414" s="169"/>
      <c r="L414" s="189"/>
      <c r="M414" s="189"/>
      <c r="N414" s="189"/>
      <c r="O414" s="189"/>
      <c r="P414" s="189"/>
    </row>
    <row r="415" spans="1:16" ht="21.75" customHeight="1" x14ac:dyDescent="0.35">
      <c r="A415" s="183"/>
      <c r="B415" s="184"/>
      <c r="C415" s="184"/>
      <c r="D415" s="201"/>
      <c r="E415" s="202" t="s">
        <v>48</v>
      </c>
      <c r="F415" s="203"/>
      <c r="G415" s="204"/>
      <c r="H415" s="194"/>
      <c r="I415" s="195"/>
      <c r="J415" s="205">
        <f ca="1">IFERROR(__xludf.DUMMYFUNCTION("IMPORTRANGE(""https://docs.google.com/spreadsheets/d/1IYY_tgx_IHuhSq3AJ5eI5OnqOPBNLWSHKh2a30DoXe8/edit?usp=sharing"",""สุราษฎร์ธานี!J310"")"),1)</f>
        <v>1</v>
      </c>
      <c r="K415" s="169"/>
      <c r="L415" s="189"/>
      <c r="M415" s="189"/>
      <c r="N415" s="189"/>
      <c r="O415" s="189"/>
      <c r="P415" s="189"/>
    </row>
    <row r="416" spans="1:16" ht="21.75" customHeight="1" x14ac:dyDescent="0.35">
      <c r="A416" s="183"/>
      <c r="B416" s="184"/>
      <c r="C416" s="184"/>
      <c r="D416" s="201"/>
      <c r="E416" s="206"/>
      <c r="F416" s="202" t="s">
        <v>70</v>
      </c>
      <c r="G416" s="394"/>
      <c r="H416" s="395" t="s">
        <v>37</v>
      </c>
      <c r="I416" s="208">
        <f ca="1">IFERROR(__xludf.DUMMYFUNCTION("IMPORTRANGE(""https://docs.google.com/spreadsheets/d/1IYY_tgx_IHuhSq3AJ5eI5OnqOPBNLWSHKh2a30DoXe8/edit?usp=sharing"",""สุราษฎร์ธานี!I311"")"),25)</f>
        <v>25</v>
      </c>
      <c r="J416" s="208">
        <f ca="1">IFERROR(__xludf.DUMMYFUNCTION("IMPORTRANGE(""https://docs.google.com/spreadsheets/d/1IYY_tgx_IHuhSq3AJ5eI5OnqOPBNLWSHKh2a30DoXe8/edit?usp=sharing"",""สุราษฎร์ธานี!J311"")"),25)</f>
        <v>25</v>
      </c>
      <c r="K416" s="209">
        <f t="shared" ref="K416:K432" ca="1" si="113">IF(I416&gt;0,J416*100/I416,0)</f>
        <v>100</v>
      </c>
      <c r="L416" s="189"/>
      <c r="M416" s="189"/>
      <c r="N416" s="189"/>
      <c r="O416" s="189"/>
      <c r="P416" s="189"/>
    </row>
    <row r="417" spans="1:16" ht="21.75" customHeight="1" x14ac:dyDescent="0.45">
      <c r="A417" s="183"/>
      <c r="B417" s="184"/>
      <c r="C417" s="184"/>
      <c r="D417" s="201"/>
      <c r="E417" s="206"/>
      <c r="F417" s="396" t="s">
        <v>148</v>
      </c>
      <c r="G417" s="204"/>
      <c r="H417" s="207" t="s">
        <v>37</v>
      </c>
      <c r="I417" s="397">
        <f ca="1">IFERROR(__xludf.DUMMYFUNCTION("IMPORTRANGE(""https://docs.google.com/spreadsheets/d/1IYY_tgx_IHuhSq3AJ5eI5OnqOPBNLWSHKh2a30DoXe8/edit?usp=sharing"",""สุราษฎร์ธานี!I312"")"),10)</f>
        <v>10</v>
      </c>
      <c r="J417" s="398">
        <f ca="1">IFERROR(__xludf.DUMMYFUNCTION("IMPORTRANGE(""https://docs.google.com/spreadsheets/d/1IYY_tgx_IHuhSq3AJ5eI5OnqOPBNLWSHKh2a30DoXe8/edit?usp=sharing"",""สุราษฎร์ธานี!J312"")"),10)</f>
        <v>10</v>
      </c>
      <c r="K417" s="209">
        <f t="shared" ca="1" si="113"/>
        <v>100</v>
      </c>
      <c r="L417" s="189"/>
      <c r="M417" s="189"/>
      <c r="N417" s="189"/>
      <c r="O417" s="189"/>
      <c r="P417" s="189"/>
    </row>
    <row r="418" spans="1:16" ht="21.75" customHeight="1" x14ac:dyDescent="0.45">
      <c r="A418" s="183"/>
      <c r="B418" s="184"/>
      <c r="C418" s="184"/>
      <c r="D418" s="201"/>
      <c r="E418" s="206"/>
      <c r="F418" s="203"/>
      <c r="G418" s="204"/>
      <c r="H418" s="207" t="s">
        <v>122</v>
      </c>
      <c r="I418" s="397">
        <f ca="1">IFERROR(__xludf.DUMMYFUNCTION("IMPORTRANGE(""https://docs.google.com/spreadsheets/d/1IYY_tgx_IHuhSq3AJ5eI5OnqOPBNLWSHKh2a30DoXe8/edit?usp=sharing"",""สุราษฎร์ธานี!I313"")"),30)</f>
        <v>30</v>
      </c>
      <c r="J418" s="399">
        <f ca="1">IFERROR(__xludf.DUMMYFUNCTION("IMPORTRANGE(""https://docs.google.com/spreadsheets/d/1IYY_tgx_IHuhSq3AJ5eI5OnqOPBNLWSHKh2a30DoXe8/edit?usp=sharing"",""สุราษฎร์ธานี!J313"")"),30)</f>
        <v>30</v>
      </c>
      <c r="K418" s="209">
        <f t="shared" ca="1" si="113"/>
        <v>100</v>
      </c>
      <c r="L418" s="189"/>
      <c r="M418" s="189"/>
      <c r="N418" s="189"/>
      <c r="O418" s="189"/>
      <c r="P418" s="189"/>
    </row>
    <row r="419" spans="1:16" ht="21.75" customHeight="1" x14ac:dyDescent="0.45">
      <c r="A419" s="183"/>
      <c r="B419" s="184"/>
      <c r="C419" s="184"/>
      <c r="D419" s="201"/>
      <c r="E419" s="206"/>
      <c r="F419" s="203"/>
      <c r="G419" s="233" t="s">
        <v>149</v>
      </c>
      <c r="H419" s="188" t="s">
        <v>37</v>
      </c>
      <c r="I419" s="347">
        <f ca="1">IFERROR(__xludf.DUMMYFUNCTION("IMPORTRANGE(""https://docs.google.com/spreadsheets/d/1IYY_tgx_IHuhSq3AJ5eI5OnqOPBNLWSHKh2a30DoXe8/edit?usp=sharing"",""สุราษฎร์ธานี!I314"")"),10)</f>
        <v>10</v>
      </c>
      <c r="J419" s="400">
        <f ca="1">IFERROR(__xludf.DUMMYFUNCTION("IMPORTRANGE(""https://docs.google.com/spreadsheets/d/1IYY_tgx_IHuhSq3AJ5eI5OnqOPBNLWSHKh2a30DoXe8/edit?usp=sharing"",""สุราษฎร์ธานี!J314"")"),10)</f>
        <v>10</v>
      </c>
      <c r="K419" s="169">
        <f t="shared" ca="1" si="113"/>
        <v>100</v>
      </c>
      <c r="L419" s="189"/>
      <c r="M419" s="189"/>
      <c r="N419" s="189"/>
      <c r="O419" s="189"/>
      <c r="P419" s="189"/>
    </row>
    <row r="420" spans="1:16" ht="21.75" customHeight="1" x14ac:dyDescent="0.45">
      <c r="A420" s="241"/>
      <c r="B420" s="242"/>
      <c r="C420" s="242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IFERROR(__xludf.DUMMYFUNCTION("IMPORTRANGE(""https://docs.google.com/spreadsheets/d/1IYY_tgx_IHuhSq3AJ5eI5OnqOPBNLWSHKh2a30DoXe8/edit?usp=sharing"",""สุราษฎร์ธานี!I315"")"),10)</f>
        <v>10</v>
      </c>
      <c r="J420" s="400">
        <f ca="1">IFERROR(__xludf.DUMMYFUNCTION("IMPORTRANGE(""https://docs.google.com/spreadsheets/d/1IYY_tgx_IHuhSq3AJ5eI5OnqOPBNLWSHKh2a30DoXe8/edit?usp=sharing"",""สุราษฎร์ธานี!J315"")"),10)</f>
        <v>10</v>
      </c>
      <c r="K420" s="294">
        <f t="shared" ca="1" si="113"/>
        <v>100</v>
      </c>
      <c r="L420" s="252"/>
      <c r="M420" s="252"/>
      <c r="N420" s="252"/>
      <c r="O420" s="252"/>
      <c r="P420" s="252"/>
    </row>
    <row r="421" spans="1:16" ht="21.75" customHeight="1" x14ac:dyDescent="0.45">
      <c r="A421" s="183"/>
      <c r="B421" s="184"/>
      <c r="C421" s="184"/>
      <c r="D421" s="201"/>
      <c r="E421" s="206"/>
      <c r="F421" s="396" t="s">
        <v>151</v>
      </c>
      <c r="G421" s="204"/>
      <c r="H421" s="207" t="s">
        <v>37</v>
      </c>
      <c r="I421" s="397">
        <f ca="1">IFERROR(__xludf.DUMMYFUNCTION("IMPORTRANGE(""https://docs.google.com/spreadsheets/d/1IYY_tgx_IHuhSq3AJ5eI5OnqOPBNLWSHKh2a30DoXe8/edit?usp=sharing"",""สุราษฎร์ธานี!I316"")"),0)</f>
        <v>0</v>
      </c>
      <c r="J421" s="398">
        <f ca="1">IFERROR(__xludf.DUMMYFUNCTION("IMPORTRANGE(""https://docs.google.com/spreadsheets/d/1IYY_tgx_IHuhSq3AJ5eI5OnqOPBNLWSHKh2a30DoXe8/edit?usp=sharing"",""สุราษฎร์ธานี!J316"")"),0)</f>
        <v>0</v>
      </c>
      <c r="K421" s="209">
        <f t="shared" ca="1" si="113"/>
        <v>0</v>
      </c>
      <c r="L421" s="189"/>
      <c r="M421" s="189"/>
      <c r="N421" s="189"/>
      <c r="O421" s="189"/>
      <c r="P421" s="189"/>
    </row>
    <row r="422" spans="1:16" ht="21.75" customHeight="1" x14ac:dyDescent="0.45">
      <c r="A422" s="183"/>
      <c r="B422" s="184"/>
      <c r="C422" s="184"/>
      <c r="D422" s="201"/>
      <c r="E422" s="206"/>
      <c r="F422" s="203"/>
      <c r="G422" s="204"/>
      <c r="H422" s="207" t="s">
        <v>122</v>
      </c>
      <c r="I422" s="397">
        <f ca="1">IFERROR(__xludf.DUMMYFUNCTION("IMPORTRANGE(""https://docs.google.com/spreadsheets/d/1IYY_tgx_IHuhSq3AJ5eI5OnqOPBNLWSHKh2a30DoXe8/edit?usp=sharing"",""สุราษฎร์ธานี!I317"")"),0)</f>
        <v>0</v>
      </c>
      <c r="J422" s="399">
        <f ca="1">IFERROR(__xludf.DUMMYFUNCTION("IMPORTRANGE(""https://docs.google.com/spreadsheets/d/1IYY_tgx_IHuhSq3AJ5eI5OnqOPBNLWSHKh2a30DoXe8/edit?usp=sharing"",""สุราษฎร์ธานี!J317"")"),0)</f>
        <v>0</v>
      </c>
      <c r="K422" s="209">
        <f t="shared" ca="1" si="113"/>
        <v>0</v>
      </c>
      <c r="L422" s="189"/>
      <c r="M422" s="189"/>
      <c r="N422" s="189"/>
      <c r="O422" s="189"/>
      <c r="P422" s="189"/>
    </row>
    <row r="423" spans="1:16" ht="21.75" customHeight="1" x14ac:dyDescent="0.45">
      <c r="A423" s="183"/>
      <c r="B423" s="184"/>
      <c r="C423" s="184"/>
      <c r="D423" s="201"/>
      <c r="E423" s="206"/>
      <c r="F423" s="203"/>
      <c r="G423" s="233" t="s">
        <v>152</v>
      </c>
      <c r="H423" s="188" t="s">
        <v>37</v>
      </c>
      <c r="I423" s="347">
        <f ca="1">IFERROR(__xludf.DUMMYFUNCTION("IMPORTRANGE(""https://docs.google.com/spreadsheets/d/1IYY_tgx_IHuhSq3AJ5eI5OnqOPBNLWSHKh2a30DoXe8/edit?usp=sharing"",""สุราษฎร์ธานี!I318"")"),0)</f>
        <v>0</v>
      </c>
      <c r="J423" s="400">
        <f ca="1">IFERROR(__xludf.DUMMYFUNCTION("IMPORTRANGE(""https://docs.google.com/spreadsheets/d/1IYY_tgx_IHuhSq3AJ5eI5OnqOPBNLWSHKh2a30DoXe8/edit?usp=sharing"",""สุราษฎร์ธานี!J318"")"),0)</f>
        <v>0</v>
      </c>
      <c r="K423" s="169">
        <f t="shared" ca="1" si="113"/>
        <v>0</v>
      </c>
      <c r="L423" s="189"/>
      <c r="M423" s="189"/>
      <c r="N423" s="189"/>
      <c r="O423" s="189"/>
      <c r="P423" s="189"/>
    </row>
    <row r="424" spans="1:16" ht="21.75" customHeight="1" x14ac:dyDescent="0.45">
      <c r="A424" s="183"/>
      <c r="B424" s="184"/>
      <c r="C424" s="184"/>
      <c r="D424" s="201"/>
      <c r="E424" s="206"/>
      <c r="F424" s="203"/>
      <c r="G424" s="233" t="s">
        <v>153</v>
      </c>
      <c r="H424" s="188" t="s">
        <v>37</v>
      </c>
      <c r="I424" s="347">
        <f ca="1">IFERROR(__xludf.DUMMYFUNCTION("IMPORTRANGE(""https://docs.google.com/spreadsheets/d/1IYY_tgx_IHuhSq3AJ5eI5OnqOPBNLWSHKh2a30DoXe8/edit?usp=sharing"",""สุราษฎร์ธานี!I319"")"),0)</f>
        <v>0</v>
      </c>
      <c r="J424" s="400">
        <f ca="1">IFERROR(__xludf.DUMMYFUNCTION("IMPORTRANGE(""https://docs.google.com/spreadsheets/d/1IYY_tgx_IHuhSq3AJ5eI5OnqOPBNLWSHKh2a30DoXe8/edit?usp=sharing"",""สุราษฎร์ธานี!J319"")"),0)</f>
        <v>0</v>
      </c>
      <c r="K424" s="169">
        <f t="shared" ca="1" si="113"/>
        <v>0</v>
      </c>
      <c r="L424" s="189"/>
      <c r="M424" s="189"/>
      <c r="N424" s="189"/>
      <c r="O424" s="189"/>
      <c r="P424" s="189"/>
    </row>
    <row r="425" spans="1:16" ht="21.75" customHeight="1" x14ac:dyDescent="0.45">
      <c r="A425" s="183"/>
      <c r="B425" s="184"/>
      <c r="C425" s="184"/>
      <c r="D425" s="201"/>
      <c r="E425" s="206"/>
      <c r="F425" s="203"/>
      <c r="G425" s="233" t="s">
        <v>154</v>
      </c>
      <c r="H425" s="188" t="s">
        <v>37</v>
      </c>
      <c r="I425" s="347">
        <f ca="1">IFERROR(__xludf.DUMMYFUNCTION("IMPORTRANGE(""https://docs.google.com/spreadsheets/d/1IYY_tgx_IHuhSq3AJ5eI5OnqOPBNLWSHKh2a30DoXe8/edit?usp=sharing"",""สุราษฎร์ธานี!I320"")"),0)</f>
        <v>0</v>
      </c>
      <c r="J425" s="400">
        <f ca="1">IFERROR(__xludf.DUMMYFUNCTION("IMPORTRANGE(""https://docs.google.com/spreadsheets/d/1IYY_tgx_IHuhSq3AJ5eI5OnqOPBNLWSHKh2a30DoXe8/edit?usp=sharing"",""สุราษฎร์ธานี!J320"")"),0)</f>
        <v>0</v>
      </c>
      <c r="K425" s="169">
        <f t="shared" ca="1" si="113"/>
        <v>0</v>
      </c>
      <c r="L425" s="189"/>
      <c r="M425" s="189"/>
      <c r="N425" s="189"/>
      <c r="O425" s="189"/>
      <c r="P425" s="189"/>
    </row>
    <row r="426" spans="1:16" ht="21.75" customHeight="1" x14ac:dyDescent="0.45">
      <c r="A426" s="183"/>
      <c r="B426" s="184"/>
      <c r="C426" s="184"/>
      <c r="D426" s="201"/>
      <c r="E426" s="206"/>
      <c r="F426" s="405" t="s">
        <v>155</v>
      </c>
      <c r="G426" s="204"/>
      <c r="H426" s="207" t="s">
        <v>37</v>
      </c>
      <c r="I426" s="397">
        <f ca="1">IFERROR(__xludf.DUMMYFUNCTION("IMPORTRANGE(""https://docs.google.com/spreadsheets/d/1IYY_tgx_IHuhSq3AJ5eI5OnqOPBNLWSHKh2a30DoXe8/edit?usp=sharing"",""สุราษฎร์ธานี!I321"")"),15)</f>
        <v>15</v>
      </c>
      <c r="J426" s="398">
        <f ca="1">IFERROR(__xludf.DUMMYFUNCTION("IMPORTRANGE(""https://docs.google.com/spreadsheets/d/1IYY_tgx_IHuhSq3AJ5eI5OnqOPBNLWSHKh2a30DoXe8/edit?usp=sharing"",""สุราษฎร์ธานี!J321"")"),15)</f>
        <v>15</v>
      </c>
      <c r="K426" s="209">
        <f t="shared" ca="1" si="113"/>
        <v>100</v>
      </c>
      <c r="L426" s="189"/>
      <c r="M426" s="189"/>
      <c r="N426" s="189"/>
      <c r="O426" s="189"/>
      <c r="P426" s="189"/>
    </row>
    <row r="427" spans="1:16" ht="21.75" customHeight="1" x14ac:dyDescent="0.45">
      <c r="A427" s="183"/>
      <c r="B427" s="184"/>
      <c r="C427" s="184"/>
      <c r="D427" s="201"/>
      <c r="E427" s="206"/>
      <c r="F427" s="203"/>
      <c r="G427" s="204"/>
      <c r="H427" s="207" t="s">
        <v>122</v>
      </c>
      <c r="I427" s="397">
        <f ca="1">IFERROR(__xludf.DUMMYFUNCTION("IMPORTRANGE(""https://docs.google.com/spreadsheets/d/1IYY_tgx_IHuhSq3AJ5eI5OnqOPBNLWSHKh2a30DoXe8/edit?usp=sharing"",""สุราษฎร์ธานี!I322"")"),45)</f>
        <v>45</v>
      </c>
      <c r="J427" s="399">
        <f ca="1">IFERROR(__xludf.DUMMYFUNCTION("IMPORTRANGE(""https://docs.google.com/spreadsheets/d/1IYY_tgx_IHuhSq3AJ5eI5OnqOPBNLWSHKh2a30DoXe8/edit?usp=sharing"",""สุราษฎร์ธานี!J322"")"),45)</f>
        <v>45</v>
      </c>
      <c r="K427" s="209">
        <f t="shared" ca="1" si="113"/>
        <v>100</v>
      </c>
      <c r="L427" s="189"/>
      <c r="M427" s="189"/>
      <c r="N427" s="189"/>
      <c r="O427" s="189"/>
      <c r="P427" s="189"/>
    </row>
    <row r="428" spans="1:16" ht="21.75" customHeight="1" x14ac:dyDescent="0.45">
      <c r="A428" s="183"/>
      <c r="B428" s="184"/>
      <c r="C428" s="184"/>
      <c r="D428" s="201"/>
      <c r="E428" s="206"/>
      <c r="F428" s="203"/>
      <c r="G428" s="233" t="s">
        <v>156</v>
      </c>
      <c r="H428" s="188" t="s">
        <v>37</v>
      </c>
      <c r="I428" s="406">
        <f ca="1">IFERROR(__xludf.DUMMYFUNCTION("IMPORTRANGE(""https://docs.google.com/spreadsheets/d/1IYY_tgx_IHuhSq3AJ5eI5OnqOPBNLWSHKh2a30DoXe8/edit?usp=sharing"",""สุราษฎร์ธานี!I323"")"),15)</f>
        <v>15</v>
      </c>
      <c r="J428" s="400">
        <f ca="1">IFERROR(__xludf.DUMMYFUNCTION("IMPORTRANGE(""https://docs.google.com/spreadsheets/d/1IYY_tgx_IHuhSq3AJ5eI5OnqOPBNLWSHKh2a30DoXe8/edit?usp=sharing"",""สุราษฎร์ธานี!J323"")"),15)</f>
        <v>15</v>
      </c>
      <c r="K428" s="169">
        <f t="shared" ca="1" si="113"/>
        <v>100</v>
      </c>
      <c r="L428" s="189"/>
      <c r="M428" s="189"/>
      <c r="N428" s="189"/>
      <c r="O428" s="189"/>
      <c r="P428" s="189"/>
    </row>
    <row r="429" spans="1:16" ht="21.75" customHeight="1" x14ac:dyDescent="0.45">
      <c r="A429" s="183"/>
      <c r="B429" s="184"/>
      <c r="C429" s="184"/>
      <c r="D429" s="201"/>
      <c r="E429" s="206"/>
      <c r="F429" s="203"/>
      <c r="G429" s="233" t="s">
        <v>157</v>
      </c>
      <c r="H429" s="188" t="s">
        <v>37</v>
      </c>
      <c r="I429" s="406">
        <f ca="1">IFERROR(__xludf.DUMMYFUNCTION("IMPORTRANGE(""https://docs.google.com/spreadsheets/d/1IYY_tgx_IHuhSq3AJ5eI5OnqOPBNLWSHKh2a30DoXe8/edit?usp=sharing"",""สุราษฎร์ธานี!I324"")"),15)</f>
        <v>15</v>
      </c>
      <c r="J429" s="400">
        <f ca="1">IFERROR(__xludf.DUMMYFUNCTION("IMPORTRANGE(""https://docs.google.com/spreadsheets/d/1IYY_tgx_IHuhSq3AJ5eI5OnqOPBNLWSHKh2a30DoXe8/edit?usp=sharing"",""สุราษฎร์ธานี!J324"")"),15)</f>
        <v>15</v>
      </c>
      <c r="K429" s="169">
        <f t="shared" ca="1" si="113"/>
        <v>100</v>
      </c>
      <c r="L429" s="189"/>
      <c r="M429" s="189"/>
      <c r="N429" s="189"/>
      <c r="O429" s="189"/>
      <c r="P429" s="189"/>
    </row>
    <row r="430" spans="1:16" ht="21.75" customHeight="1" x14ac:dyDescent="0.45">
      <c r="A430" s="183"/>
      <c r="B430" s="184"/>
      <c r="C430" s="184"/>
      <c r="D430" s="201"/>
      <c r="E430" s="206"/>
      <c r="F430" s="202" t="s">
        <v>53</v>
      </c>
      <c r="G430" s="394"/>
      <c r="H430" s="407" t="s">
        <v>37</v>
      </c>
      <c r="I430" s="208">
        <f ca="1">IFERROR(__xludf.DUMMYFUNCTION("IMPORTRANGE(""https://docs.google.com/spreadsheets/d/1IYY_tgx_IHuhSq3AJ5eI5OnqOPBNLWSHKh2a30DoXe8/edit?usp=sharing"",""สุราษฎร์ธานี!I325"")"),10)</f>
        <v>10</v>
      </c>
      <c r="J430" s="398">
        <f ca="1">IFERROR(__xludf.DUMMYFUNCTION("IMPORTRANGE(""https://docs.google.com/spreadsheets/d/1IYY_tgx_IHuhSq3AJ5eI5OnqOPBNLWSHKh2a30DoXe8/edit?usp=sharing"",""สุราษฎร์ธานี!J325"")"),0)</f>
        <v>0</v>
      </c>
      <c r="K430" s="209">
        <f t="shared" ca="1" si="113"/>
        <v>0</v>
      </c>
      <c r="L430" s="189"/>
      <c r="M430" s="189"/>
      <c r="N430" s="189"/>
      <c r="O430" s="189"/>
      <c r="P430" s="189"/>
    </row>
    <row r="431" spans="1:16" ht="21.75" customHeight="1" x14ac:dyDescent="0.45">
      <c r="A431" s="408"/>
      <c r="B431" s="409"/>
      <c r="C431" s="409"/>
      <c r="D431" s="410"/>
      <c r="E431" s="206"/>
      <c r="F431" s="203"/>
      <c r="G431" s="233" t="s">
        <v>158</v>
      </c>
      <c r="H431" s="188" t="s">
        <v>37</v>
      </c>
      <c r="I431" s="406">
        <f ca="1">IFERROR(__xludf.DUMMYFUNCTION("IMPORTRANGE(""https://docs.google.com/spreadsheets/d/1IYY_tgx_IHuhSq3AJ5eI5OnqOPBNLWSHKh2a30DoXe8/edit?usp=sharing"",""สุราษฎร์ธานี!I326"")"),10)</f>
        <v>10</v>
      </c>
      <c r="J431" s="400">
        <f ca="1">IFERROR(__xludf.DUMMYFUNCTION("IMPORTRANGE(""https://docs.google.com/spreadsheets/d/1IYY_tgx_IHuhSq3AJ5eI5OnqOPBNLWSHKh2a30DoXe8/edit?usp=sharing"",""สุราษฎร์ธานี!J326"")"),0)</f>
        <v>0</v>
      </c>
      <c r="K431" s="169">
        <f t="shared" ca="1" si="113"/>
        <v>0</v>
      </c>
      <c r="L431" s="189"/>
      <c r="M431" s="189"/>
      <c r="N431" s="189"/>
      <c r="O431" s="189"/>
      <c r="P431" s="189"/>
    </row>
    <row r="432" spans="1:16" ht="21.75" customHeight="1" x14ac:dyDescent="0.45">
      <c r="A432" s="408"/>
      <c r="B432" s="409"/>
      <c r="C432" s="409"/>
      <c r="D432" s="410"/>
      <c r="E432" s="206"/>
      <c r="F432" s="203"/>
      <c r="G432" s="233" t="s">
        <v>159</v>
      </c>
      <c r="H432" s="188" t="s">
        <v>37</v>
      </c>
      <c r="I432" s="406">
        <f ca="1">IFERROR(__xludf.DUMMYFUNCTION("IMPORTRANGE(""https://docs.google.com/spreadsheets/d/1IYY_tgx_IHuhSq3AJ5eI5OnqOPBNLWSHKh2a30DoXe8/edit?usp=sharing"",""สุราษฎร์ธานี!I327"")"),0)</f>
        <v>0</v>
      </c>
      <c r="J432" s="400">
        <f ca="1">IFERROR(__xludf.DUMMYFUNCTION("IMPORTRANGE(""https://docs.google.com/spreadsheets/d/1IYY_tgx_IHuhSq3AJ5eI5OnqOPBNLWSHKh2a30DoXe8/edit?usp=sharing"",""สุราษฎร์ธานี!J327"")"),0)</f>
        <v>0</v>
      </c>
      <c r="K432" s="169">
        <f t="shared" ca="1" si="113"/>
        <v>0</v>
      </c>
      <c r="L432" s="189"/>
      <c r="M432" s="189"/>
      <c r="N432" s="189"/>
      <c r="O432" s="189"/>
      <c r="P432" s="189"/>
    </row>
    <row r="433" spans="1:16" ht="21.75" customHeight="1" x14ac:dyDescent="0.35">
      <c r="A433" s="183"/>
      <c r="B433" s="184"/>
      <c r="C433" s="184"/>
      <c r="D433" s="201"/>
      <c r="E433" s="202" t="s">
        <v>54</v>
      </c>
      <c r="F433" s="203"/>
      <c r="G433" s="204"/>
      <c r="H433" s="194"/>
      <c r="I433" s="195"/>
      <c r="J433" s="205">
        <f ca="1">IFERROR(__xludf.DUMMYFUNCTION("IMPORTRANGE(""https://docs.google.com/spreadsheets/d/1IYY_tgx_IHuhSq3AJ5eI5OnqOPBNLWSHKh2a30DoXe8/edit?usp=sharing"",""สุราษฎร์ธานี!J328"")"),0)</f>
        <v>0</v>
      </c>
      <c r="K433" s="169"/>
      <c r="L433" s="189"/>
      <c r="M433" s="189"/>
      <c r="N433" s="189"/>
      <c r="O433" s="189"/>
      <c r="P433" s="189"/>
    </row>
    <row r="434" spans="1:16" ht="21.75" customHeight="1" x14ac:dyDescent="0.35">
      <c r="A434" s="183"/>
      <c r="B434" s="184"/>
      <c r="C434" s="184"/>
      <c r="D434" s="213">
        <v>3</v>
      </c>
      <c r="E434" s="214" t="s">
        <v>55</v>
      </c>
      <c r="F434" s="215"/>
      <c r="G434" s="216"/>
      <c r="H434" s="194"/>
      <c r="I434" s="195"/>
      <c r="J434" s="217">
        <f ca="1">IFERROR(__xludf.DUMMYFUNCTION("IMPORTRANGE(""https://docs.google.com/spreadsheets/d/1IYY_tgx_IHuhSq3AJ5eI5OnqOPBNLWSHKh2a30DoXe8/edit?usp=sharing"",""สุราษฎร์ธานี!J329"")"),0)</f>
        <v>0</v>
      </c>
      <c r="K434" s="169"/>
      <c r="L434" s="189"/>
      <c r="M434" s="189"/>
      <c r="N434" s="189"/>
      <c r="O434" s="189"/>
      <c r="P434" s="189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IFERROR(__xludf.DUMMYFUNCTION("IMPORTRANGE(""https://docs.google.com/spreadsheets/d/1IYY_tgx_IHuhSq3AJ5eI5OnqOPBNLWSHKh2a30DoXe8/edit?usp=sharing"",""สุราษฎร์ธานี!I330"")"),20)</f>
        <v>20</v>
      </c>
      <c r="J435" s="416">
        <f ca="1">IFERROR(__xludf.DUMMYFUNCTION("IMPORTRANGE(""https://docs.google.com/spreadsheets/d/1IYY_tgx_IHuhSq3AJ5eI5OnqOPBNLWSHKh2a30DoXe8/edit?usp=sharing"",""สุราษฎร์ธานี!J330"")"),20)</f>
        <v>20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IFERROR(__xludf.DUMMYFUNCTION("IMPORTRANGE(""https://docs.google.com/spreadsheets/d/1IYY_tgx_IHuhSq3AJ5eI5OnqOPBNLWSHKh2a30DoXe8/edit?usp=sharing"",""สุราษฎร์ธานี!L330"")"),100000)</f>
        <v>100000</v>
      </c>
      <c r="M435" s="418"/>
      <c r="N435" s="418">
        <f ca="1">IFERROR(__xludf.DUMMYFUNCTION("IMPORTRANGE(""https://docs.google.com/spreadsheets/d/1IYY_tgx_IHuhSq3AJ5eI5OnqOPBNLWSHKh2a30DoXe8/edit?usp=sharing"",""สุราษฎร์ธานี!M330"")"),59320)</f>
        <v>59320</v>
      </c>
      <c r="O435" s="418">
        <f t="shared" ref="O435:O439" ca="1" si="114">+IF(L435&gt;0,N435*100/L435,0)</f>
        <v>59.32</v>
      </c>
      <c r="P435" s="418"/>
    </row>
    <row r="436" spans="1:16" ht="21.75" customHeight="1" x14ac:dyDescent="0.35">
      <c r="A436" s="162"/>
      <c r="B436" s="163"/>
      <c r="C436" s="163" t="s">
        <v>16</v>
      </c>
      <c r="D436" s="164" t="s">
        <v>38</v>
      </c>
      <c r="E436" s="165"/>
      <c r="F436" s="165"/>
      <c r="G436" s="166" t="s">
        <v>39</v>
      </c>
      <c r="H436" s="167" t="s">
        <v>12</v>
      </c>
      <c r="I436" s="168" t="s">
        <v>40</v>
      </c>
      <c r="J436" s="168"/>
      <c r="K436" s="169"/>
      <c r="L436" s="170">
        <f ca="1">IFERROR(__xludf.DUMMYFUNCTION("IMPORTRANGE(""https://docs.google.com/spreadsheets/d/1IYY_tgx_IHuhSq3AJ5eI5OnqOPBNLWSHKh2a30DoXe8/edit?usp=sharing"",""สุราษฎร์ธานี!L331"")"),0)</f>
        <v>0</v>
      </c>
      <c r="M436" s="170"/>
      <c r="N436" s="176">
        <f ca="1">IFERROR(__xludf.DUMMYFUNCTION("IMPORTRANGE(""https://docs.google.com/spreadsheets/d/1IYY_tgx_IHuhSq3AJ5eI5OnqOPBNLWSHKh2a30DoXe8/edit?usp=sharing"",""สุราษฎร์ธานี!M331"")"),0)</f>
        <v>0</v>
      </c>
      <c r="O436" s="176">
        <f t="shared" ca="1" si="114"/>
        <v>0</v>
      </c>
      <c r="P436" s="176"/>
    </row>
    <row r="437" spans="1:16" ht="21.75" customHeight="1" x14ac:dyDescent="0.35">
      <c r="A437" s="162"/>
      <c r="B437" s="163"/>
      <c r="C437" s="163"/>
      <c r="D437" s="172"/>
      <c r="E437" s="165"/>
      <c r="F437" s="165" t="s">
        <v>40</v>
      </c>
      <c r="G437" s="166" t="s">
        <v>41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IFERROR(__xludf.DUMMYFUNCTION("IMPORTRANGE(""https://docs.google.com/spreadsheets/d/1IYY_tgx_IHuhSq3AJ5eI5OnqOPBNLWSHKh2a30DoXe8/edit?usp=sharing"",""สุราษฎร์ธานี!L332"")"),100000)</f>
        <v>100000</v>
      </c>
      <c r="M437" s="171"/>
      <c r="N437" s="176">
        <f ca="1">IFERROR(__xludf.DUMMYFUNCTION("IMPORTRANGE(""https://docs.google.com/spreadsheets/d/1IYY_tgx_IHuhSq3AJ5eI5OnqOPBNLWSHKh2a30DoXe8/edit?usp=sharing"",""สุราษฎร์ธานี!M332"")"),59320)</f>
        <v>59320</v>
      </c>
      <c r="O437" s="176">
        <f t="shared" ca="1" si="114"/>
        <v>59.32</v>
      </c>
      <c r="P437" s="176"/>
    </row>
    <row r="438" spans="1:16" ht="21.75" customHeight="1" x14ac:dyDescent="0.35">
      <c r="A438" s="162"/>
      <c r="B438" s="163"/>
      <c r="C438" s="163"/>
      <c r="D438" s="172"/>
      <c r="E438" s="165"/>
      <c r="F438" s="165"/>
      <c r="G438" s="380" t="s">
        <v>129</v>
      </c>
      <c r="H438" s="167" t="s">
        <v>12</v>
      </c>
      <c r="I438" s="168"/>
      <c r="J438" s="168"/>
      <c r="K438" s="169"/>
      <c r="L438" s="176">
        <f ca="1">IFERROR(__xludf.DUMMYFUNCTION("IMPORTRANGE(""https://docs.google.com/spreadsheets/d/1IYY_tgx_IHuhSq3AJ5eI5OnqOPBNLWSHKh2a30DoXe8/edit?usp=sharing"",""สุราษฎร์ธานี!L333"")"),0)</f>
        <v>0</v>
      </c>
      <c r="M438" s="176"/>
      <c r="N438" s="176">
        <f ca="1">IFERROR(__xludf.DUMMYFUNCTION("IMPORTRANGE(""https://docs.google.com/spreadsheets/d/1IYY_tgx_IHuhSq3AJ5eI5OnqOPBNLWSHKh2a30DoXe8/edit?usp=sharing"",""สุราษฎร์ธานี!M333"")"),0)</f>
        <v>0</v>
      </c>
      <c r="O438" s="176">
        <f t="shared" ca="1" si="114"/>
        <v>0</v>
      </c>
      <c r="P438" s="176"/>
    </row>
    <row r="439" spans="1:16" ht="21.75" customHeight="1" x14ac:dyDescent="0.35">
      <c r="A439" s="162"/>
      <c r="B439" s="163"/>
      <c r="C439" s="163"/>
      <c r="D439" s="172"/>
      <c r="E439" s="165"/>
      <c r="F439" s="165"/>
      <c r="G439" s="380" t="s">
        <v>130</v>
      </c>
      <c r="H439" s="167" t="s">
        <v>12</v>
      </c>
      <c r="I439" s="168"/>
      <c r="J439" s="168"/>
      <c r="K439" s="169"/>
      <c r="L439" s="176">
        <f ca="1">IFERROR(__xludf.DUMMYFUNCTION("IMPORTRANGE(""https://docs.google.com/spreadsheets/d/1IYY_tgx_IHuhSq3AJ5eI5OnqOPBNLWSHKh2a30DoXe8/edit?usp=sharing"",""สุราษฎร์ธานี!L334"")"),100000)</f>
        <v>100000</v>
      </c>
      <c r="M439" s="176"/>
      <c r="N439" s="176">
        <f ca="1">IFERROR(__xludf.DUMMYFUNCTION("IMPORTRANGE(""https://docs.google.com/spreadsheets/d/1IYY_tgx_IHuhSq3AJ5eI5OnqOPBNLWSHKh2a30DoXe8/edit?usp=sharing"",""สุราษฎร์ธานี!M334"")"),59320)</f>
        <v>59320</v>
      </c>
      <c r="O439" s="176">
        <f t="shared" ca="1" si="114"/>
        <v>59.32</v>
      </c>
      <c r="P439" s="176"/>
    </row>
    <row r="440" spans="1:16" ht="21.75" customHeight="1" x14ac:dyDescent="0.35">
      <c r="A440" s="381"/>
      <c r="B440" s="382"/>
      <c r="C440" s="163"/>
      <c r="D440" s="383"/>
      <c r="E440" s="165"/>
      <c r="F440" s="165"/>
      <c r="G440" s="384" t="s">
        <v>131</v>
      </c>
      <c r="H440" s="167" t="s">
        <v>12</v>
      </c>
      <c r="I440" s="195"/>
      <c r="J440" s="195"/>
      <c r="K440" s="231"/>
      <c r="L440" s="176"/>
      <c r="M440" s="176"/>
      <c r="N440" s="385">
        <f ca="1">IFERROR(__xludf.DUMMYFUNCTION("IMPORTRANGE(""https://docs.google.com/spreadsheets/d/1IYY_tgx_IHuhSq3AJ5eI5OnqOPBNLWSHKh2a30DoXe8/edit?usp=sharing"",""สุราษฎร์ธานี!M335"")"),49200)</f>
        <v>49200</v>
      </c>
      <c r="O440" s="176"/>
      <c r="P440" s="176"/>
    </row>
    <row r="441" spans="1:16" ht="21.75" customHeight="1" x14ac:dyDescent="0.35">
      <c r="A441" s="381"/>
      <c r="B441" s="382"/>
      <c r="C441" s="163"/>
      <c r="D441" s="383"/>
      <c r="E441" s="165"/>
      <c r="F441" s="165"/>
      <c r="G441" s="384" t="s">
        <v>132</v>
      </c>
      <c r="H441" s="167" t="s">
        <v>12</v>
      </c>
      <c r="I441" s="195"/>
      <c r="J441" s="195"/>
      <c r="K441" s="231"/>
      <c r="L441" s="176"/>
      <c r="M441" s="176"/>
      <c r="N441" s="385">
        <f ca="1">IFERROR(__xludf.DUMMYFUNCTION("IMPORTRANGE(""https://docs.google.com/spreadsheets/d/1IYY_tgx_IHuhSq3AJ5eI5OnqOPBNLWSHKh2a30DoXe8/edit?usp=sharing"",""สุราษฎร์ธานี!M336"")"),0)</f>
        <v>0</v>
      </c>
      <c r="O441" s="176"/>
      <c r="P441" s="176"/>
    </row>
    <row r="442" spans="1:16" ht="21.75" customHeight="1" x14ac:dyDescent="0.35">
      <c r="A442" s="381"/>
      <c r="B442" s="382"/>
      <c r="C442" s="163"/>
      <c r="D442" s="383"/>
      <c r="E442" s="165"/>
      <c r="F442" s="165"/>
      <c r="G442" s="384" t="s">
        <v>133</v>
      </c>
      <c r="H442" s="167" t="s">
        <v>12</v>
      </c>
      <c r="I442" s="195"/>
      <c r="J442" s="195"/>
      <c r="K442" s="231"/>
      <c r="L442" s="176"/>
      <c r="M442" s="176"/>
      <c r="N442" s="385">
        <f ca="1">IFERROR(__xludf.DUMMYFUNCTION("IMPORTRANGE(""https://docs.google.com/spreadsheets/d/1IYY_tgx_IHuhSq3AJ5eI5OnqOPBNLWSHKh2a30DoXe8/edit?usp=sharing"",""สุราษฎร์ธานี!M337"")"),0)</f>
        <v>0</v>
      </c>
      <c r="O442" s="176"/>
      <c r="P442" s="176"/>
    </row>
    <row r="443" spans="1:16" ht="21.75" customHeight="1" x14ac:dyDescent="0.35">
      <c r="A443" s="381"/>
      <c r="B443" s="382"/>
      <c r="C443" s="163"/>
      <c r="D443" s="383"/>
      <c r="E443" s="165"/>
      <c r="F443" s="165"/>
      <c r="G443" s="384" t="s">
        <v>134</v>
      </c>
      <c r="H443" s="167" t="s">
        <v>12</v>
      </c>
      <c r="I443" s="195"/>
      <c r="J443" s="195"/>
      <c r="K443" s="231"/>
      <c r="L443" s="176"/>
      <c r="M443" s="176"/>
      <c r="N443" s="385">
        <f ca="1">IFERROR(__xludf.DUMMYFUNCTION("IMPORTRANGE(""https://docs.google.com/spreadsheets/d/1IYY_tgx_IHuhSq3AJ5eI5OnqOPBNLWSHKh2a30DoXe8/edit?usp=sharing"",""สุราษฎร์ธานี!M338"")"),10120)</f>
        <v>10120</v>
      </c>
      <c r="O443" s="176"/>
      <c r="P443" s="176"/>
    </row>
    <row r="444" spans="1:16" ht="21.75" customHeight="1" x14ac:dyDescent="0.35">
      <c r="A444" s="183"/>
      <c r="B444" s="184"/>
      <c r="C444" s="163" t="s">
        <v>16</v>
      </c>
      <c r="D444" s="185" t="s">
        <v>44</v>
      </c>
      <c r="E444" s="186"/>
      <c r="F444" s="186"/>
      <c r="G444" s="187"/>
      <c r="H444" s="188"/>
      <c r="I444" s="168"/>
      <c r="J444" s="168"/>
      <c r="K444" s="169"/>
      <c r="L444" s="189"/>
      <c r="M444" s="189"/>
      <c r="N444" s="189"/>
      <c r="O444" s="189"/>
      <c r="P444" s="189"/>
    </row>
    <row r="445" spans="1:16" ht="21.75" customHeight="1" x14ac:dyDescent="0.35">
      <c r="A445" s="183"/>
      <c r="B445" s="184"/>
      <c r="C445" s="184"/>
      <c r="D445" s="190">
        <v>1</v>
      </c>
      <c r="E445" s="191" t="s">
        <v>45</v>
      </c>
      <c r="F445" s="192"/>
      <c r="G445" s="193"/>
      <c r="H445" s="194"/>
      <c r="I445" s="195"/>
      <c r="J445" s="217">
        <f ca="1">IFERROR(__xludf.DUMMYFUNCTION("IMPORTRANGE(""https://docs.google.com/spreadsheets/d/1IYY_tgx_IHuhSq3AJ5eI5OnqOPBNLWSHKh2a30DoXe8/edit?usp=sharing"",""สุราษฎร์ธานี!J340"")"),0)</f>
        <v>0</v>
      </c>
      <c r="K445" s="169"/>
      <c r="L445" s="189"/>
      <c r="M445" s="189"/>
      <c r="N445" s="189"/>
      <c r="O445" s="189"/>
      <c r="P445" s="189"/>
    </row>
    <row r="446" spans="1:16" ht="21.75" customHeight="1" x14ac:dyDescent="0.35">
      <c r="A446" s="183"/>
      <c r="B446" s="184"/>
      <c r="C446" s="184"/>
      <c r="D446" s="197">
        <v>2</v>
      </c>
      <c r="E446" s="198" t="s">
        <v>46</v>
      </c>
      <c r="F446" s="199"/>
      <c r="G446" s="200"/>
      <c r="H446" s="194"/>
      <c r="I446" s="195"/>
      <c r="J446" s="419">
        <f ca="1">IFERROR(__xludf.DUMMYFUNCTION("IMPORTRANGE(""https://docs.google.com/spreadsheets/d/1IYY_tgx_IHuhSq3AJ5eI5OnqOPBNLWSHKh2a30DoXe8/edit?usp=sharing"",""สุราษฎร์ธานี!J341"")"),1)</f>
        <v>1</v>
      </c>
      <c r="K446" s="169"/>
      <c r="L446" s="189" t="s">
        <v>40</v>
      </c>
      <c r="M446" s="189"/>
      <c r="N446" s="189" t="s">
        <v>40</v>
      </c>
      <c r="O446" s="189"/>
      <c r="P446" s="189"/>
    </row>
    <row r="447" spans="1:16" ht="21.75" customHeight="1" x14ac:dyDescent="0.35">
      <c r="A447" s="183"/>
      <c r="B447" s="184"/>
      <c r="C447" s="184"/>
      <c r="D447" s="201"/>
      <c r="E447" s="202" t="s">
        <v>161</v>
      </c>
      <c r="F447" s="203"/>
      <c r="G447" s="204"/>
      <c r="H447" s="194"/>
      <c r="I447" s="195"/>
      <c r="J447" s="196">
        <f ca="1">IFERROR(__xludf.DUMMYFUNCTION("IMPORTRANGE(""https://docs.google.com/spreadsheets/d/1IYY_tgx_IHuhSq3AJ5eI5OnqOPBNLWSHKh2a30DoXe8/edit?usp=sharing"",""สุราษฎร์ธานี!J342"")"),1)</f>
        <v>1</v>
      </c>
      <c r="K447" s="169"/>
      <c r="L447" s="189"/>
      <c r="M447" s="189"/>
      <c r="N447" s="189"/>
      <c r="O447" s="189"/>
      <c r="P447" s="189"/>
    </row>
    <row r="448" spans="1:16" ht="21.75" customHeight="1" x14ac:dyDescent="0.35">
      <c r="A448" s="183"/>
      <c r="B448" s="184"/>
      <c r="C448" s="184"/>
      <c r="D448" s="201"/>
      <c r="E448" s="202" t="s">
        <v>48</v>
      </c>
      <c r="F448" s="203"/>
      <c r="G448" s="204"/>
      <c r="H448" s="194"/>
      <c r="I448" s="195"/>
      <c r="J448" s="196">
        <f ca="1">IFERROR(__xludf.DUMMYFUNCTION("IMPORTRANGE(""https://docs.google.com/spreadsheets/d/1IYY_tgx_IHuhSq3AJ5eI5OnqOPBNLWSHKh2a30DoXe8/edit?usp=sharing"",""สุราษฎร์ธานี!J343"")"),1)</f>
        <v>1</v>
      </c>
      <c r="K448" s="169"/>
      <c r="L448" s="189"/>
      <c r="M448" s="189"/>
      <c r="N448" s="189"/>
      <c r="O448" s="189"/>
      <c r="P448" s="189"/>
    </row>
    <row r="449" spans="1:16" ht="21.75" customHeight="1" x14ac:dyDescent="0.35">
      <c r="A449" s="183"/>
      <c r="B449" s="184"/>
      <c r="C449" s="184"/>
      <c r="D449" s="201"/>
      <c r="E449" s="206"/>
      <c r="F449" s="420" t="s">
        <v>101</v>
      </c>
      <c r="G449" s="204"/>
      <c r="H449" s="194" t="s">
        <v>37</v>
      </c>
      <c r="I449" s="397">
        <f ca="1">IFERROR(__xludf.DUMMYFUNCTION("IMPORTRANGE(""https://docs.google.com/spreadsheets/d/1IYY_tgx_IHuhSq3AJ5eI5OnqOPBNLWSHKh2a30DoXe8/edit?usp=sharing"",""สุราษฎร์ธานี!I344"")"),20)</f>
        <v>20</v>
      </c>
      <c r="J449" s="208">
        <f ca="1">IFERROR(__xludf.DUMMYFUNCTION("IMPORTRANGE(""https://docs.google.com/spreadsheets/d/1IYY_tgx_IHuhSq3AJ5eI5OnqOPBNLWSHKh2a30DoXe8/edit?usp=sharing"",""สุราษฎร์ธานี!J344"")"),20)</f>
        <v>20</v>
      </c>
      <c r="K449" s="169">
        <f t="shared" ref="K449:K452" ca="1" si="115">IF(I449&gt;0,J449*100/I449,0)</f>
        <v>100</v>
      </c>
      <c r="L449" s="189"/>
      <c r="M449" s="189"/>
      <c r="N449" s="189"/>
      <c r="O449" s="189"/>
      <c r="P449" s="189"/>
    </row>
    <row r="450" spans="1:16" ht="21.75" customHeight="1" x14ac:dyDescent="0.35">
      <c r="A450" s="183"/>
      <c r="B450" s="184"/>
      <c r="C450" s="184"/>
      <c r="D450" s="201"/>
      <c r="E450" s="206"/>
      <c r="F450" s="203"/>
      <c r="G450" s="233" t="s">
        <v>162</v>
      </c>
      <c r="H450" s="194" t="s">
        <v>37</v>
      </c>
      <c r="I450" s="347">
        <f ca="1">IFERROR(__xludf.DUMMYFUNCTION("IMPORTRANGE(""https://docs.google.com/spreadsheets/d/1IYY_tgx_IHuhSq3AJ5eI5OnqOPBNLWSHKh2a30DoXe8/edit?usp=sharing"",""สุราษฎร์ธานี!I345"")"),20)</f>
        <v>20</v>
      </c>
      <c r="J450" s="196">
        <f ca="1">IFERROR(__xludf.DUMMYFUNCTION("IMPORTRANGE(""https://docs.google.com/spreadsheets/d/1IYY_tgx_IHuhSq3AJ5eI5OnqOPBNLWSHKh2a30DoXe8/edit?usp=sharing"",""สุราษฎร์ธานี!J345"")"),20)</f>
        <v>20</v>
      </c>
      <c r="K450" s="169">
        <f t="shared" ca="1" si="115"/>
        <v>100</v>
      </c>
      <c r="L450" s="189"/>
      <c r="M450" s="189"/>
      <c r="N450" s="189"/>
      <c r="O450" s="189"/>
      <c r="P450" s="189"/>
    </row>
    <row r="451" spans="1:16" ht="21.75" customHeight="1" x14ac:dyDescent="0.35">
      <c r="A451" s="183"/>
      <c r="B451" s="184"/>
      <c r="C451" s="184"/>
      <c r="D451" s="201"/>
      <c r="E451" s="206"/>
      <c r="F451" s="203"/>
      <c r="G451" s="287" t="s">
        <v>163</v>
      </c>
      <c r="H451" s="194" t="s">
        <v>37</v>
      </c>
      <c r="I451" s="347">
        <f ca="1">IFERROR(__xludf.DUMMYFUNCTION("IMPORTRANGE(""https://docs.google.com/spreadsheets/d/1IYY_tgx_IHuhSq3AJ5eI5OnqOPBNLWSHKh2a30DoXe8/edit?usp=sharing"",""สุราษฎร์ธานี!I346"")"),0)</f>
        <v>0</v>
      </c>
      <c r="J451" s="195">
        <f ca="1">IFERROR(__xludf.DUMMYFUNCTION("IMPORTRANGE(""https://docs.google.com/spreadsheets/d/1IYY_tgx_IHuhSq3AJ5eI5OnqOPBNLWSHKh2a30DoXe8/edit?usp=sharing"",""สุราษฎร์ธานี!J346"")"),0)</f>
        <v>0</v>
      </c>
      <c r="K451" s="169">
        <f t="shared" ca="1" si="115"/>
        <v>0</v>
      </c>
      <c r="L451" s="189"/>
      <c r="M451" s="189"/>
      <c r="N451" s="189"/>
      <c r="O451" s="189"/>
      <c r="P451" s="189"/>
    </row>
    <row r="452" spans="1:16" ht="21.75" customHeight="1" x14ac:dyDescent="0.35">
      <c r="A452" s="183"/>
      <c r="B452" s="184"/>
      <c r="C452" s="184"/>
      <c r="D452" s="201"/>
      <c r="E452" s="206"/>
      <c r="F452" s="203"/>
      <c r="G452" s="204" t="s">
        <v>164</v>
      </c>
      <c r="H452" s="194" t="s">
        <v>37</v>
      </c>
      <c r="I452" s="195">
        <f ca="1">IFERROR(__xludf.DUMMYFUNCTION("IMPORTRANGE(""https://docs.google.com/spreadsheets/d/1IYY_tgx_IHuhSq3AJ5eI5OnqOPBNLWSHKh2a30DoXe8/edit?usp=sharing"",""สุราษฎร์ธานี!I347"")"),0)</f>
        <v>0</v>
      </c>
      <c r="J452" s="195">
        <f ca="1">IFERROR(__xludf.DUMMYFUNCTION("IMPORTRANGE(""https://docs.google.com/spreadsheets/d/1IYY_tgx_IHuhSq3AJ5eI5OnqOPBNLWSHKh2a30DoXe8/edit?usp=sharing"",""สุราษฎร์ธานี!J347"")"),0)</f>
        <v>0</v>
      </c>
      <c r="K452" s="169">
        <f t="shared" ca="1" si="115"/>
        <v>0</v>
      </c>
      <c r="L452" s="189"/>
      <c r="M452" s="189"/>
      <c r="N452" s="189"/>
      <c r="O452" s="189"/>
      <c r="P452" s="189"/>
    </row>
    <row r="453" spans="1:16" ht="21.75" customHeight="1" x14ac:dyDescent="0.35">
      <c r="A453" s="183"/>
      <c r="B453" s="184"/>
      <c r="C453" s="184"/>
      <c r="D453" s="201"/>
      <c r="E453" s="202" t="s">
        <v>54</v>
      </c>
      <c r="F453" s="203"/>
      <c r="G453" s="204"/>
      <c r="H453" s="194"/>
      <c r="I453" s="195"/>
      <c r="J453" s="205">
        <f ca="1">IFERROR(__xludf.DUMMYFUNCTION("IMPORTRANGE(""https://docs.google.com/spreadsheets/d/1IYY_tgx_IHuhSq3AJ5eI5OnqOPBNLWSHKh2a30DoXe8/edit?usp=sharing"",""สุราษฎร์ธานี!J348"")"),0)</f>
        <v>0</v>
      </c>
      <c r="K453" s="169"/>
      <c r="L453" s="189"/>
      <c r="M453" s="189"/>
      <c r="N453" s="189"/>
      <c r="O453" s="189"/>
      <c r="P453" s="189"/>
    </row>
    <row r="454" spans="1:16" ht="21.75" customHeight="1" x14ac:dyDescent="0.35">
      <c r="A454" s="183"/>
      <c r="B454" s="184"/>
      <c r="C454" s="184"/>
      <c r="D454" s="213">
        <v>3</v>
      </c>
      <c r="E454" s="214" t="s">
        <v>55</v>
      </c>
      <c r="F454" s="215"/>
      <c r="G454" s="216"/>
      <c r="H454" s="194"/>
      <c r="I454" s="195"/>
      <c r="J454" s="217">
        <f ca="1">IFERROR(__xludf.DUMMYFUNCTION("IMPORTRANGE(""https://docs.google.com/spreadsheets/d/1IYY_tgx_IHuhSq3AJ5eI5OnqOPBNLWSHKh2a30DoXe8/edit?usp=sharing"",""สุราษฎร์ธานี!J349"")"),0)</f>
        <v>0</v>
      </c>
      <c r="K454" s="169"/>
      <c r="L454" s="189"/>
      <c r="M454" s="189"/>
      <c r="N454" s="189"/>
      <c r="O454" s="189"/>
      <c r="P454" s="189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IFERROR(__xludf.DUMMYFUNCTION("IMPORTRANGE(""https://docs.google.com/spreadsheets/d/1IYY_tgx_IHuhSq3AJ5eI5OnqOPBNLWSHKh2a30DoXe8/edit?usp=sharing"",""สุราษฎร์ธานี!I350"")"),151732)</f>
        <v>151732</v>
      </c>
      <c r="J455" s="377">
        <f ca="1">IFERROR(__xludf.DUMMYFUNCTION("IMPORTRANGE(""https://docs.google.com/spreadsheets/d/1IYY_tgx_IHuhSq3AJ5eI5OnqOPBNLWSHKh2a30DoXe8/edit?usp=sharing"",""สุราษฎร์ธานี!J350"")"),0)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IFERROR(__xludf.DUMMYFUNCTION("IMPORTRANGE(""https://docs.google.com/spreadsheets/d/1IYY_tgx_IHuhSq3AJ5eI5OnqOPBNLWSHKh2a30DoXe8/edit?usp=sharing"",""สุราษฎร์ธานี!L350"")"),1055798)</f>
        <v>1055798</v>
      </c>
      <c r="M455" s="379"/>
      <c r="N455" s="379">
        <f ca="1">IFERROR(__xludf.DUMMYFUNCTION("IMPORTRANGE(""https://docs.google.com/spreadsheets/d/1IYY_tgx_IHuhSq3AJ5eI5OnqOPBNLWSHKh2a30DoXe8/edit?usp=sharing"",""สุราษฎร์ธานี!M350"")"),96081.95)</f>
        <v>96081.95</v>
      </c>
      <c r="O455" s="379">
        <f t="shared" ref="O455:O459" ca="1" si="116">+IF(L455&gt;0,N455*100/L455,0)</f>
        <v>9.1004103057592456</v>
      </c>
      <c r="P455" s="379"/>
    </row>
    <row r="456" spans="1:16" ht="21.75" customHeight="1" x14ac:dyDescent="0.35">
      <c r="A456" s="162"/>
      <c r="B456" s="163"/>
      <c r="C456" s="163" t="s">
        <v>16</v>
      </c>
      <c r="D456" s="164" t="s">
        <v>38</v>
      </c>
      <c r="E456" s="165"/>
      <c r="F456" s="165"/>
      <c r="G456" s="166" t="s">
        <v>39</v>
      </c>
      <c r="H456" s="167" t="s">
        <v>12</v>
      </c>
      <c r="I456" s="168" t="s">
        <v>40</v>
      </c>
      <c r="J456" s="168"/>
      <c r="K456" s="169"/>
      <c r="L456" s="170">
        <f ca="1">IFERROR(__xludf.DUMMYFUNCTION("IMPORTRANGE(""https://docs.google.com/spreadsheets/d/1IYY_tgx_IHuhSq3AJ5eI5OnqOPBNLWSHKh2a30DoXe8/edit?usp=sharing"",""สุราษฎร์ธานี!L351"")"),0)</f>
        <v>0</v>
      </c>
      <c r="M456" s="170"/>
      <c r="N456" s="176">
        <f ca="1">IFERROR(__xludf.DUMMYFUNCTION("IMPORTRANGE(""https://docs.google.com/spreadsheets/d/1IYY_tgx_IHuhSq3AJ5eI5OnqOPBNLWSHKh2a30DoXe8/edit?usp=sharing"",""สุราษฎร์ธานี!M351"")"),0)</f>
        <v>0</v>
      </c>
      <c r="O456" s="176">
        <f t="shared" ca="1" si="116"/>
        <v>0</v>
      </c>
      <c r="P456" s="176"/>
    </row>
    <row r="457" spans="1:16" ht="21.75" customHeight="1" x14ac:dyDescent="0.35">
      <c r="A457" s="162"/>
      <c r="B457" s="163"/>
      <c r="C457" s="163"/>
      <c r="D457" s="172"/>
      <c r="E457" s="165"/>
      <c r="F457" s="165" t="s">
        <v>40</v>
      </c>
      <c r="G457" s="166" t="s">
        <v>41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IFERROR(__xludf.DUMMYFUNCTION("IMPORTRANGE(""https://docs.google.com/spreadsheets/d/1IYY_tgx_IHuhSq3AJ5eI5OnqOPBNLWSHKh2a30DoXe8/edit?usp=sharing"",""สุราษฎร์ธานี!L352"")"),1055798)</f>
        <v>1055798</v>
      </c>
      <c r="M457" s="171"/>
      <c r="N457" s="176">
        <f ca="1">IFERROR(__xludf.DUMMYFUNCTION("IMPORTRANGE(""https://docs.google.com/spreadsheets/d/1IYY_tgx_IHuhSq3AJ5eI5OnqOPBNLWSHKh2a30DoXe8/edit?usp=sharing"",""สุราษฎร์ธานี!M352"")"),96081.95)</f>
        <v>96081.95</v>
      </c>
      <c r="O457" s="176">
        <f t="shared" ca="1" si="116"/>
        <v>9.1004103057592456</v>
      </c>
      <c r="P457" s="176"/>
    </row>
    <row r="458" spans="1:16" ht="21.75" customHeight="1" x14ac:dyDescent="0.35">
      <c r="A458" s="162"/>
      <c r="B458" s="163"/>
      <c r="C458" s="163"/>
      <c r="D458" s="172"/>
      <c r="E458" s="165"/>
      <c r="F458" s="165"/>
      <c r="G458" s="380" t="s">
        <v>129</v>
      </c>
      <c r="H458" s="167" t="s">
        <v>12</v>
      </c>
      <c r="I458" s="168"/>
      <c r="J458" s="168"/>
      <c r="K458" s="169"/>
      <c r="L458" s="176">
        <f ca="1">IFERROR(__xludf.DUMMYFUNCTION("IMPORTRANGE(""https://docs.google.com/spreadsheets/d/1IYY_tgx_IHuhSq3AJ5eI5OnqOPBNLWSHKh2a30DoXe8/edit?usp=sharing"",""สุราษฎร์ธานี!L353"")"),0)</f>
        <v>0</v>
      </c>
      <c r="M458" s="176"/>
      <c r="N458" s="176">
        <f ca="1">IFERROR(__xludf.DUMMYFUNCTION("IMPORTRANGE(""https://docs.google.com/spreadsheets/d/1IYY_tgx_IHuhSq3AJ5eI5OnqOPBNLWSHKh2a30DoXe8/edit?usp=sharing"",""สุราษฎร์ธานี!M353"")"),0)</f>
        <v>0</v>
      </c>
      <c r="O458" s="176">
        <f t="shared" ca="1" si="116"/>
        <v>0</v>
      </c>
      <c r="P458" s="176"/>
    </row>
    <row r="459" spans="1:16" ht="21.75" customHeight="1" x14ac:dyDescent="0.35">
      <c r="A459" s="162"/>
      <c r="B459" s="163"/>
      <c r="C459" s="163"/>
      <c r="D459" s="172"/>
      <c r="E459" s="165"/>
      <c r="F459" s="165"/>
      <c r="G459" s="380" t="s">
        <v>130</v>
      </c>
      <c r="H459" s="167" t="s">
        <v>12</v>
      </c>
      <c r="I459" s="168"/>
      <c r="J459" s="168"/>
      <c r="K459" s="169"/>
      <c r="L459" s="176">
        <f ca="1">IFERROR(__xludf.DUMMYFUNCTION("IMPORTRANGE(""https://docs.google.com/spreadsheets/d/1IYY_tgx_IHuhSq3AJ5eI5OnqOPBNLWSHKh2a30DoXe8/edit?usp=sharing"",""สุราษฎร์ธานี!L354"")"),1055798)</f>
        <v>1055798</v>
      </c>
      <c r="M459" s="176"/>
      <c r="N459" s="176">
        <f ca="1">IFERROR(__xludf.DUMMYFUNCTION("IMPORTRANGE(""https://docs.google.com/spreadsheets/d/1IYY_tgx_IHuhSq3AJ5eI5OnqOPBNLWSHKh2a30DoXe8/edit?usp=sharing"",""สุราษฎร์ธานี!M354"")"),96081.95)</f>
        <v>96081.95</v>
      </c>
      <c r="O459" s="176">
        <f t="shared" ca="1" si="116"/>
        <v>9.1004103057592456</v>
      </c>
      <c r="P459" s="176"/>
    </row>
    <row r="460" spans="1:16" ht="21.75" customHeight="1" x14ac:dyDescent="0.35">
      <c r="A460" s="381"/>
      <c r="B460" s="382"/>
      <c r="C460" s="163"/>
      <c r="D460" s="383"/>
      <c r="E460" s="165"/>
      <c r="F460" s="165"/>
      <c r="G460" s="384" t="s">
        <v>131</v>
      </c>
      <c r="H460" s="167" t="s">
        <v>12</v>
      </c>
      <c r="I460" s="195"/>
      <c r="J460" s="195"/>
      <c r="K460" s="231"/>
      <c r="L460" s="176"/>
      <c r="M460" s="176"/>
      <c r="N460" s="173">
        <f ca="1">IFERROR(__xludf.DUMMYFUNCTION("IMPORTRANGE(""https://docs.google.com/spreadsheets/d/1IYY_tgx_IHuhSq3AJ5eI5OnqOPBNLWSHKh2a30DoXe8/edit?usp=sharing"",""สุราษฎร์ธานี!M355"")"),0)</f>
        <v>0</v>
      </c>
      <c r="O460" s="176"/>
      <c r="P460" s="176"/>
    </row>
    <row r="461" spans="1:16" ht="21.75" customHeight="1" x14ac:dyDescent="0.35">
      <c r="A461" s="381"/>
      <c r="B461" s="382"/>
      <c r="C461" s="163"/>
      <c r="D461" s="383"/>
      <c r="E461" s="165"/>
      <c r="F461" s="165"/>
      <c r="G461" s="384" t="s">
        <v>132</v>
      </c>
      <c r="H461" s="167" t="s">
        <v>12</v>
      </c>
      <c r="I461" s="195"/>
      <c r="J461" s="195"/>
      <c r="K461" s="231"/>
      <c r="L461" s="176"/>
      <c r="M461" s="176"/>
      <c r="N461" s="173">
        <f ca="1">IFERROR(__xludf.DUMMYFUNCTION("IMPORTRANGE(""https://docs.google.com/spreadsheets/d/1IYY_tgx_IHuhSq3AJ5eI5OnqOPBNLWSHKh2a30DoXe8/edit?usp=sharing"",""สุราษฎร์ธานี!M356"")"),0)</f>
        <v>0</v>
      </c>
      <c r="O461" s="176"/>
      <c r="P461" s="176"/>
    </row>
    <row r="462" spans="1:16" ht="21.75" customHeight="1" x14ac:dyDescent="0.35">
      <c r="A462" s="381"/>
      <c r="B462" s="382"/>
      <c r="C462" s="163"/>
      <c r="D462" s="383"/>
      <c r="E462" s="165"/>
      <c r="F462" s="165"/>
      <c r="G462" s="384" t="s">
        <v>133</v>
      </c>
      <c r="H462" s="167" t="s">
        <v>12</v>
      </c>
      <c r="I462" s="195"/>
      <c r="J462" s="195"/>
      <c r="K462" s="231"/>
      <c r="L462" s="176"/>
      <c r="M462" s="176"/>
      <c r="N462" s="385">
        <f ca="1">IFERROR(__xludf.DUMMYFUNCTION("IMPORTRANGE(""https://docs.google.com/spreadsheets/d/1IYY_tgx_IHuhSq3AJ5eI5OnqOPBNLWSHKh2a30DoXe8/edit?usp=sharing"",""สุราษฎร์ธานี!M357"")"),63741.95)</f>
        <v>63741.95</v>
      </c>
      <c r="O462" s="176"/>
      <c r="P462" s="176"/>
    </row>
    <row r="463" spans="1:16" ht="21.75" customHeight="1" x14ac:dyDescent="0.35">
      <c r="A463" s="381"/>
      <c r="B463" s="382"/>
      <c r="C463" s="163"/>
      <c r="D463" s="383"/>
      <c r="E463" s="165"/>
      <c r="F463" s="165"/>
      <c r="G463" s="384" t="s">
        <v>134</v>
      </c>
      <c r="H463" s="167" t="s">
        <v>12</v>
      </c>
      <c r="I463" s="195"/>
      <c r="J463" s="195"/>
      <c r="K463" s="231"/>
      <c r="L463" s="176"/>
      <c r="M463" s="176"/>
      <c r="N463" s="385">
        <f ca="1">IFERROR(__xludf.DUMMYFUNCTION("IMPORTRANGE(""https://docs.google.com/spreadsheets/d/1IYY_tgx_IHuhSq3AJ5eI5OnqOPBNLWSHKh2a30DoXe8/edit?usp=sharing"",""สุราษฎร์ธานี!M358"")"),32340)</f>
        <v>32340</v>
      </c>
      <c r="O463" s="176"/>
      <c r="P463" s="176"/>
    </row>
    <row r="464" spans="1:16" ht="21.75" customHeight="1" x14ac:dyDescent="0.35">
      <c r="A464" s="183"/>
      <c r="B464" s="184"/>
      <c r="C464" s="421" t="s">
        <v>166</v>
      </c>
      <c r="D464" s="421"/>
      <c r="E464" s="422"/>
      <c r="F464" s="422"/>
      <c r="G464" s="423"/>
      <c r="H464" s="273" t="s">
        <v>122</v>
      </c>
      <c r="I464" s="274">
        <f ca="1">IFERROR(__xludf.DUMMYFUNCTION("IMPORTRANGE(""https://docs.google.com/spreadsheets/d/1IYY_tgx_IHuhSq3AJ5eI5OnqOPBNLWSHKh2a30DoXe8/edit?usp=sharing"",""สุราษฎร์ธานี!I359"")"),151732)</f>
        <v>151732</v>
      </c>
      <c r="J464" s="274">
        <f ca="1">IFERROR(__xludf.DUMMYFUNCTION("IMPORTRANGE(""https://docs.google.com/spreadsheets/d/1IYY_tgx_IHuhSq3AJ5eI5OnqOPBNLWSHKh2a30DoXe8/edit?usp=sharing"",""สุราษฎร์ธานี!J359"")"),0)</f>
        <v>0</v>
      </c>
      <c r="K464" s="275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1" t="s">
        <v>167</v>
      </c>
      <c r="F465" s="203"/>
      <c r="G465" s="204"/>
      <c r="H465" s="424" t="s">
        <v>122</v>
      </c>
      <c r="I465" s="425">
        <f ca="1">IFERROR(__xludf.DUMMYFUNCTION("IMPORTRANGE(""https://docs.google.com/spreadsheets/d/1IYY_tgx_IHuhSq3AJ5eI5OnqOPBNLWSHKh2a30DoXe8/edit?usp=sharing"",""สุราษฎร์ธานี!I360"")"),151732)</f>
        <v>151732</v>
      </c>
      <c r="J465" s="426">
        <f ca="1">IFERROR(__xludf.DUMMYFUNCTION("IMPORTRANGE(""https://docs.google.com/spreadsheets/d/1IYY_tgx_IHuhSq3AJ5eI5OnqOPBNLWSHKh2a30DoXe8/edit?usp=sharing"",""สุราษฎร์ธานี!J360"")"),151732)</f>
        <v>151732</v>
      </c>
      <c r="K465" s="209">
        <f t="shared" ca="1" si="117"/>
        <v>100</v>
      </c>
      <c r="L465" s="189"/>
      <c r="M465" s="189"/>
      <c r="N465" s="189"/>
      <c r="O465" s="189"/>
      <c r="P465" s="189"/>
    </row>
    <row r="466" spans="1:16" ht="21.75" customHeight="1" x14ac:dyDescent="0.35">
      <c r="A466" s="408"/>
      <c r="B466" s="409"/>
      <c r="C466" s="409"/>
      <c r="D466" s="410"/>
      <c r="E466" s="203"/>
      <c r="F466" s="203"/>
      <c r="G466" s="204"/>
      <c r="H466" s="424" t="s">
        <v>36</v>
      </c>
      <c r="I466" s="425">
        <f ca="1">IFERROR(__xludf.DUMMYFUNCTION("IMPORTRANGE(""https://docs.google.com/spreadsheets/d/1IYY_tgx_IHuhSq3AJ5eI5OnqOPBNLWSHKh2a30DoXe8/edit?usp=sharing"",""สุราษฎร์ธานี!I361"")"),11860)</f>
        <v>11860</v>
      </c>
      <c r="J466" s="426">
        <f ca="1">IFERROR(__xludf.DUMMYFUNCTION("IMPORTRANGE(""https://docs.google.com/spreadsheets/d/1IYY_tgx_IHuhSq3AJ5eI5OnqOPBNLWSHKh2a30DoXe8/edit?usp=sharing"",""สุราษฎร์ธานี!J361"")"),11860)</f>
        <v>11860</v>
      </c>
      <c r="K466" s="209">
        <f t="shared" ca="1" si="117"/>
        <v>100</v>
      </c>
      <c r="L466" s="189"/>
      <c r="M466" s="189"/>
      <c r="N466" s="189"/>
      <c r="O466" s="189"/>
      <c r="P466" s="189"/>
    </row>
    <row r="467" spans="1:16" ht="21.75" customHeight="1" x14ac:dyDescent="0.35">
      <c r="A467" s="408"/>
      <c r="B467" s="409"/>
      <c r="C467" s="409"/>
      <c r="D467" s="410"/>
      <c r="E467" s="203"/>
      <c r="F467" s="396" t="s">
        <v>168</v>
      </c>
      <c r="G467" s="427"/>
      <c r="H467" s="428" t="s">
        <v>122</v>
      </c>
      <c r="I467" s="210">
        <f ca="1">IFERROR(__xludf.DUMMYFUNCTION("IMPORTRANGE(""https://docs.google.com/spreadsheets/d/1IYY_tgx_IHuhSq3AJ5eI5OnqOPBNLWSHKh2a30DoXe8/edit?usp=sharing"",""สุราษฎร์ธานี!I362"")"),0)</f>
        <v>0</v>
      </c>
      <c r="J467" s="196">
        <f ca="1">IFERROR(__xludf.DUMMYFUNCTION("IMPORTRANGE(""https://docs.google.com/spreadsheets/d/1IYY_tgx_IHuhSq3AJ5eI5OnqOPBNLWSHKh2a30DoXe8/edit?usp=sharing"",""สุราษฎร์ธานี!J362"")"),124821)</f>
        <v>124821</v>
      </c>
      <c r="K467" s="169">
        <f t="shared" ca="1" si="117"/>
        <v>0</v>
      </c>
      <c r="L467" s="189"/>
      <c r="M467" s="189"/>
      <c r="N467" s="189"/>
      <c r="O467" s="189"/>
      <c r="P467" s="189"/>
    </row>
    <row r="468" spans="1:16" ht="21.75" customHeight="1" x14ac:dyDescent="0.35">
      <c r="A468" s="408"/>
      <c r="B468" s="409"/>
      <c r="C468" s="409"/>
      <c r="D468" s="410"/>
      <c r="E468" s="203"/>
      <c r="F468" s="203"/>
      <c r="G468" s="427"/>
      <c r="H468" s="428" t="s">
        <v>36</v>
      </c>
      <c r="I468" s="210">
        <f ca="1">IFERROR(__xludf.DUMMYFUNCTION("IMPORTRANGE(""https://docs.google.com/spreadsheets/d/1IYY_tgx_IHuhSq3AJ5eI5OnqOPBNLWSHKh2a30DoXe8/edit?usp=sharing"",""สุราษฎร์ธานี!I363"")"),0)</f>
        <v>0</v>
      </c>
      <c r="J468" s="196">
        <f ca="1">IFERROR(__xludf.DUMMYFUNCTION("IMPORTRANGE(""https://docs.google.com/spreadsheets/d/1IYY_tgx_IHuhSq3AJ5eI5OnqOPBNLWSHKh2a30DoXe8/edit?usp=sharing"",""สุราษฎร์ธานี!J363"")"),10053)</f>
        <v>10053</v>
      </c>
      <c r="K468" s="169">
        <f t="shared" ca="1" si="117"/>
        <v>0</v>
      </c>
      <c r="L468" s="189"/>
      <c r="M468" s="189"/>
      <c r="N468" s="189"/>
      <c r="O468" s="189"/>
      <c r="P468" s="189"/>
    </row>
    <row r="469" spans="1:16" ht="21.75" customHeight="1" x14ac:dyDescent="0.35">
      <c r="A469" s="408"/>
      <c r="B469" s="409"/>
      <c r="C469" s="409"/>
      <c r="D469" s="410"/>
      <c r="E469" s="203"/>
      <c r="F469" s="396" t="s">
        <v>169</v>
      </c>
      <c r="G469" s="427"/>
      <c r="H469" s="428" t="s">
        <v>122</v>
      </c>
      <c r="I469" s="210">
        <f ca="1">IFERROR(__xludf.DUMMYFUNCTION("IMPORTRANGE(""https://docs.google.com/spreadsheets/d/1IYY_tgx_IHuhSq3AJ5eI5OnqOPBNLWSHKh2a30DoXe8/edit?usp=sharing"",""สุราษฎร์ธานี!I364"")"),0)</f>
        <v>0</v>
      </c>
      <c r="J469" s="196">
        <f ca="1">IFERROR(__xludf.DUMMYFUNCTION("IMPORTRANGE(""https://docs.google.com/spreadsheets/d/1IYY_tgx_IHuhSq3AJ5eI5OnqOPBNLWSHKh2a30DoXe8/edit?usp=sharing"",""สุราษฎร์ธานี!J364"")"),25562)</f>
        <v>25562</v>
      </c>
      <c r="K469" s="169">
        <f t="shared" ca="1" si="117"/>
        <v>0</v>
      </c>
      <c r="L469" s="189"/>
      <c r="M469" s="189"/>
      <c r="N469" s="189"/>
      <c r="O469" s="189"/>
      <c r="P469" s="189"/>
    </row>
    <row r="470" spans="1:16" ht="21.75" customHeight="1" x14ac:dyDescent="0.35">
      <c r="A470" s="408"/>
      <c r="B470" s="409"/>
      <c r="C470" s="409"/>
      <c r="D470" s="410"/>
      <c r="E470" s="203"/>
      <c r="F470" s="203"/>
      <c r="G470" s="427"/>
      <c r="H470" s="428" t="s">
        <v>36</v>
      </c>
      <c r="I470" s="210">
        <f ca="1">IFERROR(__xludf.DUMMYFUNCTION("IMPORTRANGE(""https://docs.google.com/spreadsheets/d/1IYY_tgx_IHuhSq3AJ5eI5OnqOPBNLWSHKh2a30DoXe8/edit?usp=sharing"",""สุราษฎร์ธานี!I365"")"),0)</f>
        <v>0</v>
      </c>
      <c r="J470" s="196">
        <f ca="1">IFERROR(__xludf.DUMMYFUNCTION("IMPORTRANGE(""https://docs.google.com/spreadsheets/d/1IYY_tgx_IHuhSq3AJ5eI5OnqOPBNLWSHKh2a30DoXe8/edit?usp=sharing"",""สุราษฎร์ธานี!J365"")"),1694)</f>
        <v>1694</v>
      </c>
      <c r="K470" s="169">
        <f t="shared" ca="1" si="117"/>
        <v>0</v>
      </c>
      <c r="L470" s="189"/>
      <c r="M470" s="189"/>
      <c r="N470" s="189"/>
      <c r="O470" s="189"/>
      <c r="P470" s="189"/>
    </row>
    <row r="471" spans="1:16" ht="21.75" customHeight="1" x14ac:dyDescent="0.35">
      <c r="A471" s="408"/>
      <c r="B471" s="409"/>
      <c r="C471" s="409"/>
      <c r="D471" s="410"/>
      <c r="E471" s="203"/>
      <c r="F471" s="396" t="s">
        <v>170</v>
      </c>
      <c r="G471" s="427"/>
      <c r="H471" s="428" t="s">
        <v>122</v>
      </c>
      <c r="I471" s="210">
        <f ca="1">IFERROR(__xludf.DUMMYFUNCTION("IMPORTRANGE(""https://docs.google.com/spreadsheets/d/1IYY_tgx_IHuhSq3AJ5eI5OnqOPBNLWSHKh2a30DoXe8/edit?usp=sharing"",""สุราษฎร์ธานี!I366"")"),0)</f>
        <v>0</v>
      </c>
      <c r="J471" s="196">
        <f ca="1">IFERROR(__xludf.DUMMYFUNCTION("IMPORTRANGE(""https://docs.google.com/spreadsheets/d/1IYY_tgx_IHuhSq3AJ5eI5OnqOPBNLWSHKh2a30DoXe8/edit?usp=sharing"",""สุราษฎร์ธานี!J366"")"),1349)</f>
        <v>1349</v>
      </c>
      <c r="K471" s="169">
        <f t="shared" ca="1" si="117"/>
        <v>0</v>
      </c>
      <c r="L471" s="189"/>
      <c r="M471" s="189"/>
      <c r="N471" s="189"/>
      <c r="O471" s="189"/>
      <c r="P471" s="189"/>
    </row>
    <row r="472" spans="1:16" ht="21.75" customHeight="1" x14ac:dyDescent="0.35">
      <c r="A472" s="408"/>
      <c r="B472" s="409"/>
      <c r="C472" s="409"/>
      <c r="D472" s="410"/>
      <c r="E472" s="203"/>
      <c r="F472" s="203"/>
      <c r="G472" s="203"/>
      <c r="H472" s="428" t="s">
        <v>36</v>
      </c>
      <c r="I472" s="210">
        <f ca="1">IFERROR(__xludf.DUMMYFUNCTION("IMPORTRANGE(""https://docs.google.com/spreadsheets/d/1IYY_tgx_IHuhSq3AJ5eI5OnqOPBNLWSHKh2a30DoXe8/edit?usp=sharing"",""สุราษฎร์ธานี!I367"")"),0)</f>
        <v>0</v>
      </c>
      <c r="J472" s="196">
        <f ca="1">IFERROR(__xludf.DUMMYFUNCTION("IMPORTRANGE(""https://docs.google.com/spreadsheets/d/1IYY_tgx_IHuhSq3AJ5eI5OnqOPBNLWSHKh2a30DoXe8/edit?usp=sharing"",""สุราษฎร์ธานี!J367"")"),113)</f>
        <v>113</v>
      </c>
      <c r="K472" s="169">
        <f t="shared" ca="1" si="117"/>
        <v>0</v>
      </c>
      <c r="L472" s="189"/>
      <c r="M472" s="189"/>
      <c r="N472" s="189"/>
      <c r="O472" s="189"/>
      <c r="P472" s="189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3"/>
      <c r="G473" s="204"/>
      <c r="H473" s="424" t="s">
        <v>122</v>
      </c>
      <c r="I473" s="426">
        <f ca="1">IFERROR(__xludf.DUMMYFUNCTION("IMPORTRANGE(""https://docs.google.com/spreadsheets/d/1IYY_tgx_IHuhSq3AJ5eI5OnqOPBNLWSHKh2a30DoXe8/edit?usp=sharing"",""สุราษฎร์ธานี!I368"")"),151732)</f>
        <v>151732</v>
      </c>
      <c r="J473" s="426">
        <f ca="1">IFERROR(__xludf.DUMMYFUNCTION("IMPORTRANGE(""https://docs.google.com/spreadsheets/d/1IYY_tgx_IHuhSq3AJ5eI5OnqOPBNLWSHKh2a30DoXe8/edit?usp=sharing"",""สุราษฎร์ธานี!J368"")"),0)</f>
        <v>0</v>
      </c>
      <c r="K473" s="209">
        <f t="shared" ca="1" si="117"/>
        <v>0</v>
      </c>
      <c r="L473" s="189"/>
      <c r="M473" s="189"/>
      <c r="N473" s="189"/>
      <c r="O473" s="189"/>
      <c r="P473" s="189"/>
    </row>
    <row r="474" spans="1:16" ht="21.75" customHeight="1" x14ac:dyDescent="0.35">
      <c r="A474" s="408"/>
      <c r="B474" s="409"/>
      <c r="C474" s="409"/>
      <c r="D474" s="410"/>
      <c r="E474" s="203"/>
      <c r="F474" s="203"/>
      <c r="G474" s="204"/>
      <c r="H474" s="424" t="s">
        <v>36</v>
      </c>
      <c r="I474" s="425">
        <f ca="1">IFERROR(__xludf.DUMMYFUNCTION("IMPORTRANGE(""https://docs.google.com/spreadsheets/d/1IYY_tgx_IHuhSq3AJ5eI5OnqOPBNLWSHKh2a30DoXe8/edit?usp=sharing"",""สุราษฎร์ธานี!I369"")"),11860)</f>
        <v>11860</v>
      </c>
      <c r="J474" s="426">
        <f ca="1">IFERROR(__xludf.DUMMYFUNCTION("IMPORTRANGE(""https://docs.google.com/spreadsheets/d/1IYY_tgx_IHuhSq3AJ5eI5OnqOPBNLWSHKh2a30DoXe8/edit?usp=sharing"",""สุราษฎร์ธานี!J369"")"),0)</f>
        <v>0</v>
      </c>
      <c r="K474" s="169">
        <f t="shared" ca="1" si="117"/>
        <v>0</v>
      </c>
      <c r="L474" s="189"/>
      <c r="M474" s="189"/>
      <c r="N474" s="189"/>
      <c r="O474" s="189"/>
      <c r="P474" s="189"/>
    </row>
    <row r="475" spans="1:16" ht="21.75" customHeight="1" x14ac:dyDescent="0.35">
      <c r="A475" s="408"/>
      <c r="B475" s="409"/>
      <c r="C475" s="409"/>
      <c r="D475" s="410"/>
      <c r="E475" s="203"/>
      <c r="F475" s="202" t="s">
        <v>172</v>
      </c>
      <c r="G475" s="427"/>
      <c r="H475" s="428" t="s">
        <v>122</v>
      </c>
      <c r="I475" s="210">
        <f ca="1">IFERROR(__xludf.DUMMYFUNCTION("IMPORTRANGE(""https://docs.google.com/spreadsheets/d/1IYY_tgx_IHuhSq3AJ5eI5OnqOPBNLWSHKh2a30DoXe8/edit?usp=sharing"",""สุราษฎร์ธานี!I370"")"),0)</f>
        <v>0</v>
      </c>
      <c r="J475" s="196">
        <f ca="1">IFERROR(__xludf.DUMMYFUNCTION("IMPORTRANGE(""https://docs.google.com/spreadsheets/d/1IYY_tgx_IHuhSq3AJ5eI5OnqOPBNLWSHKh2a30DoXe8/edit?usp=sharing"",""สุราษฎร์ธานี!J370"")"),0)</f>
        <v>0</v>
      </c>
      <c r="K475" s="169">
        <f t="shared" ca="1" si="117"/>
        <v>0</v>
      </c>
      <c r="L475" s="189"/>
      <c r="M475" s="189"/>
      <c r="N475" s="189"/>
      <c r="O475" s="189"/>
      <c r="P475" s="189"/>
    </row>
    <row r="476" spans="1:16" ht="21.75" customHeight="1" x14ac:dyDescent="0.35">
      <c r="A476" s="408"/>
      <c r="B476" s="409"/>
      <c r="C476" s="409"/>
      <c r="D476" s="410"/>
      <c r="E476" s="203"/>
      <c r="F476" s="203"/>
      <c r="G476" s="427"/>
      <c r="H476" s="428" t="s">
        <v>36</v>
      </c>
      <c r="I476" s="210">
        <f ca="1">IFERROR(__xludf.DUMMYFUNCTION("IMPORTRANGE(""https://docs.google.com/spreadsheets/d/1IYY_tgx_IHuhSq3AJ5eI5OnqOPBNLWSHKh2a30DoXe8/edit?usp=sharing"",""สุราษฎร์ธานี!I371"")"),0)</f>
        <v>0</v>
      </c>
      <c r="J476" s="196">
        <f ca="1">IFERROR(__xludf.DUMMYFUNCTION("IMPORTRANGE(""https://docs.google.com/spreadsheets/d/1IYY_tgx_IHuhSq3AJ5eI5OnqOPBNLWSHKh2a30DoXe8/edit?usp=sharing"",""สุราษฎร์ธานี!J371"")"),0)</f>
        <v>0</v>
      </c>
      <c r="K476" s="169">
        <f t="shared" ca="1" si="117"/>
        <v>0</v>
      </c>
      <c r="L476" s="189"/>
      <c r="M476" s="189"/>
      <c r="N476" s="189"/>
      <c r="O476" s="189"/>
      <c r="P476" s="189"/>
    </row>
    <row r="477" spans="1:16" ht="21.75" customHeight="1" x14ac:dyDescent="0.35">
      <c r="A477" s="408"/>
      <c r="B477" s="409"/>
      <c r="C477" s="409"/>
      <c r="D477" s="410"/>
      <c r="E477" s="203"/>
      <c r="F477" s="202" t="s">
        <v>173</v>
      </c>
      <c r="G477" s="427"/>
      <c r="H477" s="428" t="s">
        <v>122</v>
      </c>
      <c r="I477" s="210">
        <f ca="1">IFERROR(__xludf.DUMMYFUNCTION("IMPORTRANGE(""https://docs.google.com/spreadsheets/d/1IYY_tgx_IHuhSq3AJ5eI5OnqOPBNLWSHKh2a30DoXe8/edit?usp=sharing"",""สุราษฎร์ธานี!I372"")"),0)</f>
        <v>0</v>
      </c>
      <c r="J477" s="196">
        <f ca="1">IFERROR(__xludf.DUMMYFUNCTION("IMPORTRANGE(""https://docs.google.com/spreadsheets/d/1IYY_tgx_IHuhSq3AJ5eI5OnqOPBNLWSHKh2a30DoXe8/edit?usp=sharing"",""สุราษฎร์ธานี!J372"")"),0)</f>
        <v>0</v>
      </c>
      <c r="K477" s="169">
        <f t="shared" ca="1" si="117"/>
        <v>0</v>
      </c>
      <c r="L477" s="189"/>
      <c r="M477" s="189"/>
      <c r="N477" s="189"/>
      <c r="O477" s="189"/>
      <c r="P477" s="189"/>
    </row>
    <row r="478" spans="1:16" ht="21.75" customHeight="1" x14ac:dyDescent="0.35">
      <c r="A478" s="408"/>
      <c r="B478" s="409"/>
      <c r="C478" s="409"/>
      <c r="D478" s="410"/>
      <c r="E478" s="203"/>
      <c r="F478" s="203"/>
      <c r="G478" s="427"/>
      <c r="H478" s="428" t="s">
        <v>36</v>
      </c>
      <c r="I478" s="210">
        <f ca="1">IFERROR(__xludf.DUMMYFUNCTION("IMPORTRANGE(""https://docs.google.com/spreadsheets/d/1IYY_tgx_IHuhSq3AJ5eI5OnqOPBNLWSHKh2a30DoXe8/edit?usp=sharing"",""สุราษฎร์ธานี!I373"")"),0)</f>
        <v>0</v>
      </c>
      <c r="J478" s="196">
        <f ca="1">IFERROR(__xludf.DUMMYFUNCTION("IMPORTRANGE(""https://docs.google.com/spreadsheets/d/1IYY_tgx_IHuhSq3AJ5eI5OnqOPBNLWSHKh2a30DoXe8/edit?usp=sharing"",""สุราษฎร์ธานี!J373"")"),0)</f>
        <v>0</v>
      </c>
      <c r="K478" s="169">
        <f t="shared" ca="1" si="117"/>
        <v>0</v>
      </c>
      <c r="L478" s="189"/>
      <c r="M478" s="189"/>
      <c r="N478" s="189"/>
      <c r="O478" s="189"/>
      <c r="P478" s="189"/>
    </row>
    <row r="479" spans="1:16" ht="21.75" customHeight="1" x14ac:dyDescent="0.35">
      <c r="A479" s="408"/>
      <c r="B479" s="409"/>
      <c r="C479" s="409"/>
      <c r="D479" s="410"/>
      <c r="E479" s="203"/>
      <c r="F479" s="202" t="s">
        <v>174</v>
      </c>
      <c r="G479" s="427"/>
      <c r="H479" s="428" t="s">
        <v>122</v>
      </c>
      <c r="I479" s="210">
        <f ca="1">IFERROR(__xludf.DUMMYFUNCTION("IMPORTRANGE(""https://docs.google.com/spreadsheets/d/1IYY_tgx_IHuhSq3AJ5eI5OnqOPBNLWSHKh2a30DoXe8/edit?usp=sharing"",""สุราษฎร์ธานี!I374"")"),0)</f>
        <v>0</v>
      </c>
      <c r="J479" s="196">
        <f ca="1">IFERROR(__xludf.DUMMYFUNCTION("IMPORTRANGE(""https://docs.google.com/spreadsheets/d/1IYY_tgx_IHuhSq3AJ5eI5OnqOPBNLWSHKh2a30DoXe8/edit?usp=sharing"",""สุราษฎร์ธานี!J374"")"),0)</f>
        <v>0</v>
      </c>
      <c r="K479" s="169">
        <f t="shared" ca="1" si="117"/>
        <v>0</v>
      </c>
      <c r="L479" s="189"/>
      <c r="M479" s="189"/>
      <c r="N479" s="189"/>
      <c r="O479" s="189"/>
      <c r="P479" s="189"/>
    </row>
    <row r="480" spans="1:16" ht="21.75" customHeight="1" x14ac:dyDescent="0.35">
      <c r="A480" s="408"/>
      <c r="B480" s="409"/>
      <c r="C480" s="409"/>
      <c r="D480" s="410"/>
      <c r="E480" s="203"/>
      <c r="F480" s="203"/>
      <c r="G480" s="204"/>
      <c r="H480" s="428" t="s">
        <v>36</v>
      </c>
      <c r="I480" s="210">
        <f ca="1">IFERROR(__xludf.DUMMYFUNCTION("IMPORTRANGE(""https://docs.google.com/spreadsheets/d/1IYY_tgx_IHuhSq3AJ5eI5OnqOPBNLWSHKh2a30DoXe8/edit?usp=sharing"",""สุราษฎร์ธานี!I375"")"),0)</f>
        <v>0</v>
      </c>
      <c r="J480" s="196">
        <f ca="1">IFERROR(__xludf.DUMMYFUNCTION("IMPORTRANGE(""https://docs.google.com/spreadsheets/d/1IYY_tgx_IHuhSq3AJ5eI5OnqOPBNLWSHKh2a30DoXe8/edit?usp=sharing"",""สุราษฎร์ธานี!J375"")"),0)</f>
        <v>0</v>
      </c>
      <c r="K480" s="169">
        <f t="shared" ca="1" si="117"/>
        <v>0</v>
      </c>
      <c r="L480" s="189"/>
      <c r="M480" s="189"/>
      <c r="N480" s="189"/>
      <c r="O480" s="189"/>
      <c r="P480" s="189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IFERROR(__xludf.DUMMYFUNCTION("IMPORTRANGE(""https://docs.google.com/spreadsheets/d/1IYY_tgx_IHuhSq3AJ5eI5OnqOPBNLWSHKh2a30DoXe8/edit?usp=sharing"",""สุราษฎร์ธานี!I376"")"),151732)</f>
        <v>151732</v>
      </c>
      <c r="J481" s="426">
        <f ca="1">IFERROR(__xludf.DUMMYFUNCTION("IMPORTRANGE(""https://docs.google.com/spreadsheets/d/1IYY_tgx_IHuhSq3AJ5eI5OnqOPBNLWSHKh2a30DoXe8/edit?usp=sharing"",""สุราษฎร์ธานี!J376"")"),0)</f>
        <v>0</v>
      </c>
      <c r="K481" s="209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3"/>
      <c r="F482" s="203"/>
      <c r="G482" s="204"/>
      <c r="H482" s="424" t="s">
        <v>36</v>
      </c>
      <c r="I482" s="425">
        <f ca="1">IFERROR(__xludf.DUMMYFUNCTION("IMPORTRANGE(""https://docs.google.com/spreadsheets/d/1IYY_tgx_IHuhSq3AJ5eI5OnqOPBNLWSHKh2a30DoXe8/edit?usp=sharing"",""สุราษฎร์ธานี!I377"")"),11860)</f>
        <v>11860</v>
      </c>
      <c r="J482" s="426">
        <f ca="1">IFERROR(__xludf.DUMMYFUNCTION("IMPORTRANGE(""https://docs.google.com/spreadsheets/d/1IYY_tgx_IHuhSq3AJ5eI5OnqOPBNLWSHKh2a30DoXe8/edit?usp=sharing"",""สุราษฎร์ธานี!J377"")"),0)</f>
        <v>0</v>
      </c>
      <c r="K482" s="169">
        <f t="shared" ca="1" si="117"/>
        <v>0</v>
      </c>
      <c r="L482" s="189"/>
      <c r="M482" s="189"/>
      <c r="N482" s="189"/>
      <c r="O482" s="189"/>
      <c r="P482" s="189"/>
    </row>
    <row r="483" spans="1:16" ht="21.75" customHeight="1" x14ac:dyDescent="0.35">
      <c r="A483" s="408"/>
      <c r="B483" s="409"/>
      <c r="C483" s="409"/>
      <c r="D483" s="410"/>
      <c r="E483" s="203"/>
      <c r="F483" s="202" t="s">
        <v>176</v>
      </c>
      <c r="G483" s="427"/>
      <c r="H483" s="428" t="s">
        <v>122</v>
      </c>
      <c r="I483" s="210">
        <f ca="1">IFERROR(__xludf.DUMMYFUNCTION("IMPORTRANGE(""https://docs.google.com/spreadsheets/d/1IYY_tgx_IHuhSq3AJ5eI5OnqOPBNLWSHKh2a30DoXe8/edit?usp=sharing"",""สุราษฎร์ธานี!I378"")"),0)</f>
        <v>0</v>
      </c>
      <c r="J483" s="196">
        <f ca="1">IFERROR(__xludf.DUMMYFUNCTION("IMPORTRANGE(""https://docs.google.com/spreadsheets/d/1IYY_tgx_IHuhSq3AJ5eI5OnqOPBNLWSHKh2a30DoXe8/edit?usp=sharing"",""สุราษฎร์ธานี!J378"")"),0)</f>
        <v>0</v>
      </c>
      <c r="K483" s="169">
        <f t="shared" ca="1" si="117"/>
        <v>0</v>
      </c>
      <c r="L483" s="189"/>
      <c r="M483" s="189"/>
      <c r="N483" s="189"/>
      <c r="O483" s="189"/>
      <c r="P483" s="189"/>
    </row>
    <row r="484" spans="1:16" ht="21.75" customHeight="1" x14ac:dyDescent="0.35">
      <c r="A484" s="408"/>
      <c r="B484" s="409"/>
      <c r="C484" s="409"/>
      <c r="D484" s="410"/>
      <c r="E484" s="203"/>
      <c r="F484" s="203"/>
      <c r="G484" s="427"/>
      <c r="H484" s="428" t="s">
        <v>36</v>
      </c>
      <c r="I484" s="210">
        <f ca="1">IFERROR(__xludf.DUMMYFUNCTION("IMPORTRANGE(""https://docs.google.com/spreadsheets/d/1IYY_tgx_IHuhSq3AJ5eI5OnqOPBNLWSHKh2a30DoXe8/edit?usp=sharing"",""สุราษฎร์ธานี!I379"")"),0)</f>
        <v>0</v>
      </c>
      <c r="J484" s="196">
        <f ca="1">IFERROR(__xludf.DUMMYFUNCTION("IMPORTRANGE(""https://docs.google.com/spreadsheets/d/1IYY_tgx_IHuhSq3AJ5eI5OnqOPBNLWSHKh2a30DoXe8/edit?usp=sharing"",""สุราษฎร์ธานี!J379"")"),0)</f>
        <v>0</v>
      </c>
      <c r="K484" s="169">
        <f t="shared" ca="1" si="117"/>
        <v>0</v>
      </c>
      <c r="L484" s="189"/>
      <c r="M484" s="189"/>
      <c r="N484" s="189"/>
      <c r="O484" s="189"/>
      <c r="P484" s="189"/>
    </row>
    <row r="485" spans="1:16" ht="21.75" customHeight="1" x14ac:dyDescent="0.35">
      <c r="A485" s="408"/>
      <c r="B485" s="409"/>
      <c r="C485" s="409"/>
      <c r="D485" s="410"/>
      <c r="E485" s="203"/>
      <c r="F485" s="202" t="s">
        <v>177</v>
      </c>
      <c r="G485" s="427"/>
      <c r="H485" s="428" t="s">
        <v>122</v>
      </c>
      <c r="I485" s="210">
        <f ca="1">IFERROR(__xludf.DUMMYFUNCTION("IMPORTRANGE(""https://docs.google.com/spreadsheets/d/1IYY_tgx_IHuhSq3AJ5eI5OnqOPBNLWSHKh2a30DoXe8/edit?usp=sharing"",""สุราษฎร์ธานี!I380"")"),0)</f>
        <v>0</v>
      </c>
      <c r="J485" s="196">
        <f ca="1">IFERROR(__xludf.DUMMYFUNCTION("IMPORTRANGE(""https://docs.google.com/spreadsheets/d/1IYY_tgx_IHuhSq3AJ5eI5OnqOPBNLWSHKh2a30DoXe8/edit?usp=sharing"",""สุราษฎร์ธานี!J380"")"),0)</f>
        <v>0</v>
      </c>
      <c r="K485" s="169">
        <f t="shared" ca="1" si="117"/>
        <v>0</v>
      </c>
      <c r="L485" s="189"/>
      <c r="M485" s="189"/>
      <c r="N485" s="189"/>
      <c r="O485" s="189"/>
      <c r="P485" s="189"/>
    </row>
    <row r="486" spans="1:16" ht="21.75" customHeight="1" x14ac:dyDescent="0.35">
      <c r="A486" s="408"/>
      <c r="B486" s="409"/>
      <c r="C486" s="409"/>
      <c r="D486" s="410"/>
      <c r="E486" s="203"/>
      <c r="F486" s="203"/>
      <c r="G486" s="427"/>
      <c r="H486" s="428" t="s">
        <v>36</v>
      </c>
      <c r="I486" s="210">
        <f ca="1">IFERROR(__xludf.DUMMYFUNCTION("IMPORTRANGE(""https://docs.google.com/spreadsheets/d/1IYY_tgx_IHuhSq3AJ5eI5OnqOPBNLWSHKh2a30DoXe8/edit?usp=sharing"",""สุราษฎร์ธานี!I381"")"),0)</f>
        <v>0</v>
      </c>
      <c r="J486" s="196">
        <f ca="1">IFERROR(__xludf.DUMMYFUNCTION("IMPORTRANGE(""https://docs.google.com/spreadsheets/d/1IYY_tgx_IHuhSq3AJ5eI5OnqOPBNLWSHKh2a30DoXe8/edit?usp=sharing"",""สุราษฎร์ธานี!J381"")"),0)</f>
        <v>0</v>
      </c>
      <c r="K486" s="169">
        <f t="shared" ca="1" si="117"/>
        <v>0</v>
      </c>
      <c r="L486" s="189"/>
      <c r="M486" s="189"/>
      <c r="N486" s="189"/>
      <c r="O486" s="189"/>
      <c r="P486" s="189"/>
    </row>
    <row r="487" spans="1:16" ht="21.75" customHeight="1" x14ac:dyDescent="0.35">
      <c r="A487" s="408"/>
      <c r="B487" s="409"/>
      <c r="C487" s="409"/>
      <c r="D487" s="410"/>
      <c r="E487" s="203"/>
      <c r="F487" s="202" t="s">
        <v>178</v>
      </c>
      <c r="G487" s="427"/>
      <c r="H487" s="428" t="s">
        <v>122</v>
      </c>
      <c r="I487" s="210">
        <f ca="1">IFERROR(__xludf.DUMMYFUNCTION("IMPORTRANGE(""https://docs.google.com/spreadsheets/d/1IYY_tgx_IHuhSq3AJ5eI5OnqOPBNLWSHKh2a30DoXe8/edit?usp=sharing"",""สุราษฎร์ธานี!I382"")"),0)</f>
        <v>0</v>
      </c>
      <c r="J487" s="426">
        <f ca="1">IFERROR(__xludf.DUMMYFUNCTION("IMPORTRANGE(""https://docs.google.com/spreadsheets/d/1IYY_tgx_IHuhSq3AJ5eI5OnqOPBNLWSHKh2a30DoXe8/edit?usp=sharing"",""สุราษฎร์ธานี!J382"")"),0)</f>
        <v>0</v>
      </c>
      <c r="K487" s="169">
        <f t="shared" ca="1" si="117"/>
        <v>0</v>
      </c>
      <c r="L487" s="189"/>
      <c r="M487" s="189"/>
      <c r="N487" s="189"/>
      <c r="O487" s="189"/>
      <c r="P487" s="189"/>
    </row>
    <row r="488" spans="1:16" ht="21.75" customHeight="1" x14ac:dyDescent="0.35">
      <c r="A488" s="408"/>
      <c r="B488" s="409"/>
      <c r="C488" s="409"/>
      <c r="D488" s="410"/>
      <c r="E488" s="203"/>
      <c r="F488" s="203"/>
      <c r="G488" s="203"/>
      <c r="H488" s="428" t="s">
        <v>36</v>
      </c>
      <c r="I488" s="210">
        <f ca="1">IFERROR(__xludf.DUMMYFUNCTION("IMPORTRANGE(""https://docs.google.com/spreadsheets/d/1IYY_tgx_IHuhSq3AJ5eI5OnqOPBNLWSHKh2a30DoXe8/edit?usp=sharing"",""สุราษฎร์ธานี!I383"")"),0)</f>
        <v>0</v>
      </c>
      <c r="J488" s="426">
        <f ca="1">IFERROR(__xludf.DUMMYFUNCTION("IMPORTRANGE(""https://docs.google.com/spreadsheets/d/1IYY_tgx_IHuhSq3AJ5eI5OnqOPBNLWSHKh2a30DoXe8/edit?usp=sharing"",""สุราษฎร์ธานี!J383"")"),0)</f>
        <v>0</v>
      </c>
      <c r="K488" s="169">
        <f t="shared" ca="1" si="117"/>
        <v>0</v>
      </c>
      <c r="L488" s="189"/>
      <c r="M488" s="189"/>
      <c r="N488" s="189"/>
      <c r="O488" s="189"/>
      <c r="P488" s="189"/>
    </row>
    <row r="489" spans="1:16" ht="21.75" customHeight="1" x14ac:dyDescent="0.35">
      <c r="A489" s="408"/>
      <c r="B489" s="409"/>
      <c r="C489" s="409"/>
      <c r="D489" s="410"/>
      <c r="E489" s="203"/>
      <c r="F489" s="203"/>
      <c r="G489" s="202" t="s">
        <v>179</v>
      </c>
      <c r="H489" s="428" t="s">
        <v>122</v>
      </c>
      <c r="I489" s="210">
        <f ca="1">IFERROR(__xludf.DUMMYFUNCTION("IMPORTRANGE(""https://docs.google.com/spreadsheets/d/1IYY_tgx_IHuhSq3AJ5eI5OnqOPBNLWSHKh2a30DoXe8/edit?usp=sharing"",""สุราษฎร์ธานี!I384"")"),0)</f>
        <v>0</v>
      </c>
      <c r="J489" s="196">
        <f ca="1">IFERROR(__xludf.DUMMYFUNCTION("IMPORTRANGE(""https://docs.google.com/spreadsheets/d/1IYY_tgx_IHuhSq3AJ5eI5OnqOPBNLWSHKh2a30DoXe8/edit?usp=sharing"",""สุราษฎร์ธานี!J384"")"),0)</f>
        <v>0</v>
      </c>
      <c r="K489" s="169">
        <f t="shared" ca="1" si="117"/>
        <v>0</v>
      </c>
      <c r="L489" s="189"/>
      <c r="M489" s="189"/>
      <c r="N489" s="189"/>
      <c r="O489" s="189"/>
      <c r="P489" s="189"/>
    </row>
    <row r="490" spans="1:16" ht="21.75" customHeight="1" x14ac:dyDescent="0.35">
      <c r="A490" s="408"/>
      <c r="B490" s="409"/>
      <c r="C490" s="409"/>
      <c r="D490" s="410"/>
      <c r="E490" s="203"/>
      <c r="F490" s="203"/>
      <c r="G490" s="203"/>
      <c r="H490" s="428" t="s">
        <v>36</v>
      </c>
      <c r="I490" s="210">
        <f ca="1">IFERROR(__xludf.DUMMYFUNCTION("IMPORTRANGE(""https://docs.google.com/spreadsheets/d/1IYY_tgx_IHuhSq3AJ5eI5OnqOPBNLWSHKh2a30DoXe8/edit?usp=sharing"",""สุราษฎร์ธานี!I385"")"),0)</f>
        <v>0</v>
      </c>
      <c r="J490" s="196">
        <f ca="1">IFERROR(__xludf.DUMMYFUNCTION("IMPORTRANGE(""https://docs.google.com/spreadsheets/d/1IYY_tgx_IHuhSq3AJ5eI5OnqOPBNLWSHKh2a30DoXe8/edit?usp=sharing"",""สุราษฎร์ธานี!J385"")"),0)</f>
        <v>0</v>
      </c>
      <c r="K490" s="169">
        <f t="shared" ca="1" si="117"/>
        <v>0</v>
      </c>
      <c r="L490" s="189"/>
      <c r="M490" s="189"/>
      <c r="N490" s="189"/>
      <c r="O490" s="189"/>
      <c r="P490" s="189"/>
    </row>
    <row r="491" spans="1:16" ht="21.75" customHeight="1" x14ac:dyDescent="0.35">
      <c r="A491" s="408"/>
      <c r="B491" s="409"/>
      <c r="C491" s="409"/>
      <c r="D491" s="410"/>
      <c r="E491" s="203"/>
      <c r="F491" s="203"/>
      <c r="G491" s="202" t="s">
        <v>180</v>
      </c>
      <c r="H491" s="428" t="s">
        <v>122</v>
      </c>
      <c r="I491" s="210">
        <f ca="1">IFERROR(__xludf.DUMMYFUNCTION("IMPORTRANGE(""https://docs.google.com/spreadsheets/d/1IYY_tgx_IHuhSq3AJ5eI5OnqOPBNLWSHKh2a30DoXe8/edit?usp=sharing"",""สุราษฎร์ธานี!I386"")"),0)</f>
        <v>0</v>
      </c>
      <c r="J491" s="196">
        <f ca="1">IFERROR(__xludf.DUMMYFUNCTION("IMPORTRANGE(""https://docs.google.com/spreadsheets/d/1IYY_tgx_IHuhSq3AJ5eI5OnqOPBNLWSHKh2a30DoXe8/edit?usp=sharing"",""สุราษฎร์ธานี!J386"")"),0)</f>
        <v>0</v>
      </c>
      <c r="K491" s="169">
        <f t="shared" ca="1" si="117"/>
        <v>0</v>
      </c>
      <c r="L491" s="189"/>
      <c r="M491" s="189"/>
      <c r="N491" s="189"/>
      <c r="O491" s="189"/>
      <c r="P491" s="189"/>
    </row>
    <row r="492" spans="1:16" ht="21.75" customHeight="1" x14ac:dyDescent="0.35">
      <c r="A492" s="408"/>
      <c r="B492" s="409"/>
      <c r="C492" s="409"/>
      <c r="D492" s="410"/>
      <c r="E492" s="203"/>
      <c r="F492" s="203"/>
      <c r="G492" s="204"/>
      <c r="H492" s="428" t="s">
        <v>36</v>
      </c>
      <c r="I492" s="210">
        <f ca="1">IFERROR(__xludf.DUMMYFUNCTION("IMPORTRANGE(""https://docs.google.com/spreadsheets/d/1IYY_tgx_IHuhSq3AJ5eI5OnqOPBNLWSHKh2a30DoXe8/edit?usp=sharing"",""สุราษฎร์ธานี!I387"")"),0)</f>
        <v>0</v>
      </c>
      <c r="J492" s="196">
        <f ca="1">IFERROR(__xludf.DUMMYFUNCTION("IMPORTRANGE(""https://docs.google.com/spreadsheets/d/1IYY_tgx_IHuhSq3AJ5eI5OnqOPBNLWSHKh2a30DoXe8/edit?usp=sharing"",""สุราษฎร์ธานี!J387"")"),0)</f>
        <v>0</v>
      </c>
      <c r="K492" s="169">
        <f t="shared" ca="1" si="117"/>
        <v>0</v>
      </c>
      <c r="L492" s="189"/>
      <c r="M492" s="189"/>
      <c r="N492" s="189"/>
      <c r="O492" s="189"/>
      <c r="P492" s="189"/>
    </row>
    <row r="493" spans="1:16" ht="21.75" customHeight="1" x14ac:dyDescent="0.35">
      <c r="A493" s="408"/>
      <c r="B493" s="409"/>
      <c r="C493" s="409"/>
      <c r="D493" s="410"/>
      <c r="E493" s="203"/>
      <c r="F493" s="202" t="s">
        <v>181</v>
      </c>
      <c r="G493" s="427"/>
      <c r="H493" s="428" t="s">
        <v>122</v>
      </c>
      <c r="I493" s="210">
        <f ca="1">IFERROR(__xludf.DUMMYFUNCTION("IMPORTRANGE(""https://docs.google.com/spreadsheets/d/1IYY_tgx_IHuhSq3AJ5eI5OnqOPBNLWSHKh2a30DoXe8/edit?usp=sharing"",""สุราษฎร์ธานี!I388"")"),0)</f>
        <v>0</v>
      </c>
      <c r="J493" s="196">
        <f ca="1">IFERROR(__xludf.DUMMYFUNCTION("IMPORTRANGE(""https://docs.google.com/spreadsheets/d/1IYY_tgx_IHuhSq3AJ5eI5OnqOPBNLWSHKh2a30DoXe8/edit?usp=sharing"",""สุราษฎร์ธานี!J388"")"),0)</f>
        <v>0</v>
      </c>
      <c r="K493" s="169">
        <f t="shared" ca="1" si="117"/>
        <v>0</v>
      </c>
      <c r="L493" s="189"/>
      <c r="M493" s="189"/>
      <c r="N493" s="189"/>
      <c r="O493" s="189"/>
      <c r="P493" s="189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IFERROR(__xludf.DUMMYFUNCTION("IMPORTRANGE(""https://docs.google.com/spreadsheets/d/1IYY_tgx_IHuhSq3AJ5eI5OnqOPBNLWSHKh2a30DoXe8/edit?usp=sharing"",""สุราษฎร์ธานี!I389"")"),0)</f>
        <v>0</v>
      </c>
      <c r="J494" s="442">
        <f ca="1">IFERROR(__xludf.DUMMYFUNCTION("IMPORTRANGE(""https://docs.google.com/spreadsheets/d/1IYY_tgx_IHuhSq3AJ5eI5OnqOPBNLWSHKh2a30DoXe8/edit?usp=sharing"",""สุราษฎร์ธานี!J389"")"),0)</f>
        <v>0</v>
      </c>
      <c r="K494" s="294">
        <f t="shared" ca="1" si="117"/>
        <v>0</v>
      </c>
      <c r="L494" s="252"/>
      <c r="M494" s="252"/>
      <c r="N494" s="252"/>
      <c r="O494" s="252"/>
      <c r="P494" s="252"/>
    </row>
    <row r="495" spans="1:16" ht="21.75" customHeight="1" x14ac:dyDescent="0.35">
      <c r="A495" s="408"/>
      <c r="B495" s="409"/>
      <c r="C495" s="409"/>
      <c r="D495" s="410"/>
      <c r="E495" s="203"/>
      <c r="F495" s="203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IFERROR(__xludf.DUMMYFUNCTION("IMPORTRANGE(""https://docs.google.com/spreadsheets/d/1IYY_tgx_IHuhSq3AJ5eI5OnqOPBNLWSHKh2a30DoXe8/edit?usp=sharing"",""สุราษฎร์ธานี!I390"")"),0)</f>
        <v>0</v>
      </c>
      <c r="J495" s="442">
        <f ca="1">IFERROR(__xludf.DUMMYFUNCTION("IMPORTRANGE(""https://docs.google.com/spreadsheets/d/1IYY_tgx_IHuhSq3AJ5eI5OnqOPBNLWSHKh2a30DoXe8/edit?usp=sharing"",""สุราษฎร์ธานี!J390"")"),0)</f>
        <v>0</v>
      </c>
      <c r="K495" s="169">
        <f t="shared" ca="1" si="117"/>
        <v>0</v>
      </c>
      <c r="L495" s="189"/>
      <c r="M495" s="189"/>
      <c r="N495" s="189"/>
      <c r="O495" s="189"/>
      <c r="P495" s="189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IFERROR(__xludf.DUMMYFUNCTION("IMPORTRANGE(""https://docs.google.com/spreadsheets/d/1IYY_tgx_IHuhSq3AJ5eI5OnqOPBNLWSHKh2a30DoXe8/edit?usp=sharing"",""สุราษฎร์ธานี!I391"")"),0)</f>
        <v>0</v>
      </c>
      <c r="J496" s="442">
        <f ca="1">IFERROR(__xludf.DUMMYFUNCTION("IMPORTRANGE(""https://docs.google.com/spreadsheets/d/1IYY_tgx_IHuhSq3AJ5eI5OnqOPBNLWSHKh2a30DoXe8/edit?usp=sharing"",""สุราษฎร์ธานี!J391"")"),0)</f>
        <v>0</v>
      </c>
      <c r="K496" s="294">
        <f t="shared" ca="1" si="117"/>
        <v>0</v>
      </c>
      <c r="L496" s="252"/>
      <c r="M496" s="252"/>
      <c r="N496" s="252"/>
      <c r="O496" s="252"/>
      <c r="P496" s="252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IFERROR(__xludf.DUMMYFUNCTION("IMPORTRANGE(""https://docs.google.com/spreadsheets/d/1IYY_tgx_IHuhSq3AJ5eI5OnqOPBNLWSHKh2a30DoXe8/edit?usp=sharing"",""สุราษฎร์ธานี!I392"")"),6181)</f>
        <v>6181</v>
      </c>
      <c r="J497" s="449">
        <f ca="1">IFERROR(__xludf.DUMMYFUNCTION("IMPORTRANGE(""https://docs.google.com/spreadsheets/d/1IYY_tgx_IHuhSq3AJ5eI5OnqOPBNLWSHKh2a30DoXe8/edit?usp=sharing"",""สุราษฎร์ธานี!J392"")"),275)</f>
        <v>275</v>
      </c>
      <c r="K497" s="450">
        <f t="shared" ca="1" si="117"/>
        <v>4.4491182656528068</v>
      </c>
      <c r="L497" s="451"/>
      <c r="M497" s="451"/>
      <c r="N497" s="451"/>
      <c r="O497" s="451"/>
      <c r="P497" s="451"/>
    </row>
    <row r="498" spans="1:16" ht="21.75" customHeight="1" x14ac:dyDescent="0.35">
      <c r="A498" s="183"/>
      <c r="B498" s="184"/>
      <c r="C498" s="184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IFERROR(__xludf.DUMMYFUNCTION("IMPORTRANGE(""https://docs.google.com/spreadsheets/d/1IYY_tgx_IHuhSq3AJ5eI5OnqOPBNLWSHKh2a30DoXe8/edit?usp=sharing"",""สุราษฎร์ธานี!I393"")"),6181)</f>
        <v>6181</v>
      </c>
      <c r="J498" s="426">
        <f ca="1">IFERROR(__xludf.DUMMYFUNCTION("IMPORTRANGE(""https://docs.google.com/spreadsheets/d/1IYY_tgx_IHuhSq3AJ5eI5OnqOPBNLWSHKh2a30DoXe8/edit?usp=sharing"",""สุราษฎร์ธานี!J393"")"),275)</f>
        <v>275</v>
      </c>
      <c r="K498" s="169">
        <f t="shared" ca="1" si="117"/>
        <v>4.4491182656528068</v>
      </c>
      <c r="L498" s="189"/>
      <c r="M498" s="189"/>
      <c r="N498" s="189"/>
      <c r="O498" s="189"/>
      <c r="P498" s="189"/>
    </row>
    <row r="499" spans="1:16" ht="21.75" customHeight="1" x14ac:dyDescent="0.35">
      <c r="A499" s="183"/>
      <c r="B499" s="184"/>
      <c r="C499" s="184"/>
      <c r="D499" s="201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IFERROR(__xludf.DUMMYFUNCTION("IMPORTRANGE(""https://docs.google.com/spreadsheets/d/1IYY_tgx_IHuhSq3AJ5eI5OnqOPBNLWSHKh2a30DoXe8/edit?usp=sharing"",""สุราษฎร์ธานี!I394"")"),466)</f>
        <v>466</v>
      </c>
      <c r="J499" s="426">
        <f ca="1">IFERROR(__xludf.DUMMYFUNCTION("IMPORTRANGE(""https://docs.google.com/spreadsheets/d/1IYY_tgx_IHuhSq3AJ5eI5OnqOPBNLWSHKh2a30DoXe8/edit?usp=sharing"",""สุราษฎร์ธานี!J394"")"),18)</f>
        <v>18</v>
      </c>
      <c r="K499" s="209">
        <f t="shared" ca="1" si="117"/>
        <v>3.8626609442060085</v>
      </c>
      <c r="L499" s="189"/>
      <c r="M499" s="189"/>
      <c r="N499" s="189"/>
      <c r="O499" s="189"/>
      <c r="P499" s="189"/>
    </row>
    <row r="500" spans="1:16" ht="21.75" customHeight="1" x14ac:dyDescent="0.35">
      <c r="A500" s="183"/>
      <c r="B500" s="184"/>
      <c r="C500" s="184"/>
      <c r="D500" s="410"/>
      <c r="E500" s="410" t="s">
        <v>185</v>
      </c>
      <c r="F500" s="203"/>
      <c r="G500" s="204"/>
      <c r="H500" s="428" t="s">
        <v>122</v>
      </c>
      <c r="I500" s="210">
        <f ca="1">IFERROR(__xludf.DUMMYFUNCTION("IMPORTRANGE(""https://docs.google.com/spreadsheets/d/1IYY_tgx_IHuhSq3AJ5eI5OnqOPBNLWSHKh2a30DoXe8/edit?usp=sharing"",""สุราษฎร์ธานี!I395"")"),0)</f>
        <v>0</v>
      </c>
      <c r="J500" s="168">
        <f ca="1">IFERROR(__xludf.DUMMYFUNCTION("IMPORTRANGE(""https://docs.google.com/spreadsheets/d/1IYY_tgx_IHuhSq3AJ5eI5OnqOPBNLWSHKh2a30DoXe8/edit?usp=sharing"",""สุราษฎร์ธานี!J395"")"),275)</f>
        <v>275</v>
      </c>
      <c r="K500" s="169">
        <f t="shared" ca="1" si="117"/>
        <v>0</v>
      </c>
      <c r="L500" s="189"/>
      <c r="M500" s="189"/>
      <c r="N500" s="189"/>
      <c r="O500" s="189"/>
      <c r="P500" s="189"/>
    </row>
    <row r="501" spans="1:16" ht="21.75" customHeight="1" x14ac:dyDescent="0.35">
      <c r="A501" s="183"/>
      <c r="B501" s="184"/>
      <c r="C501" s="184"/>
      <c r="D501" s="201"/>
      <c r="E501" s="203"/>
      <c r="F501" s="203"/>
      <c r="G501" s="204"/>
      <c r="H501" s="428" t="s">
        <v>36</v>
      </c>
      <c r="I501" s="210">
        <f ca="1">IFERROR(__xludf.DUMMYFUNCTION("IMPORTRANGE(""https://docs.google.com/spreadsheets/d/1IYY_tgx_IHuhSq3AJ5eI5OnqOPBNLWSHKh2a30DoXe8/edit?usp=sharing"",""สุราษฎร์ธานี!I396"")"),0)</f>
        <v>0</v>
      </c>
      <c r="J501" s="168">
        <f ca="1">IFERROR(__xludf.DUMMYFUNCTION("IMPORTRANGE(""https://docs.google.com/spreadsheets/d/1IYY_tgx_IHuhSq3AJ5eI5OnqOPBNLWSHKh2a30DoXe8/edit?usp=sharing"",""สุราษฎร์ธานี!J396"")"),18)</f>
        <v>18</v>
      </c>
      <c r="K501" s="169">
        <f t="shared" ca="1" si="117"/>
        <v>0</v>
      </c>
      <c r="L501" s="189"/>
      <c r="M501" s="189"/>
      <c r="N501" s="189"/>
      <c r="O501" s="189"/>
      <c r="P501" s="189"/>
    </row>
    <row r="502" spans="1:16" ht="21.75" customHeight="1" x14ac:dyDescent="0.35">
      <c r="A502" s="183"/>
      <c r="B502" s="184"/>
      <c r="C502" s="184"/>
      <c r="D502" s="201"/>
      <c r="E502" s="203"/>
      <c r="F502" s="405" t="s">
        <v>186</v>
      </c>
      <c r="G502" s="427"/>
      <c r="H502" s="428" t="s">
        <v>122</v>
      </c>
      <c r="I502" s="210">
        <f ca="1">IFERROR(__xludf.DUMMYFUNCTION("IMPORTRANGE(""https://docs.google.com/spreadsheets/d/1IYY_tgx_IHuhSq3AJ5eI5OnqOPBNLWSHKh2a30DoXe8/edit?usp=sharing"",""สุราษฎร์ธานี!I397"")"),0)</f>
        <v>0</v>
      </c>
      <c r="J502" s="196">
        <f ca="1">IFERROR(__xludf.DUMMYFUNCTION("IMPORTRANGE(""https://docs.google.com/spreadsheets/d/1IYY_tgx_IHuhSq3AJ5eI5OnqOPBNLWSHKh2a30DoXe8/edit?usp=sharing"",""สุราษฎร์ธานี!J397"")"),275)</f>
        <v>275</v>
      </c>
      <c r="K502" s="169">
        <f t="shared" ca="1" si="117"/>
        <v>0</v>
      </c>
      <c r="L502" s="189"/>
      <c r="M502" s="189"/>
      <c r="N502" s="189"/>
      <c r="O502" s="189"/>
      <c r="P502" s="189"/>
    </row>
    <row r="503" spans="1:16" ht="21.75" customHeight="1" x14ac:dyDescent="0.35">
      <c r="A503" s="183"/>
      <c r="B503" s="184"/>
      <c r="C503" s="184"/>
      <c r="D503" s="201"/>
      <c r="E503" s="203"/>
      <c r="F503" s="203"/>
      <c r="G503" s="427"/>
      <c r="H503" s="428" t="s">
        <v>36</v>
      </c>
      <c r="I503" s="195">
        <f ca="1">IFERROR(__xludf.DUMMYFUNCTION("IMPORTRANGE(""https://docs.google.com/spreadsheets/d/1IYY_tgx_IHuhSq3AJ5eI5OnqOPBNLWSHKh2a30DoXe8/edit?usp=sharing"",""สุราษฎร์ธานี!I398"")"),0)</f>
        <v>0</v>
      </c>
      <c r="J503" s="205">
        <f ca="1">IFERROR(__xludf.DUMMYFUNCTION("IMPORTRANGE(""https://docs.google.com/spreadsheets/d/1IYY_tgx_IHuhSq3AJ5eI5OnqOPBNLWSHKh2a30DoXe8/edit?usp=sharing"",""สุราษฎร์ธานี!J398"")"),18)</f>
        <v>18</v>
      </c>
      <c r="K503" s="169">
        <f t="shared" ca="1" si="117"/>
        <v>0</v>
      </c>
      <c r="L503" s="189"/>
      <c r="M503" s="189"/>
      <c r="N503" s="189"/>
      <c r="O503" s="189"/>
      <c r="P503" s="189"/>
    </row>
    <row r="504" spans="1:16" ht="21.75" customHeight="1" x14ac:dyDescent="0.35">
      <c r="A504" s="183"/>
      <c r="B504" s="184"/>
      <c r="C504" s="184"/>
      <c r="D504" s="201"/>
      <c r="E504" s="203"/>
      <c r="F504" s="396" t="s">
        <v>187</v>
      </c>
      <c r="G504" s="427"/>
      <c r="H504" s="428" t="s">
        <v>122</v>
      </c>
      <c r="I504" s="211">
        <f ca="1">IFERROR(__xludf.DUMMYFUNCTION("IMPORTRANGE(""https://docs.google.com/spreadsheets/d/1IYY_tgx_IHuhSq3AJ5eI5OnqOPBNLWSHKh2a30DoXe8/edit?usp=sharing"",""สุราษฎร์ธานี!I399"")"),0)</f>
        <v>0</v>
      </c>
      <c r="J504" s="196">
        <f ca="1">IFERROR(__xludf.DUMMYFUNCTION("IMPORTRANGE(""https://docs.google.com/spreadsheets/d/1IYY_tgx_IHuhSq3AJ5eI5OnqOPBNLWSHKh2a30DoXe8/edit?usp=sharing"",""สุราษฎร์ธานี!J399"")"),0)</f>
        <v>0</v>
      </c>
      <c r="K504" s="169">
        <f t="shared" ca="1" si="117"/>
        <v>0</v>
      </c>
      <c r="L504" s="189"/>
      <c r="M504" s="189"/>
      <c r="N504" s="189"/>
      <c r="O504" s="189"/>
      <c r="P504" s="189"/>
    </row>
    <row r="505" spans="1:16" ht="21.75" customHeight="1" x14ac:dyDescent="0.35">
      <c r="A505" s="183"/>
      <c r="B505" s="184"/>
      <c r="C505" s="184"/>
      <c r="D505" s="201"/>
      <c r="E505" s="203"/>
      <c r="F505" s="203"/>
      <c r="G505" s="427"/>
      <c r="H505" s="428" t="s">
        <v>36</v>
      </c>
      <c r="I505" s="195">
        <f ca="1">IFERROR(__xludf.DUMMYFUNCTION("IMPORTRANGE(""https://docs.google.com/spreadsheets/d/1IYY_tgx_IHuhSq3AJ5eI5OnqOPBNLWSHKh2a30DoXe8/edit?usp=sharing"",""สุราษฎร์ธานี!I400"")"),0)</f>
        <v>0</v>
      </c>
      <c r="J505" s="205">
        <f ca="1">IFERROR(__xludf.DUMMYFUNCTION("IMPORTRANGE(""https://docs.google.com/spreadsheets/d/1IYY_tgx_IHuhSq3AJ5eI5OnqOPBNLWSHKh2a30DoXe8/edit?usp=sharing"",""สุราษฎร์ธานี!J400"")"),0)</f>
        <v>0</v>
      </c>
      <c r="K505" s="169">
        <f t="shared" ca="1" si="117"/>
        <v>0</v>
      </c>
      <c r="L505" s="189"/>
      <c r="M505" s="189"/>
      <c r="N505" s="189"/>
      <c r="O505" s="189"/>
      <c r="P505" s="189"/>
    </row>
    <row r="506" spans="1:16" ht="21.75" customHeight="1" x14ac:dyDescent="0.35">
      <c r="A506" s="183"/>
      <c r="B506" s="184"/>
      <c r="C506" s="184"/>
      <c r="D506" s="201"/>
      <c r="E506" s="203"/>
      <c r="F506" s="405" t="s">
        <v>188</v>
      </c>
      <c r="G506" s="427"/>
      <c r="H506" s="428" t="s">
        <v>122</v>
      </c>
      <c r="I506" s="211">
        <f ca="1">IFERROR(__xludf.DUMMYFUNCTION("IMPORTRANGE(""https://docs.google.com/spreadsheets/d/1IYY_tgx_IHuhSq3AJ5eI5OnqOPBNLWSHKh2a30DoXe8/edit?usp=sharing"",""สุราษฎร์ธานี!I401"")"),0)</f>
        <v>0</v>
      </c>
      <c r="J506" s="196">
        <f ca="1">IFERROR(__xludf.DUMMYFUNCTION("IMPORTRANGE(""https://docs.google.com/spreadsheets/d/1IYY_tgx_IHuhSq3AJ5eI5OnqOPBNLWSHKh2a30DoXe8/edit?usp=sharing"",""สุราษฎร์ธานี!J401"")"),0)</f>
        <v>0</v>
      </c>
      <c r="K506" s="169">
        <f t="shared" ca="1" si="117"/>
        <v>0</v>
      </c>
      <c r="L506" s="189"/>
      <c r="M506" s="189"/>
      <c r="N506" s="189"/>
      <c r="O506" s="189"/>
      <c r="P506" s="189"/>
    </row>
    <row r="507" spans="1:16" ht="21.75" customHeight="1" x14ac:dyDescent="0.35">
      <c r="A507" s="183"/>
      <c r="B507" s="184"/>
      <c r="C507" s="184"/>
      <c r="D507" s="201"/>
      <c r="E507" s="203"/>
      <c r="F507" s="203"/>
      <c r="G507" s="203"/>
      <c r="H507" s="428" t="s">
        <v>36</v>
      </c>
      <c r="I507" s="195">
        <f ca="1">IFERROR(__xludf.DUMMYFUNCTION("IMPORTRANGE(""https://docs.google.com/spreadsheets/d/1IYY_tgx_IHuhSq3AJ5eI5OnqOPBNLWSHKh2a30DoXe8/edit?usp=sharing"",""สุราษฎร์ธานี!I402"")"),0)</f>
        <v>0</v>
      </c>
      <c r="J507" s="205">
        <f ca="1">IFERROR(__xludf.DUMMYFUNCTION("IMPORTRANGE(""https://docs.google.com/spreadsheets/d/1IYY_tgx_IHuhSq3AJ5eI5OnqOPBNLWSHKh2a30DoXe8/edit?usp=sharing"",""สุราษฎร์ธานี!J402"")"),0)</f>
        <v>0</v>
      </c>
      <c r="K507" s="169">
        <f t="shared" ca="1" si="117"/>
        <v>0</v>
      </c>
      <c r="L507" s="189"/>
      <c r="M507" s="189"/>
      <c r="N507" s="189"/>
      <c r="O507" s="189"/>
      <c r="P507" s="189"/>
    </row>
    <row r="508" spans="1:16" ht="21.75" customHeight="1" x14ac:dyDescent="0.35">
      <c r="A508" s="183"/>
      <c r="B508" s="184"/>
      <c r="C508" s="184"/>
      <c r="D508" s="201"/>
      <c r="E508" s="202" t="s">
        <v>189</v>
      </c>
      <c r="F508" s="203"/>
      <c r="G508" s="427"/>
      <c r="H508" s="428" t="s">
        <v>122</v>
      </c>
      <c r="I508" s="195">
        <f ca="1">IFERROR(__xludf.DUMMYFUNCTION("IMPORTRANGE(""https://docs.google.com/spreadsheets/d/1IYY_tgx_IHuhSq3AJ5eI5OnqOPBNLWSHKh2a30DoXe8/edit?usp=sharing"",""สุราษฎร์ธานี!I403"")"),0)</f>
        <v>0</v>
      </c>
      <c r="J508" s="168">
        <f ca="1">IFERROR(__xludf.DUMMYFUNCTION("IMPORTRANGE(""https://docs.google.com/spreadsheets/d/1IYY_tgx_IHuhSq3AJ5eI5OnqOPBNLWSHKh2a30DoXe8/edit?usp=sharing"",""สุราษฎร์ธานี!J403"")"),0)</f>
        <v>0</v>
      </c>
      <c r="K508" s="169">
        <f t="shared" ca="1" si="117"/>
        <v>0</v>
      </c>
      <c r="L508" s="189"/>
      <c r="M508" s="189"/>
      <c r="N508" s="189"/>
      <c r="O508" s="189"/>
      <c r="P508" s="189"/>
    </row>
    <row r="509" spans="1:16" ht="21.75" customHeight="1" x14ac:dyDescent="0.35">
      <c r="A509" s="183"/>
      <c r="B509" s="184"/>
      <c r="C509" s="184"/>
      <c r="D509" s="201"/>
      <c r="E509" s="203"/>
      <c r="F509" s="203"/>
      <c r="G509" s="203"/>
      <c r="H509" s="428" t="s">
        <v>36</v>
      </c>
      <c r="I509" s="195">
        <f ca="1">IFERROR(__xludf.DUMMYFUNCTION("IMPORTRANGE(""https://docs.google.com/spreadsheets/d/1IYY_tgx_IHuhSq3AJ5eI5OnqOPBNLWSHKh2a30DoXe8/edit?usp=sharing"",""สุราษฎร์ธานี!I404"")"),0)</f>
        <v>0</v>
      </c>
      <c r="J509" s="168">
        <f ca="1">IFERROR(__xludf.DUMMYFUNCTION("IMPORTRANGE(""https://docs.google.com/spreadsheets/d/1IYY_tgx_IHuhSq3AJ5eI5OnqOPBNLWSHKh2a30DoXe8/edit?usp=sharing"",""สุราษฎร์ธานี!J404"")"),0)</f>
        <v>0</v>
      </c>
      <c r="K509" s="169">
        <f t="shared" ca="1" si="117"/>
        <v>0</v>
      </c>
      <c r="L509" s="189"/>
      <c r="M509" s="189"/>
      <c r="N509" s="189"/>
      <c r="O509" s="189"/>
      <c r="P509" s="189"/>
    </row>
    <row r="510" spans="1:16" ht="21.75" customHeight="1" x14ac:dyDescent="0.35">
      <c r="A510" s="183"/>
      <c r="B510" s="184"/>
      <c r="C510" s="184"/>
      <c r="D510" s="201"/>
      <c r="E510" s="203"/>
      <c r="F510" s="202" t="s">
        <v>190</v>
      </c>
      <c r="G510" s="203"/>
      <c r="H510" s="428" t="s">
        <v>122</v>
      </c>
      <c r="I510" s="195">
        <f ca="1">IFERROR(__xludf.DUMMYFUNCTION("IMPORTRANGE(""https://docs.google.com/spreadsheets/d/1IYY_tgx_IHuhSq3AJ5eI5OnqOPBNLWSHKh2a30DoXe8/edit?usp=sharing"",""สุราษฎร์ธานี!I405"")"),0)</f>
        <v>0</v>
      </c>
      <c r="J510" s="205">
        <f ca="1">IFERROR(__xludf.DUMMYFUNCTION("IMPORTRANGE(""https://docs.google.com/spreadsheets/d/1IYY_tgx_IHuhSq3AJ5eI5OnqOPBNLWSHKh2a30DoXe8/edit?usp=sharing"",""สุราษฎร์ธานี!J405"")"),0)</f>
        <v>0</v>
      </c>
      <c r="K510" s="169">
        <f t="shared" ca="1" si="117"/>
        <v>0</v>
      </c>
      <c r="L510" s="189"/>
      <c r="M510" s="189"/>
      <c r="N510" s="189"/>
      <c r="O510" s="189"/>
      <c r="P510" s="189"/>
    </row>
    <row r="511" spans="1:16" ht="21.75" customHeight="1" x14ac:dyDescent="0.35">
      <c r="A511" s="183"/>
      <c r="B511" s="184"/>
      <c r="C511" s="184"/>
      <c r="D511" s="201"/>
      <c r="E511" s="203"/>
      <c r="F511" s="203"/>
      <c r="G511" s="203"/>
      <c r="H511" s="428" t="s">
        <v>36</v>
      </c>
      <c r="I511" s="195">
        <f ca="1">IFERROR(__xludf.DUMMYFUNCTION("IMPORTRANGE(""https://docs.google.com/spreadsheets/d/1IYY_tgx_IHuhSq3AJ5eI5OnqOPBNLWSHKh2a30DoXe8/edit?usp=sharing"",""สุราษฎร์ธานี!I406"")"),0)</f>
        <v>0</v>
      </c>
      <c r="J511" s="205">
        <f ca="1">IFERROR(__xludf.DUMMYFUNCTION("IMPORTRANGE(""https://docs.google.com/spreadsheets/d/1IYY_tgx_IHuhSq3AJ5eI5OnqOPBNLWSHKh2a30DoXe8/edit?usp=sharing"",""สุราษฎร์ธานี!J406"")"),0)</f>
        <v>0</v>
      </c>
      <c r="K511" s="169">
        <f t="shared" ca="1" si="117"/>
        <v>0</v>
      </c>
      <c r="L511" s="189"/>
      <c r="M511" s="189"/>
      <c r="N511" s="189"/>
      <c r="O511" s="189"/>
      <c r="P511" s="189"/>
    </row>
    <row r="512" spans="1:16" ht="21.75" customHeight="1" x14ac:dyDescent="0.35">
      <c r="A512" s="183"/>
      <c r="B512" s="184"/>
      <c r="C512" s="184"/>
      <c r="D512" s="201"/>
      <c r="E512" s="203"/>
      <c r="F512" s="202" t="s">
        <v>191</v>
      </c>
      <c r="G512" s="203"/>
      <c r="H512" s="428" t="s">
        <v>122</v>
      </c>
      <c r="I512" s="195">
        <f ca="1">IFERROR(__xludf.DUMMYFUNCTION("IMPORTRANGE(""https://docs.google.com/spreadsheets/d/1IYY_tgx_IHuhSq3AJ5eI5OnqOPBNLWSHKh2a30DoXe8/edit?usp=sharing"",""สุราษฎร์ธานี!I407"")"),0)</f>
        <v>0</v>
      </c>
      <c r="J512" s="205">
        <f ca="1">IFERROR(__xludf.DUMMYFUNCTION("IMPORTRANGE(""https://docs.google.com/spreadsheets/d/1IYY_tgx_IHuhSq3AJ5eI5OnqOPBNLWSHKh2a30DoXe8/edit?usp=sharing"",""สุราษฎร์ธานี!J407"")"),0)</f>
        <v>0</v>
      </c>
      <c r="K512" s="169">
        <f t="shared" ca="1" si="117"/>
        <v>0</v>
      </c>
      <c r="L512" s="189"/>
      <c r="M512" s="189"/>
      <c r="N512" s="189"/>
      <c r="O512" s="189"/>
      <c r="P512" s="189"/>
    </row>
    <row r="513" spans="1:16" ht="21.75" customHeight="1" x14ac:dyDescent="0.35">
      <c r="A513" s="183"/>
      <c r="B513" s="184"/>
      <c r="C513" s="184"/>
      <c r="D513" s="201"/>
      <c r="E513" s="203"/>
      <c r="F513" s="203"/>
      <c r="G513" s="204"/>
      <c r="H513" s="428" t="s">
        <v>36</v>
      </c>
      <c r="I513" s="195">
        <f ca="1">IFERROR(__xludf.DUMMYFUNCTION("IMPORTRANGE(""https://docs.google.com/spreadsheets/d/1IYY_tgx_IHuhSq3AJ5eI5OnqOPBNLWSHKh2a30DoXe8/edit?usp=sharing"",""สุราษฎร์ธานี!I408"")"),0)</f>
        <v>0</v>
      </c>
      <c r="J513" s="205">
        <f ca="1">IFERROR(__xludf.DUMMYFUNCTION("IMPORTRANGE(""https://docs.google.com/spreadsheets/d/1IYY_tgx_IHuhSq3AJ5eI5OnqOPBNLWSHKh2a30DoXe8/edit?usp=sharing"",""สุราษฎร์ธานี!J408"")"),0)</f>
        <v>0</v>
      </c>
      <c r="K513" s="169">
        <f t="shared" ca="1" si="117"/>
        <v>0</v>
      </c>
      <c r="L513" s="189"/>
      <c r="M513" s="189"/>
      <c r="N513" s="189"/>
      <c r="O513" s="189"/>
      <c r="P513" s="189"/>
    </row>
    <row r="514" spans="1:16" ht="21.75" customHeight="1" x14ac:dyDescent="0.35">
      <c r="A514" s="183"/>
      <c r="B514" s="184"/>
      <c r="C514" s="184"/>
      <c r="D514" s="410"/>
      <c r="E514" s="456" t="s">
        <v>192</v>
      </c>
      <c r="F514" s="203"/>
      <c r="G514" s="204"/>
      <c r="H514" s="428" t="s">
        <v>122</v>
      </c>
      <c r="I514" s="195">
        <f ca="1">IFERROR(__xludf.DUMMYFUNCTION("IMPORTRANGE(""https://docs.google.com/spreadsheets/d/1IYY_tgx_IHuhSq3AJ5eI5OnqOPBNLWSHKh2a30DoXe8/edit?usp=sharing"",""สุราษฎร์ธานี!I409"")"),0)</f>
        <v>0</v>
      </c>
      <c r="J514" s="205">
        <f ca="1">IFERROR(__xludf.DUMMYFUNCTION("IMPORTRANGE(""https://docs.google.com/spreadsheets/d/1IYY_tgx_IHuhSq3AJ5eI5OnqOPBNLWSHKh2a30DoXe8/edit?usp=sharing"",""สุราษฎร์ธานี!J409"")"),0)</f>
        <v>0</v>
      </c>
      <c r="K514" s="169">
        <f t="shared" ca="1" si="117"/>
        <v>0</v>
      </c>
      <c r="L514" s="189"/>
      <c r="M514" s="189"/>
      <c r="N514" s="189"/>
      <c r="O514" s="189"/>
      <c r="P514" s="189"/>
    </row>
    <row r="515" spans="1:16" ht="21.75" customHeight="1" x14ac:dyDescent="0.35">
      <c r="A515" s="183"/>
      <c r="B515" s="184"/>
      <c r="C515" s="184"/>
      <c r="D515" s="201"/>
      <c r="E515" s="203"/>
      <c r="F515" s="203"/>
      <c r="G515" s="204"/>
      <c r="H515" s="428" t="s">
        <v>36</v>
      </c>
      <c r="I515" s="195">
        <f ca="1">IFERROR(__xludf.DUMMYFUNCTION("IMPORTRANGE(""https://docs.google.com/spreadsheets/d/1IYY_tgx_IHuhSq3AJ5eI5OnqOPBNLWSHKh2a30DoXe8/edit?usp=sharing"",""สุราษฎร์ธานี!I410"")"),0)</f>
        <v>0</v>
      </c>
      <c r="J515" s="205">
        <f ca="1">IFERROR(__xludf.DUMMYFUNCTION("IMPORTRANGE(""https://docs.google.com/spreadsheets/d/1IYY_tgx_IHuhSq3AJ5eI5OnqOPBNLWSHKh2a30DoXe8/edit?usp=sharing"",""สุราษฎร์ธานี!J410"")"),0)</f>
        <v>0</v>
      </c>
      <c r="K515" s="169">
        <f t="shared" ca="1" si="117"/>
        <v>0</v>
      </c>
      <c r="L515" s="189"/>
      <c r="M515" s="189"/>
      <c r="N515" s="189"/>
      <c r="O515" s="189"/>
      <c r="P515" s="189"/>
    </row>
    <row r="516" spans="1:16" ht="21.75" customHeight="1" x14ac:dyDescent="0.35">
      <c r="A516" s="183"/>
      <c r="B516" s="184"/>
      <c r="C516" s="421" t="s">
        <v>193</v>
      </c>
      <c r="D516" s="421"/>
      <c r="E516" s="457"/>
      <c r="F516" s="457"/>
      <c r="G516" s="458"/>
      <c r="H516" s="459" t="s">
        <v>122</v>
      </c>
      <c r="I516" s="274">
        <f ca="1">IFERROR(__xludf.DUMMYFUNCTION("IMPORTRANGE(""https://docs.google.com/spreadsheets/d/1IYY_tgx_IHuhSq3AJ5eI5OnqOPBNLWSHKh2a30DoXe8/edit?usp=sharing"",""สุราษฎร์ธานี!I411"")"),0)</f>
        <v>0</v>
      </c>
      <c r="J516" s="274">
        <f ca="1">IFERROR(__xludf.DUMMYFUNCTION("IMPORTRANGE(""https://docs.google.com/spreadsheets/d/1IYY_tgx_IHuhSq3AJ5eI5OnqOPBNLWSHKh2a30DoXe8/edit?usp=sharing"",""สุราษฎร์ธานี!J411"")"),0)</f>
        <v>0</v>
      </c>
      <c r="K516" s="275">
        <v>0</v>
      </c>
      <c r="L516" s="189"/>
      <c r="M516" s="189"/>
      <c r="N516" s="189"/>
      <c r="O516" s="189"/>
      <c r="P516" s="189"/>
    </row>
    <row r="517" spans="1:16" ht="21.75" customHeight="1" x14ac:dyDescent="0.35">
      <c r="A517" s="183"/>
      <c r="B517" s="184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IFERROR(__xludf.DUMMYFUNCTION("IMPORTRANGE(""https://docs.google.com/spreadsheets/d/1IYY_tgx_IHuhSq3AJ5eI5OnqOPBNLWSHKh2a30DoXe8/edit?usp=sharing"",""สุราษฎร์ธานี!I412"")"),0)</f>
        <v>0</v>
      </c>
      <c r="J517" s="290">
        <f ca="1">IFERROR(__xludf.DUMMYFUNCTION("IMPORTRANGE(""https://docs.google.com/spreadsheets/d/1IYY_tgx_IHuhSq3AJ5eI5OnqOPBNLWSHKh2a30DoXe8/edit?usp=sharing"",""สุราษฎร์ธานี!J412"")"),0)</f>
        <v>0</v>
      </c>
      <c r="K517" s="291">
        <v>0</v>
      </c>
      <c r="L517" s="189"/>
      <c r="M517" s="189"/>
      <c r="N517" s="189"/>
      <c r="O517" s="189"/>
      <c r="P517" s="189"/>
    </row>
    <row r="518" spans="1:16" ht="21.75" customHeight="1" x14ac:dyDescent="0.35">
      <c r="A518" s="183"/>
      <c r="B518" s="184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IFERROR(__xludf.DUMMYFUNCTION("IMPORTRANGE(""https://docs.google.com/spreadsheets/d/1IYY_tgx_IHuhSq3AJ5eI5OnqOPBNLWSHKh2a30DoXe8/edit?usp=sharing"",""สุราษฎร์ธานี!I413"")"),0)</f>
        <v>0</v>
      </c>
      <c r="J518" s="290">
        <f ca="1">IFERROR(__xludf.DUMMYFUNCTION("IMPORTRANGE(""https://docs.google.com/spreadsheets/d/1IYY_tgx_IHuhSq3AJ5eI5OnqOPBNLWSHKh2a30DoXe8/edit?usp=sharing"",""สุราษฎร์ธานี!J413"")"),0)</f>
        <v>0</v>
      </c>
      <c r="K518" s="291">
        <v>0</v>
      </c>
      <c r="L518" s="189"/>
      <c r="M518" s="189"/>
      <c r="N518" s="189"/>
      <c r="O518" s="189"/>
      <c r="P518" s="189"/>
    </row>
    <row r="519" spans="1:16" ht="21.75" customHeight="1" x14ac:dyDescent="0.35">
      <c r="A519" s="183"/>
      <c r="B519" s="184"/>
      <c r="C519" s="184"/>
      <c r="D519" s="201"/>
      <c r="E519" s="203"/>
      <c r="F519" s="203"/>
      <c r="G519" s="233" t="s">
        <v>196</v>
      </c>
      <c r="H519" s="428" t="s">
        <v>122</v>
      </c>
      <c r="I519" s="195">
        <f ca="1">IFERROR(__xludf.DUMMYFUNCTION("IMPORTRANGE(""https://docs.google.com/spreadsheets/d/1IYY_tgx_IHuhSq3AJ5eI5OnqOPBNLWSHKh2a30DoXe8/edit?usp=sharing"",""สุราษฎร์ธานี!I414"")"),0)</f>
        <v>0</v>
      </c>
      <c r="J519" s="195">
        <f ca="1">IFERROR(__xludf.DUMMYFUNCTION("IMPORTRANGE(""https://docs.google.com/spreadsheets/d/1IYY_tgx_IHuhSq3AJ5eI5OnqOPBNLWSHKh2a30DoXe8/edit?usp=sharing"",""สุราษฎร์ธานี!J414"")"),0)</f>
        <v>0</v>
      </c>
      <c r="K519" s="169">
        <v>0</v>
      </c>
      <c r="L519" s="189"/>
      <c r="M519" s="189"/>
      <c r="N519" s="189"/>
      <c r="O519" s="189"/>
      <c r="P519" s="189"/>
    </row>
    <row r="520" spans="1:16" ht="21.75" customHeight="1" x14ac:dyDescent="0.35">
      <c r="A520" s="183"/>
      <c r="B520" s="184"/>
      <c r="C520" s="184"/>
      <c r="D520" s="201"/>
      <c r="E520" s="203"/>
      <c r="F520" s="203"/>
      <c r="G520" s="204"/>
      <c r="H520" s="428" t="s">
        <v>36</v>
      </c>
      <c r="I520" s="195">
        <f ca="1">IFERROR(__xludf.DUMMYFUNCTION("IMPORTRANGE(""https://docs.google.com/spreadsheets/d/1IYY_tgx_IHuhSq3AJ5eI5OnqOPBNLWSHKh2a30DoXe8/edit?usp=sharing"",""สุราษฎร์ธานี!I415"")"),0)</f>
        <v>0</v>
      </c>
      <c r="J520" s="195">
        <f ca="1">IFERROR(__xludf.DUMMYFUNCTION("IMPORTRANGE(""https://docs.google.com/spreadsheets/d/1IYY_tgx_IHuhSq3AJ5eI5OnqOPBNLWSHKh2a30DoXe8/edit?usp=sharing"",""สุราษฎร์ธานี!J415"")"),0)</f>
        <v>0</v>
      </c>
      <c r="K520" s="169">
        <v>0</v>
      </c>
      <c r="L520" s="189"/>
      <c r="M520" s="189"/>
      <c r="N520" s="189"/>
      <c r="O520" s="189"/>
      <c r="P520" s="189"/>
    </row>
    <row r="521" spans="1:16" ht="21.75" customHeight="1" x14ac:dyDescent="0.35">
      <c r="A521" s="183"/>
      <c r="B521" s="184"/>
      <c r="C521" s="184"/>
      <c r="D521" s="201"/>
      <c r="E521" s="203"/>
      <c r="F521" s="203"/>
      <c r="G521" s="233" t="s">
        <v>197</v>
      </c>
      <c r="H521" s="428" t="s">
        <v>122</v>
      </c>
      <c r="I521" s="195">
        <f ca="1">IFERROR(__xludf.DUMMYFUNCTION("IMPORTRANGE(""https://docs.google.com/spreadsheets/d/1IYY_tgx_IHuhSq3AJ5eI5OnqOPBNLWSHKh2a30DoXe8/edit?usp=sharing"",""สุราษฎร์ธานี!I416"")"),0)</f>
        <v>0</v>
      </c>
      <c r="J521" s="195">
        <f ca="1">IFERROR(__xludf.DUMMYFUNCTION("IMPORTRANGE(""https://docs.google.com/spreadsheets/d/1IYY_tgx_IHuhSq3AJ5eI5OnqOPBNLWSHKh2a30DoXe8/edit?usp=sharing"",""สุราษฎร์ธานี!J416"")"),0)</f>
        <v>0</v>
      </c>
      <c r="K521" s="169">
        <v>0</v>
      </c>
      <c r="L521" s="189"/>
      <c r="M521" s="189"/>
      <c r="N521" s="189"/>
      <c r="O521" s="189"/>
      <c r="P521" s="189"/>
    </row>
    <row r="522" spans="1:16" ht="21.75" customHeight="1" x14ac:dyDescent="0.35">
      <c r="A522" s="183"/>
      <c r="B522" s="184"/>
      <c r="C522" s="184"/>
      <c r="D522" s="201"/>
      <c r="E522" s="203"/>
      <c r="F522" s="203"/>
      <c r="G522" s="204"/>
      <c r="H522" s="428" t="s">
        <v>36</v>
      </c>
      <c r="I522" s="195">
        <f ca="1">IFERROR(__xludf.DUMMYFUNCTION("IMPORTRANGE(""https://docs.google.com/spreadsheets/d/1IYY_tgx_IHuhSq3AJ5eI5OnqOPBNLWSHKh2a30DoXe8/edit?usp=sharing"",""สุราษฎร์ธานี!I417"")"),0)</f>
        <v>0</v>
      </c>
      <c r="J522" s="195">
        <f ca="1">IFERROR(__xludf.DUMMYFUNCTION("IMPORTRANGE(""https://docs.google.com/spreadsheets/d/1IYY_tgx_IHuhSq3AJ5eI5OnqOPBNLWSHKh2a30DoXe8/edit?usp=sharing"",""สุราษฎร์ธานี!J417"")"),0)</f>
        <v>0</v>
      </c>
      <c r="K522" s="169">
        <v>0</v>
      </c>
      <c r="L522" s="189"/>
      <c r="M522" s="189"/>
      <c r="N522" s="189"/>
      <c r="O522" s="189"/>
      <c r="P522" s="189"/>
    </row>
    <row r="523" spans="1:16" ht="21.75" customHeight="1" x14ac:dyDescent="0.35">
      <c r="A523" s="183"/>
      <c r="B523" s="184"/>
      <c r="C523" s="184"/>
      <c r="D523" s="201"/>
      <c r="E523" s="203"/>
      <c r="F523" s="203"/>
      <c r="G523" s="464" t="s">
        <v>198</v>
      </c>
      <c r="H523" s="428" t="s">
        <v>122</v>
      </c>
      <c r="I523" s="195">
        <f ca="1">IFERROR(__xludf.DUMMYFUNCTION("IMPORTRANGE(""https://docs.google.com/spreadsheets/d/1IYY_tgx_IHuhSq3AJ5eI5OnqOPBNLWSHKh2a30DoXe8/edit?usp=sharing"",""สุราษฎร์ธานี!I418"")"),0)</f>
        <v>0</v>
      </c>
      <c r="J523" s="195">
        <f ca="1">IFERROR(__xludf.DUMMYFUNCTION("IMPORTRANGE(""https://docs.google.com/spreadsheets/d/1IYY_tgx_IHuhSq3AJ5eI5OnqOPBNLWSHKh2a30DoXe8/edit?usp=sharing"",""สุราษฎร์ธานี!J418"")"),3)</f>
        <v>3</v>
      </c>
      <c r="K523" s="169">
        <v>0</v>
      </c>
      <c r="L523" s="189"/>
      <c r="M523" s="189"/>
      <c r="N523" s="189"/>
      <c r="O523" s="189"/>
      <c r="P523" s="189"/>
    </row>
    <row r="524" spans="1:16" ht="21.75" customHeight="1" x14ac:dyDescent="0.35">
      <c r="A524" s="183"/>
      <c r="B524" s="184"/>
      <c r="C524" s="184"/>
      <c r="D524" s="201"/>
      <c r="E524" s="203"/>
      <c r="F524" s="203"/>
      <c r="G524" s="204"/>
      <c r="H524" s="428" t="s">
        <v>36</v>
      </c>
      <c r="I524" s="195">
        <f ca="1">IFERROR(__xludf.DUMMYFUNCTION("IMPORTRANGE(""https://docs.google.com/spreadsheets/d/1IYY_tgx_IHuhSq3AJ5eI5OnqOPBNLWSHKh2a30DoXe8/edit?usp=sharing"",""สุราษฎร์ธานี!I419"")"),0)</f>
        <v>0</v>
      </c>
      <c r="J524" s="195">
        <f ca="1">IFERROR(__xludf.DUMMYFUNCTION("IMPORTRANGE(""https://docs.google.com/spreadsheets/d/1IYY_tgx_IHuhSq3AJ5eI5OnqOPBNLWSHKh2a30DoXe8/edit?usp=sharing"",""สุราษฎร์ธานี!J419"")"),2)</f>
        <v>2</v>
      </c>
      <c r="K524" s="169">
        <v>0</v>
      </c>
      <c r="L524" s="189"/>
      <c r="M524" s="189"/>
      <c r="N524" s="189"/>
      <c r="O524" s="189"/>
      <c r="P524" s="189"/>
    </row>
    <row r="525" spans="1:16" ht="21.75" customHeight="1" x14ac:dyDescent="0.35">
      <c r="A525" s="183"/>
      <c r="B525" s="184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IFERROR(__xludf.DUMMYFUNCTION("IMPORTRANGE(""https://docs.google.com/spreadsheets/d/1IYY_tgx_IHuhSq3AJ5eI5OnqOPBNLWSHKh2a30DoXe8/edit?usp=sharing"",""สุราษฎร์ธานี!I420"")"),3)</f>
        <v>3</v>
      </c>
      <c r="J525" s="290">
        <f ca="1">IFERROR(__xludf.DUMMYFUNCTION("IMPORTRANGE(""https://docs.google.com/spreadsheets/d/1IYY_tgx_IHuhSq3AJ5eI5OnqOPBNLWSHKh2a30DoXe8/edit?usp=sharing"",""สุราษฎร์ธานี!J420"")"),0)</f>
        <v>0</v>
      </c>
      <c r="K525" s="291">
        <v>0</v>
      </c>
      <c r="L525" s="189"/>
      <c r="M525" s="189"/>
      <c r="N525" s="189"/>
      <c r="O525" s="189"/>
      <c r="P525" s="189"/>
    </row>
    <row r="526" spans="1:16" ht="21.75" customHeight="1" x14ac:dyDescent="0.35">
      <c r="A526" s="183"/>
      <c r="B526" s="184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IFERROR(__xludf.DUMMYFUNCTION("IMPORTRANGE(""https://docs.google.com/spreadsheets/d/1IYY_tgx_IHuhSq3AJ5eI5OnqOPBNLWSHKh2a30DoXe8/edit?usp=sharing"",""สุราษฎร์ธานี!I421"")"),2)</f>
        <v>2</v>
      </c>
      <c r="J526" s="290">
        <f ca="1">IFERROR(__xludf.DUMMYFUNCTION("IMPORTRANGE(""https://docs.google.com/spreadsheets/d/1IYY_tgx_IHuhSq3AJ5eI5OnqOPBNLWSHKh2a30DoXe8/edit?usp=sharing"",""สุราษฎร์ธานี!J421"")"),0)</f>
        <v>0</v>
      </c>
      <c r="K526" s="291">
        <v>0</v>
      </c>
      <c r="L526" s="189"/>
      <c r="M526" s="189"/>
      <c r="N526" s="189"/>
      <c r="O526" s="189"/>
      <c r="P526" s="189"/>
    </row>
    <row r="527" spans="1:16" ht="21.75" customHeight="1" x14ac:dyDescent="0.35">
      <c r="A527" s="183"/>
      <c r="B527" s="184"/>
      <c r="C527" s="184"/>
      <c r="D527" s="201"/>
      <c r="E527" s="203"/>
      <c r="F527" s="203"/>
      <c r="G527" s="233" t="s">
        <v>196</v>
      </c>
      <c r="H527" s="428" t="s">
        <v>122</v>
      </c>
      <c r="I527" s="195">
        <f ca="1">IFERROR(__xludf.DUMMYFUNCTION("IMPORTRANGE(""https://docs.google.com/spreadsheets/d/1IYY_tgx_IHuhSq3AJ5eI5OnqOPBNLWSHKh2a30DoXe8/edit?usp=sharing"",""สุราษฎร์ธานี!I422"")"),0)</f>
        <v>0</v>
      </c>
      <c r="J527" s="205">
        <f ca="1">IFERROR(__xludf.DUMMYFUNCTION("IMPORTRANGE(""https://docs.google.com/spreadsheets/d/1IYY_tgx_IHuhSq3AJ5eI5OnqOPBNLWSHKh2a30DoXe8/edit?usp=sharing"",""สุราษฎร์ธานี!J422"")"),0)</f>
        <v>0</v>
      </c>
      <c r="K527" s="169">
        <v>0</v>
      </c>
      <c r="L527" s="189"/>
      <c r="M527" s="189"/>
      <c r="N527" s="189"/>
      <c r="O527" s="189"/>
      <c r="P527" s="189"/>
    </row>
    <row r="528" spans="1:16" ht="21.75" customHeight="1" x14ac:dyDescent="0.35">
      <c r="A528" s="183"/>
      <c r="B528" s="184"/>
      <c r="C528" s="184"/>
      <c r="D528" s="201"/>
      <c r="E528" s="203"/>
      <c r="F528" s="203"/>
      <c r="G528" s="204"/>
      <c r="H528" s="428" t="s">
        <v>36</v>
      </c>
      <c r="I528" s="195">
        <f ca="1">IFERROR(__xludf.DUMMYFUNCTION("IMPORTRANGE(""https://docs.google.com/spreadsheets/d/1IYY_tgx_IHuhSq3AJ5eI5OnqOPBNLWSHKh2a30DoXe8/edit?usp=sharing"",""สุราษฎร์ธานี!I423"")"),0)</f>
        <v>0</v>
      </c>
      <c r="J528" s="205">
        <f ca="1">IFERROR(__xludf.DUMMYFUNCTION("IMPORTRANGE(""https://docs.google.com/spreadsheets/d/1IYY_tgx_IHuhSq3AJ5eI5OnqOPBNLWSHKh2a30DoXe8/edit?usp=sharing"",""สุราษฎร์ธานี!J423"")"),0)</f>
        <v>0</v>
      </c>
      <c r="K528" s="169">
        <v>0</v>
      </c>
      <c r="L528" s="189"/>
      <c r="M528" s="189"/>
      <c r="N528" s="189"/>
      <c r="O528" s="189"/>
      <c r="P528" s="189"/>
    </row>
    <row r="529" spans="1:16" ht="21.75" customHeight="1" x14ac:dyDescent="0.35">
      <c r="A529" s="183"/>
      <c r="B529" s="184"/>
      <c r="C529" s="184"/>
      <c r="D529" s="201"/>
      <c r="E529" s="203"/>
      <c r="F529" s="203"/>
      <c r="G529" s="233" t="s">
        <v>197</v>
      </c>
      <c r="H529" s="428" t="s">
        <v>122</v>
      </c>
      <c r="I529" s="195">
        <f ca="1">IFERROR(__xludf.DUMMYFUNCTION("IMPORTRANGE(""https://docs.google.com/spreadsheets/d/1IYY_tgx_IHuhSq3AJ5eI5OnqOPBNLWSHKh2a30DoXe8/edit?usp=sharing"",""สุราษฎร์ธานี!I424"")"),0)</f>
        <v>0</v>
      </c>
      <c r="J529" s="205">
        <f ca="1">IFERROR(__xludf.DUMMYFUNCTION("IMPORTRANGE(""https://docs.google.com/spreadsheets/d/1IYY_tgx_IHuhSq3AJ5eI5OnqOPBNLWSHKh2a30DoXe8/edit?usp=sharing"",""สุราษฎร์ธานี!J424"")"),0)</f>
        <v>0</v>
      </c>
      <c r="K529" s="169">
        <v>0</v>
      </c>
      <c r="L529" s="189"/>
      <c r="M529" s="189"/>
      <c r="N529" s="189"/>
      <c r="O529" s="189"/>
      <c r="P529" s="189"/>
    </row>
    <row r="530" spans="1:16" ht="21.75" customHeight="1" x14ac:dyDescent="0.35">
      <c r="A530" s="183"/>
      <c r="B530" s="184"/>
      <c r="C530" s="184"/>
      <c r="D530" s="201"/>
      <c r="E530" s="203"/>
      <c r="F530" s="203"/>
      <c r="G530" s="204"/>
      <c r="H530" s="428" t="s">
        <v>36</v>
      </c>
      <c r="I530" s="195">
        <f ca="1">IFERROR(__xludf.DUMMYFUNCTION("IMPORTRANGE(""https://docs.google.com/spreadsheets/d/1IYY_tgx_IHuhSq3AJ5eI5OnqOPBNLWSHKh2a30DoXe8/edit?usp=sharing"",""สุราษฎร์ธานี!I425"")"),0)</f>
        <v>0</v>
      </c>
      <c r="J530" s="205">
        <f ca="1">IFERROR(__xludf.DUMMYFUNCTION("IMPORTRANGE(""https://docs.google.com/spreadsheets/d/1IYY_tgx_IHuhSq3AJ5eI5OnqOPBNLWSHKh2a30DoXe8/edit?usp=sharing"",""สุราษฎร์ธานี!J425"")"),0)</f>
        <v>0</v>
      </c>
      <c r="K530" s="169">
        <v>0</v>
      </c>
      <c r="L530" s="189"/>
      <c r="M530" s="189"/>
      <c r="N530" s="189"/>
      <c r="O530" s="189"/>
      <c r="P530" s="189"/>
    </row>
    <row r="531" spans="1:16" ht="21.75" customHeight="1" x14ac:dyDescent="0.35">
      <c r="A531" s="183"/>
      <c r="B531" s="184"/>
      <c r="C531" s="184"/>
      <c r="D531" s="201"/>
      <c r="E531" s="203"/>
      <c r="F531" s="203"/>
      <c r="G531" s="233" t="s">
        <v>201</v>
      </c>
      <c r="H531" s="428" t="s">
        <v>122</v>
      </c>
      <c r="I531" s="195">
        <f ca="1">IFERROR(__xludf.DUMMYFUNCTION("IMPORTRANGE(""https://docs.google.com/spreadsheets/d/1IYY_tgx_IHuhSq3AJ5eI5OnqOPBNLWSHKh2a30DoXe8/edit?usp=sharing"",""สุราษฎร์ธานี!I426"")"),0)</f>
        <v>0</v>
      </c>
      <c r="J531" s="205">
        <f ca="1">IFERROR(__xludf.DUMMYFUNCTION("IMPORTRANGE(""https://docs.google.com/spreadsheets/d/1IYY_tgx_IHuhSq3AJ5eI5OnqOPBNLWSHKh2a30DoXe8/edit?usp=sharing"",""สุราษฎร์ธานี!J426"")"),0)</f>
        <v>0</v>
      </c>
      <c r="K531" s="169">
        <v>0</v>
      </c>
      <c r="L531" s="189"/>
      <c r="M531" s="189"/>
      <c r="N531" s="189"/>
      <c r="O531" s="189"/>
      <c r="P531" s="189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IFERROR(__xludf.DUMMYFUNCTION("IMPORTRANGE(""https://docs.google.com/spreadsheets/d/1IYY_tgx_IHuhSq3AJ5eI5OnqOPBNLWSHKh2a30DoXe8/edit?usp=sharing"",""สุราษฎร์ธานี!I427"")"),0)</f>
        <v>0</v>
      </c>
      <c r="J532" s="472">
        <f ca="1">IFERROR(__xludf.DUMMYFUNCTION("IMPORTRANGE(""https://docs.google.com/spreadsheets/d/1IYY_tgx_IHuhSq3AJ5eI5OnqOPBNLWSHKh2a30DoXe8/edit?usp=sharing"",""สุราษฎร์ธานี!J427"")"),0)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IFERROR(__xludf.DUMMYFUNCTION("IMPORTRANGE(""https://docs.google.com/spreadsheets/d/1IYY_tgx_IHuhSq3AJ5eI5OnqOPBNLWSHKh2a30DoXe8/edit?usp=sharing"",""สุราษฎร์ธานี!I428"")"),24)</f>
        <v>24</v>
      </c>
      <c r="J533" s="416">
        <f ca="1">IFERROR(__xludf.DUMMYFUNCTION("IMPORTRANGE(""https://docs.google.com/spreadsheets/d/1IYY_tgx_IHuhSq3AJ5eI5OnqOPBNLWSHKh2a30DoXe8/edit?usp=sharing"",""สุราษฎร์ธานี!J428"")"),24)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IFERROR(__xludf.DUMMYFUNCTION("IMPORTRANGE(""https://docs.google.com/spreadsheets/d/1IYY_tgx_IHuhSq3AJ5eI5OnqOPBNLWSHKh2a30DoXe8/edit?usp=sharing"",""สุราษฎร์ธานี!L428"")"),36040)</f>
        <v>36040</v>
      </c>
      <c r="M533" s="418"/>
      <c r="N533" s="418">
        <f ca="1">IFERROR(__xludf.DUMMYFUNCTION("IMPORTRANGE(""https://docs.google.com/spreadsheets/d/1IYY_tgx_IHuhSq3AJ5eI5OnqOPBNLWSHKh2a30DoXe8/edit?usp=sharing"",""สุราษฎร์ธานี!M428"")"),21146)</f>
        <v>21146</v>
      </c>
      <c r="O533" s="418">
        <f t="shared" ref="O533:O537" ca="1" si="118">+IF(L533&gt;0,N533*100/L533,0)</f>
        <v>58.673695893451722</v>
      </c>
      <c r="P533" s="418"/>
    </row>
    <row r="534" spans="1:16" ht="21.75" customHeight="1" x14ac:dyDescent="0.35">
      <c r="A534" s="162"/>
      <c r="B534" s="163"/>
      <c r="C534" s="163" t="s">
        <v>16</v>
      </c>
      <c r="D534" s="164" t="s">
        <v>38</v>
      </c>
      <c r="E534" s="165"/>
      <c r="F534" s="165"/>
      <c r="G534" s="166" t="s">
        <v>39</v>
      </c>
      <c r="H534" s="167" t="s">
        <v>12</v>
      </c>
      <c r="I534" s="168" t="s">
        <v>40</v>
      </c>
      <c r="J534" s="168"/>
      <c r="K534" s="169"/>
      <c r="L534" s="170">
        <f ca="1">IFERROR(__xludf.DUMMYFUNCTION("IMPORTRANGE(""https://docs.google.com/spreadsheets/d/1IYY_tgx_IHuhSq3AJ5eI5OnqOPBNLWSHKh2a30DoXe8/edit?usp=sharing"",""สุราษฎร์ธานี!L429"")"),0)</f>
        <v>0</v>
      </c>
      <c r="M534" s="170"/>
      <c r="N534" s="176">
        <f ca="1">IFERROR(__xludf.DUMMYFUNCTION("IMPORTRANGE(""https://docs.google.com/spreadsheets/d/1IYY_tgx_IHuhSq3AJ5eI5OnqOPBNLWSHKh2a30DoXe8/edit?usp=sharing"",""สุราษฎร์ธานี!M429"")"),0)</f>
        <v>0</v>
      </c>
      <c r="O534" s="176">
        <f t="shared" ca="1" si="118"/>
        <v>0</v>
      </c>
      <c r="P534" s="176"/>
    </row>
    <row r="535" spans="1:16" ht="21.75" customHeight="1" x14ac:dyDescent="0.35">
      <c r="A535" s="162"/>
      <c r="B535" s="163"/>
      <c r="C535" s="163"/>
      <c r="D535" s="172"/>
      <c r="E535" s="165"/>
      <c r="F535" s="165" t="s">
        <v>40</v>
      </c>
      <c r="G535" s="166" t="s">
        <v>41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IFERROR(__xludf.DUMMYFUNCTION("IMPORTRANGE(""https://docs.google.com/spreadsheets/d/1IYY_tgx_IHuhSq3AJ5eI5OnqOPBNLWSHKh2a30DoXe8/edit?usp=sharing"",""สุราษฎร์ธานี!L430"")"),36040)</f>
        <v>36040</v>
      </c>
      <c r="M535" s="171"/>
      <c r="N535" s="176">
        <f ca="1">IFERROR(__xludf.DUMMYFUNCTION("IMPORTRANGE(""https://docs.google.com/spreadsheets/d/1IYY_tgx_IHuhSq3AJ5eI5OnqOPBNLWSHKh2a30DoXe8/edit?usp=sharing"",""สุราษฎร์ธานี!M430"")"),21146)</f>
        <v>21146</v>
      </c>
      <c r="O535" s="176">
        <f t="shared" ca="1" si="118"/>
        <v>58.673695893451722</v>
      </c>
      <c r="P535" s="176"/>
    </row>
    <row r="536" spans="1:16" ht="21.75" customHeight="1" x14ac:dyDescent="0.35">
      <c r="A536" s="162"/>
      <c r="B536" s="163"/>
      <c r="C536" s="163"/>
      <c r="D536" s="172"/>
      <c r="E536" s="165"/>
      <c r="F536" s="165"/>
      <c r="G536" s="380" t="s">
        <v>129</v>
      </c>
      <c r="H536" s="167" t="s">
        <v>12</v>
      </c>
      <c r="I536" s="168"/>
      <c r="J536" s="168"/>
      <c r="K536" s="169"/>
      <c r="L536" s="176">
        <f ca="1">IFERROR(__xludf.DUMMYFUNCTION("IMPORTRANGE(""https://docs.google.com/spreadsheets/d/1IYY_tgx_IHuhSq3AJ5eI5OnqOPBNLWSHKh2a30DoXe8/edit?usp=sharing"",""สุราษฎร์ธานี!L431"")"),0)</f>
        <v>0</v>
      </c>
      <c r="M536" s="176"/>
      <c r="N536" s="176">
        <f ca="1">IFERROR(__xludf.DUMMYFUNCTION("IMPORTRANGE(""https://docs.google.com/spreadsheets/d/1IYY_tgx_IHuhSq3AJ5eI5OnqOPBNLWSHKh2a30DoXe8/edit?usp=sharing"",""สุราษฎร์ธานี!M431"")"),0)</f>
        <v>0</v>
      </c>
      <c r="O536" s="176">
        <f t="shared" ca="1" si="118"/>
        <v>0</v>
      </c>
      <c r="P536" s="176"/>
    </row>
    <row r="537" spans="1:16" ht="21.75" customHeight="1" x14ac:dyDescent="0.35">
      <c r="A537" s="162"/>
      <c r="B537" s="163"/>
      <c r="C537" s="163"/>
      <c r="D537" s="172"/>
      <c r="E537" s="165"/>
      <c r="F537" s="165"/>
      <c r="G537" s="380" t="s">
        <v>130</v>
      </c>
      <c r="H537" s="167" t="s">
        <v>12</v>
      </c>
      <c r="I537" s="168"/>
      <c r="J537" s="168"/>
      <c r="K537" s="169"/>
      <c r="L537" s="176">
        <f ca="1">IFERROR(__xludf.DUMMYFUNCTION("IMPORTRANGE(""https://docs.google.com/spreadsheets/d/1IYY_tgx_IHuhSq3AJ5eI5OnqOPBNLWSHKh2a30DoXe8/edit?usp=sharing"",""สุราษฎร์ธานี!L432"")"),36040)</f>
        <v>36040</v>
      </c>
      <c r="M537" s="176"/>
      <c r="N537" s="176">
        <f ca="1">IFERROR(__xludf.DUMMYFUNCTION("IMPORTRANGE(""https://docs.google.com/spreadsheets/d/1IYY_tgx_IHuhSq3AJ5eI5OnqOPBNLWSHKh2a30DoXe8/edit?usp=sharing"",""สุราษฎร์ธานี!M432"")"),21146)</f>
        <v>21146</v>
      </c>
      <c r="O537" s="176">
        <f t="shared" ca="1" si="118"/>
        <v>58.673695893451722</v>
      </c>
      <c r="P537" s="176"/>
    </row>
    <row r="538" spans="1:16" ht="21.75" customHeight="1" x14ac:dyDescent="0.35">
      <c r="A538" s="381"/>
      <c r="B538" s="382"/>
      <c r="C538" s="163"/>
      <c r="D538" s="383"/>
      <c r="E538" s="165"/>
      <c r="F538" s="165"/>
      <c r="G538" s="384" t="s">
        <v>131</v>
      </c>
      <c r="H538" s="167" t="s">
        <v>12</v>
      </c>
      <c r="I538" s="195"/>
      <c r="J538" s="195"/>
      <c r="K538" s="231"/>
      <c r="L538" s="176"/>
      <c r="M538" s="176"/>
      <c r="N538" s="385">
        <f ca="1">IFERROR(__xludf.DUMMYFUNCTION("IMPORTRANGE(""https://docs.google.com/spreadsheets/d/1IYY_tgx_IHuhSq3AJ5eI5OnqOPBNLWSHKh2a30DoXe8/edit?usp=sharing"",""สุราษฎร์ธานี!M433"")"),17179)</f>
        <v>17179</v>
      </c>
      <c r="O538" s="176"/>
      <c r="P538" s="176"/>
    </row>
    <row r="539" spans="1:16" ht="21.75" customHeight="1" x14ac:dyDescent="0.35">
      <c r="A539" s="381"/>
      <c r="B539" s="382"/>
      <c r="C539" s="163"/>
      <c r="D539" s="383"/>
      <c r="E539" s="165"/>
      <c r="F539" s="165"/>
      <c r="G539" s="384" t="s">
        <v>132</v>
      </c>
      <c r="H539" s="167" t="s">
        <v>12</v>
      </c>
      <c r="I539" s="195"/>
      <c r="J539" s="195"/>
      <c r="K539" s="231"/>
      <c r="L539" s="176"/>
      <c r="M539" s="176"/>
      <c r="N539" s="385">
        <f ca="1">IFERROR(__xludf.DUMMYFUNCTION("IMPORTRANGE(""https://docs.google.com/spreadsheets/d/1IYY_tgx_IHuhSq3AJ5eI5OnqOPBNLWSHKh2a30DoXe8/edit?usp=sharing"",""สุราษฎร์ธานี!M434"")"),0)</f>
        <v>0</v>
      </c>
      <c r="O539" s="176"/>
      <c r="P539" s="176"/>
    </row>
    <row r="540" spans="1:16" ht="21.75" customHeight="1" x14ac:dyDescent="0.35">
      <c r="A540" s="381"/>
      <c r="B540" s="382"/>
      <c r="C540" s="163"/>
      <c r="D540" s="383"/>
      <c r="E540" s="165"/>
      <c r="F540" s="165"/>
      <c r="G540" s="384" t="s">
        <v>133</v>
      </c>
      <c r="H540" s="167" t="s">
        <v>12</v>
      </c>
      <c r="I540" s="195"/>
      <c r="J540" s="195"/>
      <c r="K540" s="231"/>
      <c r="L540" s="176"/>
      <c r="M540" s="176"/>
      <c r="N540" s="385">
        <f ca="1">IFERROR(__xludf.DUMMYFUNCTION("IMPORTRANGE(""https://docs.google.com/spreadsheets/d/1IYY_tgx_IHuhSq3AJ5eI5OnqOPBNLWSHKh2a30DoXe8/edit?usp=sharing"",""สุราษฎร์ธานี!M435"")"),0)</f>
        <v>0</v>
      </c>
      <c r="O540" s="176"/>
      <c r="P540" s="176"/>
    </row>
    <row r="541" spans="1:16" ht="21.75" customHeight="1" x14ac:dyDescent="0.35">
      <c r="A541" s="381"/>
      <c r="B541" s="382"/>
      <c r="C541" s="163"/>
      <c r="D541" s="383"/>
      <c r="E541" s="165"/>
      <c r="F541" s="165"/>
      <c r="G541" s="384" t="s">
        <v>134</v>
      </c>
      <c r="H541" s="167" t="s">
        <v>12</v>
      </c>
      <c r="I541" s="195"/>
      <c r="J541" s="195"/>
      <c r="K541" s="231"/>
      <c r="L541" s="176"/>
      <c r="M541" s="176"/>
      <c r="N541" s="385">
        <f ca="1">IFERROR(__xludf.DUMMYFUNCTION("IMPORTRANGE(""https://docs.google.com/spreadsheets/d/1IYY_tgx_IHuhSq3AJ5eI5OnqOPBNLWSHKh2a30DoXe8/edit?usp=sharing"",""สุราษฎร์ธานี!M436"")"),3967)</f>
        <v>3967</v>
      </c>
      <c r="O541" s="176"/>
      <c r="P541" s="176"/>
    </row>
    <row r="542" spans="1:16" ht="21.75" customHeight="1" x14ac:dyDescent="0.35">
      <c r="A542" s="183"/>
      <c r="B542" s="184"/>
      <c r="C542" s="163" t="s">
        <v>16</v>
      </c>
      <c r="D542" s="185" t="s">
        <v>44</v>
      </c>
      <c r="E542" s="186"/>
      <c r="F542" s="186"/>
      <c r="G542" s="187"/>
      <c r="H542" s="188"/>
      <c r="I542" s="168"/>
      <c r="J542" s="168"/>
      <c r="K542" s="169"/>
      <c r="L542" s="189"/>
      <c r="M542" s="189"/>
      <c r="N542" s="189"/>
      <c r="O542" s="189"/>
      <c r="P542" s="189"/>
    </row>
    <row r="543" spans="1:16" ht="21.75" customHeight="1" x14ac:dyDescent="0.35">
      <c r="A543" s="183"/>
      <c r="B543" s="184"/>
      <c r="C543" s="184"/>
      <c r="D543" s="190">
        <v>1</v>
      </c>
      <c r="E543" s="191" t="s">
        <v>45</v>
      </c>
      <c r="F543" s="192"/>
      <c r="G543" s="193"/>
      <c r="H543" s="194"/>
      <c r="I543" s="195"/>
      <c r="J543" s="205">
        <f ca="1">IFERROR(__xludf.DUMMYFUNCTION("IMPORTRANGE(""https://docs.google.com/spreadsheets/d/1IYY_tgx_IHuhSq3AJ5eI5OnqOPBNLWSHKh2a30DoXe8/edit?usp=sharing"",""สุราษฎร์ธานี!J438"")"),0)</f>
        <v>0</v>
      </c>
      <c r="K543" s="169"/>
      <c r="L543" s="189"/>
      <c r="M543" s="189"/>
      <c r="N543" s="189"/>
      <c r="O543" s="189"/>
      <c r="P543" s="189"/>
    </row>
    <row r="544" spans="1:16" ht="21.75" customHeight="1" x14ac:dyDescent="0.35">
      <c r="A544" s="183"/>
      <c r="B544" s="184"/>
      <c r="C544" s="184"/>
      <c r="D544" s="197">
        <v>2</v>
      </c>
      <c r="E544" s="198" t="s">
        <v>46</v>
      </c>
      <c r="F544" s="199"/>
      <c r="G544" s="200"/>
      <c r="H544" s="194"/>
      <c r="I544" s="195"/>
      <c r="J544" s="196">
        <f ca="1">IFERROR(__xludf.DUMMYFUNCTION("IMPORTRANGE(""https://docs.google.com/spreadsheets/d/1IYY_tgx_IHuhSq3AJ5eI5OnqOPBNLWSHKh2a30DoXe8/edit?usp=sharing"",""สุราษฎร์ธานี!J439"")"),1)</f>
        <v>1</v>
      </c>
      <c r="K544" s="169"/>
      <c r="L544" s="189" t="s">
        <v>40</v>
      </c>
      <c r="M544" s="189"/>
      <c r="N544" s="189" t="s">
        <v>40</v>
      </c>
      <c r="O544" s="189"/>
      <c r="P544" s="189"/>
    </row>
    <row r="545" spans="1:16" ht="21.75" customHeight="1" x14ac:dyDescent="0.35">
      <c r="A545" s="183"/>
      <c r="B545" s="184"/>
      <c r="C545" s="184"/>
      <c r="D545" s="201"/>
      <c r="E545" s="202" t="s">
        <v>47</v>
      </c>
      <c r="F545" s="203"/>
      <c r="G545" s="204"/>
      <c r="H545" s="194"/>
      <c r="I545" s="195"/>
      <c r="J545" s="196">
        <f ca="1">IFERROR(__xludf.DUMMYFUNCTION("IMPORTRANGE(""https://docs.google.com/spreadsheets/d/1IYY_tgx_IHuhSq3AJ5eI5OnqOPBNLWSHKh2a30DoXe8/edit?usp=sharing"",""สุราษฎร์ธานี!J440"")"),1)</f>
        <v>1</v>
      </c>
      <c r="K545" s="169"/>
      <c r="L545" s="189"/>
      <c r="M545" s="189"/>
      <c r="N545" s="189"/>
      <c r="O545" s="189"/>
      <c r="P545" s="189"/>
    </row>
    <row r="546" spans="1:16" ht="21.75" customHeight="1" x14ac:dyDescent="0.35">
      <c r="A546" s="183"/>
      <c r="B546" s="184"/>
      <c r="C546" s="184"/>
      <c r="D546" s="201"/>
      <c r="E546" s="202" t="s">
        <v>48</v>
      </c>
      <c r="F546" s="203"/>
      <c r="G546" s="204"/>
      <c r="H546" s="194"/>
      <c r="I546" s="195"/>
      <c r="J546" s="205">
        <f ca="1">IFERROR(__xludf.DUMMYFUNCTION("IMPORTRANGE(""https://docs.google.com/spreadsheets/d/1IYY_tgx_IHuhSq3AJ5eI5OnqOPBNLWSHKh2a30DoXe8/edit?usp=sharing"",""สุราษฎร์ธานี!J441"")"),1)</f>
        <v>1</v>
      </c>
      <c r="K546" s="169"/>
      <c r="L546" s="189"/>
      <c r="M546" s="189"/>
      <c r="N546" s="189"/>
      <c r="O546" s="189"/>
      <c r="P546" s="189"/>
    </row>
    <row r="547" spans="1:16" ht="21.75" customHeight="1" x14ac:dyDescent="0.35">
      <c r="A547" s="183"/>
      <c r="B547" s="184"/>
      <c r="C547" s="184"/>
      <c r="D547" s="201"/>
      <c r="E547" s="206"/>
      <c r="F547" s="203"/>
      <c r="G547" s="233" t="s">
        <v>203</v>
      </c>
      <c r="H547" s="194" t="s">
        <v>37</v>
      </c>
      <c r="I547" s="211">
        <f ca="1">IFERROR(__xludf.DUMMYFUNCTION("IMPORTRANGE(""https://docs.google.com/spreadsheets/d/1IYY_tgx_IHuhSq3AJ5eI5OnqOPBNLWSHKh2a30DoXe8/edit?usp=sharing"",""สุราษฎร์ธานี!I442"")"),24)</f>
        <v>24</v>
      </c>
      <c r="J547" s="196">
        <f ca="1">IFERROR(__xludf.DUMMYFUNCTION("IMPORTRANGE(""https://docs.google.com/spreadsheets/d/1IYY_tgx_IHuhSq3AJ5eI5OnqOPBNLWSHKh2a30DoXe8/edit?usp=sharing"",""สุราษฎร์ธานี!J442"")"),24)</f>
        <v>24</v>
      </c>
      <c r="K547" s="169">
        <f t="shared" ref="K547:K548" ca="1" si="119">IF(I547&gt;0,J547*100/I547,0)</f>
        <v>100</v>
      </c>
      <c r="L547" s="189"/>
      <c r="M547" s="189"/>
      <c r="N547" s="189"/>
      <c r="O547" s="189"/>
      <c r="P547" s="189"/>
    </row>
    <row r="548" spans="1:16" ht="21.75" hidden="1" customHeight="1" x14ac:dyDescent="0.35">
      <c r="A548" s="183"/>
      <c r="B548" s="184"/>
      <c r="C548" s="184"/>
      <c r="D548" s="201"/>
      <c r="E548" s="206"/>
      <c r="F548" s="203"/>
      <c r="G548" s="233" t="s">
        <v>204</v>
      </c>
      <c r="H548" s="194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5">
        <f ca="1">IFERROR(__xludf.DUMMYFUNCTION("IMPORTRANGE(""https://docs.google.com/spreadsheets/d/1IYY_tgx_IHuhSq3AJ5eI5OnqOPBNLWSHKh2a30DoXe8/edit?usp=sharing"",""สุราษฎร์ธานี!J166"")"),0)</f>
        <v>0</v>
      </c>
      <c r="K548" s="169">
        <f t="shared" ca="1" si="119"/>
        <v>0</v>
      </c>
      <c r="L548" s="189"/>
      <c r="M548" s="189"/>
      <c r="N548" s="189"/>
      <c r="O548" s="189"/>
      <c r="P548" s="189"/>
    </row>
    <row r="549" spans="1:16" ht="21.75" customHeight="1" x14ac:dyDescent="0.35">
      <c r="A549" s="183"/>
      <c r="B549" s="184"/>
      <c r="C549" s="184"/>
      <c r="D549" s="201"/>
      <c r="E549" s="202" t="s">
        <v>54</v>
      </c>
      <c r="F549" s="203"/>
      <c r="G549" s="204"/>
      <c r="H549" s="194"/>
      <c r="I549" s="195"/>
      <c r="J549" s="205">
        <f ca="1">IFERROR(__xludf.DUMMYFUNCTION("IMPORTRANGE(""https://docs.google.com/spreadsheets/d/1IYY_tgx_IHuhSq3AJ5eI5OnqOPBNLWSHKh2a30DoXe8/edit?usp=sharing"",""สุราษฎร์ธานี!J444"")"),0)</f>
        <v>0</v>
      </c>
      <c r="K549" s="169"/>
      <c r="L549" s="189"/>
      <c r="M549" s="189"/>
      <c r="N549" s="189"/>
      <c r="O549" s="189"/>
      <c r="P549" s="189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IFERROR(__xludf.DUMMYFUNCTION("IMPORTRANGE(""https://docs.google.com/spreadsheets/d/1IYY_tgx_IHuhSq3AJ5eI5OnqOPBNLWSHKh2a30DoXe8/edit?usp=sharing"",""สุราษฎร์ธานี!J445"")"),0)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IFERROR(__xludf.DUMMYFUNCTION("IMPORTRANGE(""https://docs.google.com/spreadsheets/d/1IYY_tgx_IHuhSq3AJ5eI5OnqOPBNLWSHKh2a30DoXe8/edit?usp=sharing"",""สุราษฎร์ธานี!I446"")"),0)</f>
        <v>0</v>
      </c>
      <c r="J551" s="416">
        <f ca="1">IFERROR(__xludf.DUMMYFUNCTION("IMPORTRANGE(""https://docs.google.com/spreadsheets/d/1IYY_tgx_IHuhSq3AJ5eI5OnqOPBNLWSHKh2a30DoXe8/edit?usp=sharing"",""สุราษฎร์ธานี!J446"")"),0)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IFERROR(__xludf.DUMMYFUNCTION("IMPORTRANGE(""https://docs.google.com/spreadsheets/d/1IYY_tgx_IHuhSq3AJ5eI5OnqOPBNLWSHKh2a30DoXe8/edit?usp=sharing"",""สุราษฎร์ธานี!L446"")"),0)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IFERROR(__xludf.DUMMYFUNCTION("IMPORTRANGE(""https://docs.google.com/spreadsheets/d/1IYY_tgx_IHuhSq3AJ5eI5OnqOPBNLWSHKh2a30DoXe8/edit?usp=sharing"",""สุราษฎร์ธานี!M446"")"),0)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164" t="s">
        <v>38</v>
      </c>
      <c r="E552" s="165"/>
      <c r="F552" s="165"/>
      <c r="G552" s="166" t="s">
        <v>39</v>
      </c>
      <c r="H552" s="167" t="s">
        <v>12</v>
      </c>
      <c r="I552" s="168" t="s">
        <v>40</v>
      </c>
      <c r="J552" s="168"/>
      <c r="K552" s="169"/>
      <c r="L552" s="170">
        <f ca="1">IFERROR(__xludf.DUMMYFUNCTION("IMPORTRANGE(""https://docs.google.com/spreadsheets/d/1IYY_tgx_IHuhSq3AJ5eI5OnqOPBNLWSHKh2a30DoXe8/edit?usp=sharing"",""สุราษฎร์ธานี!L447"")"),0)</f>
        <v>0</v>
      </c>
      <c r="M552" s="170"/>
      <c r="N552" s="176">
        <f ca="1">IFERROR(__xludf.DUMMYFUNCTION("IMPORTRANGE(""https://docs.google.com/spreadsheets/d/1IYY_tgx_IHuhSq3AJ5eI5OnqOPBNLWSHKh2a30DoXe8/edit?usp=sharing"",""สุราษฎร์ธานี!M447"")"),0)</f>
        <v>0</v>
      </c>
      <c r="O552" s="176">
        <f t="shared" ca="1" si="120"/>
        <v>0</v>
      </c>
      <c r="P552" s="176"/>
    </row>
    <row r="553" spans="1:16" ht="21.75" customHeight="1" x14ac:dyDescent="0.35">
      <c r="A553" s="162"/>
      <c r="B553" s="163"/>
      <c r="C553" s="163"/>
      <c r="D553" s="172"/>
      <c r="E553" s="165"/>
      <c r="F553" s="165" t="s">
        <v>40</v>
      </c>
      <c r="G553" s="166" t="s">
        <v>41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IFERROR(__xludf.DUMMYFUNCTION("IMPORTRANGE(""https://docs.google.com/spreadsheets/d/1IYY_tgx_IHuhSq3AJ5eI5OnqOPBNLWSHKh2a30DoXe8/edit?usp=sharing"",""สุราษฎร์ธานี!L448"")"),0)</f>
        <v>0</v>
      </c>
      <c r="M553" s="171"/>
      <c r="N553" s="176">
        <f ca="1">IFERROR(__xludf.DUMMYFUNCTION("IMPORTRANGE(""https://docs.google.com/spreadsheets/d/1IYY_tgx_IHuhSq3AJ5eI5OnqOPBNLWSHKh2a30DoXe8/edit?usp=sharing"",""สุราษฎร์ธานี!M448"")"),0)</f>
        <v>0</v>
      </c>
      <c r="O553" s="176">
        <f t="shared" ca="1" si="120"/>
        <v>0</v>
      </c>
      <c r="P553" s="176"/>
    </row>
    <row r="554" spans="1:16" ht="21.75" customHeight="1" x14ac:dyDescent="0.35">
      <c r="A554" s="162"/>
      <c r="B554" s="163"/>
      <c r="C554" s="163"/>
      <c r="D554" s="172"/>
      <c r="E554" s="165"/>
      <c r="F554" s="165"/>
      <c r="G554" s="380" t="s">
        <v>129</v>
      </c>
      <c r="H554" s="167" t="s">
        <v>12</v>
      </c>
      <c r="I554" s="168"/>
      <c r="J554" s="168"/>
      <c r="K554" s="169"/>
      <c r="L554" s="176">
        <f ca="1">IFERROR(__xludf.DUMMYFUNCTION("IMPORTRANGE(""https://docs.google.com/spreadsheets/d/1IYY_tgx_IHuhSq3AJ5eI5OnqOPBNLWSHKh2a30DoXe8/edit?usp=sharing"",""สุราษฎร์ธานี!L449"")"),0)</f>
        <v>0</v>
      </c>
      <c r="M554" s="176"/>
      <c r="N554" s="176">
        <f ca="1">IFERROR(__xludf.DUMMYFUNCTION("IMPORTRANGE(""https://docs.google.com/spreadsheets/d/1IYY_tgx_IHuhSq3AJ5eI5OnqOPBNLWSHKh2a30DoXe8/edit?usp=sharing"",""สุราษฎร์ธานี!M449"")"),0)</f>
        <v>0</v>
      </c>
      <c r="O554" s="176">
        <f t="shared" ca="1" si="120"/>
        <v>0</v>
      </c>
      <c r="P554" s="176"/>
    </row>
    <row r="555" spans="1:16" ht="21.75" customHeight="1" x14ac:dyDescent="0.35">
      <c r="A555" s="162"/>
      <c r="B555" s="163"/>
      <c r="C555" s="163"/>
      <c r="D555" s="172"/>
      <c r="E555" s="165"/>
      <c r="F555" s="165"/>
      <c r="G555" s="380" t="s">
        <v>130</v>
      </c>
      <c r="H555" s="167" t="s">
        <v>12</v>
      </c>
      <c r="I555" s="168"/>
      <c r="J555" s="168"/>
      <c r="K555" s="169"/>
      <c r="L555" s="176">
        <f ca="1">IFERROR(__xludf.DUMMYFUNCTION("IMPORTRANGE(""https://docs.google.com/spreadsheets/d/1IYY_tgx_IHuhSq3AJ5eI5OnqOPBNLWSHKh2a30DoXe8/edit?usp=sharing"",""สุราษฎร์ธานี!L450"")"),0)</f>
        <v>0</v>
      </c>
      <c r="M555" s="176"/>
      <c r="N555" s="176">
        <f ca="1">IFERROR(__xludf.DUMMYFUNCTION("IMPORTRANGE(""https://docs.google.com/spreadsheets/d/1IYY_tgx_IHuhSq3AJ5eI5OnqOPBNLWSHKh2a30DoXe8/edit?usp=sharing"",""สุราษฎร์ธานี!M450"")"),0)</f>
        <v>0</v>
      </c>
      <c r="O555" s="176">
        <f t="shared" ca="1" si="120"/>
        <v>0</v>
      </c>
      <c r="P555" s="176"/>
    </row>
    <row r="556" spans="1:16" ht="21.75" customHeight="1" x14ac:dyDescent="0.35">
      <c r="A556" s="381"/>
      <c r="B556" s="382"/>
      <c r="C556" s="163"/>
      <c r="D556" s="383"/>
      <c r="E556" s="165"/>
      <c r="F556" s="165"/>
      <c r="G556" s="384" t="s">
        <v>131</v>
      </c>
      <c r="H556" s="167" t="s">
        <v>12</v>
      </c>
      <c r="I556" s="195"/>
      <c r="J556" s="195"/>
      <c r="K556" s="231"/>
      <c r="L556" s="176"/>
      <c r="M556" s="176"/>
      <c r="N556" s="173">
        <f ca="1">IFERROR(__xludf.DUMMYFUNCTION("IMPORTRANGE(""https://docs.google.com/spreadsheets/d/1IYY_tgx_IHuhSq3AJ5eI5OnqOPBNLWSHKh2a30DoXe8/edit?usp=sharing"",""สุราษฎร์ธานี!M451"")"),0)</f>
        <v>0</v>
      </c>
      <c r="O556" s="176"/>
      <c r="P556" s="176"/>
    </row>
    <row r="557" spans="1:16" ht="21.75" customHeight="1" x14ac:dyDescent="0.35">
      <c r="A557" s="381"/>
      <c r="B557" s="382"/>
      <c r="C557" s="163"/>
      <c r="D557" s="383"/>
      <c r="E557" s="165"/>
      <c r="F557" s="165"/>
      <c r="G557" s="384" t="s">
        <v>132</v>
      </c>
      <c r="H557" s="167" t="s">
        <v>12</v>
      </c>
      <c r="I557" s="195"/>
      <c r="J557" s="195"/>
      <c r="K557" s="231"/>
      <c r="L557" s="176"/>
      <c r="M557" s="176"/>
      <c r="N557" s="173">
        <f ca="1">IFERROR(__xludf.DUMMYFUNCTION("IMPORTRANGE(""https://docs.google.com/spreadsheets/d/1IYY_tgx_IHuhSq3AJ5eI5OnqOPBNLWSHKh2a30DoXe8/edit?usp=sharing"",""สุราษฎร์ธานี!M452"")"),0)</f>
        <v>0</v>
      </c>
      <c r="O557" s="176"/>
      <c r="P557" s="176"/>
    </row>
    <row r="558" spans="1:16" ht="21.75" customHeight="1" x14ac:dyDescent="0.35">
      <c r="A558" s="381"/>
      <c r="B558" s="382"/>
      <c r="C558" s="163"/>
      <c r="D558" s="383"/>
      <c r="E558" s="165"/>
      <c r="F558" s="165"/>
      <c r="G558" s="384" t="s">
        <v>133</v>
      </c>
      <c r="H558" s="167" t="s">
        <v>12</v>
      </c>
      <c r="I558" s="195"/>
      <c r="J558" s="195"/>
      <c r="K558" s="231"/>
      <c r="L558" s="176"/>
      <c r="M558" s="176"/>
      <c r="N558" s="173">
        <f ca="1">IFERROR(__xludf.DUMMYFUNCTION("IMPORTRANGE(""https://docs.google.com/spreadsheets/d/1IYY_tgx_IHuhSq3AJ5eI5OnqOPBNLWSHKh2a30DoXe8/edit?usp=sharing"",""สุราษฎร์ธานี!M453"")"),0)</f>
        <v>0</v>
      </c>
      <c r="O558" s="176"/>
      <c r="P558" s="176"/>
    </row>
    <row r="559" spans="1:16" ht="21.75" customHeight="1" x14ac:dyDescent="0.35">
      <c r="A559" s="381"/>
      <c r="B559" s="382"/>
      <c r="C559" s="163"/>
      <c r="D559" s="383"/>
      <c r="E559" s="165"/>
      <c r="F559" s="165"/>
      <c r="G559" s="384" t="s">
        <v>134</v>
      </c>
      <c r="H559" s="167" t="s">
        <v>12</v>
      </c>
      <c r="I559" s="195"/>
      <c r="J559" s="195"/>
      <c r="K559" s="231"/>
      <c r="L559" s="176"/>
      <c r="M559" s="176"/>
      <c r="N559" s="173">
        <f ca="1">IFERROR(__xludf.DUMMYFUNCTION("IMPORTRANGE(""https://docs.google.com/spreadsheets/d/1IYY_tgx_IHuhSq3AJ5eI5OnqOPBNLWSHKh2a30DoXe8/edit?usp=sharing"",""สุราษฎร์ธานี!M454"")"),0)</f>
        <v>0</v>
      </c>
      <c r="O559" s="176"/>
      <c r="P559" s="176"/>
    </row>
    <row r="560" spans="1:16" ht="21.75" customHeight="1" x14ac:dyDescent="0.35">
      <c r="A560" s="183"/>
      <c r="B560" s="184"/>
      <c r="C560" s="184"/>
      <c r="D560" s="201"/>
      <c r="E560" s="203"/>
      <c r="F560" s="285" t="s">
        <v>206</v>
      </c>
      <c r="G560" s="204"/>
      <c r="H560" s="481" t="s">
        <v>122</v>
      </c>
      <c r="I560" s="168">
        <f ca="1">IFERROR(__xludf.DUMMYFUNCTION("IMPORTRANGE(""https://docs.google.com/spreadsheets/d/1IYY_tgx_IHuhSq3AJ5eI5OnqOPBNLWSHKh2a30DoXe8/edit?usp=sharing"",""สุราษฎร์ธานี!I455"")"),0)</f>
        <v>0</v>
      </c>
      <c r="J560" s="168">
        <f ca="1">IFERROR(__xludf.DUMMYFUNCTION("IMPORTRANGE(""https://docs.google.com/spreadsheets/d/1IYY_tgx_IHuhSq3AJ5eI5OnqOPBNLWSHKh2a30DoXe8/edit?usp=sharing"",""สุราษฎร์ธานี!J455"")"),0)</f>
        <v>0</v>
      </c>
      <c r="K560" s="231">
        <f t="shared" ref="K560:K564" ca="1" si="121">IF(I560&gt;0,J560*100/I560,0)</f>
        <v>0</v>
      </c>
      <c r="L560" s="176"/>
      <c r="M560" s="176"/>
      <c r="N560" s="176"/>
      <c r="O560" s="189"/>
      <c r="P560" s="189"/>
    </row>
    <row r="561" spans="1:16" ht="21.75" customHeight="1" x14ac:dyDescent="0.35">
      <c r="A561" s="183"/>
      <c r="B561" s="184"/>
      <c r="C561" s="184"/>
      <c r="D561" s="201"/>
      <c r="E561" s="203"/>
      <c r="F561" s="203"/>
      <c r="G561" s="204"/>
      <c r="H561" s="481" t="s">
        <v>36</v>
      </c>
      <c r="I561" s="168">
        <f ca="1">IFERROR(__xludf.DUMMYFUNCTION("IMPORTRANGE(""https://docs.google.com/spreadsheets/d/1IYY_tgx_IHuhSq3AJ5eI5OnqOPBNLWSHKh2a30DoXe8/edit?usp=sharing"",""สุราษฎร์ธานี!I456"")"),0)</f>
        <v>0</v>
      </c>
      <c r="J561" s="211">
        <f ca="1">IFERROR(__xludf.DUMMYFUNCTION("IMPORTRANGE(""https://docs.google.com/spreadsheets/d/1IYY_tgx_IHuhSq3AJ5eI5OnqOPBNLWSHKh2a30DoXe8/edit?usp=sharing"",""สุราษฎร์ธานี!J456"")"),0)</f>
        <v>0</v>
      </c>
      <c r="K561" s="231">
        <f t="shared" ca="1" si="121"/>
        <v>0</v>
      </c>
      <c r="L561" s="176"/>
      <c r="M561" s="176"/>
      <c r="N561" s="176"/>
      <c r="O561" s="189"/>
      <c r="P561" s="189"/>
    </row>
    <row r="562" spans="1:16" ht="21.75" customHeight="1" x14ac:dyDescent="0.35">
      <c r="A562" s="183"/>
      <c r="B562" s="184"/>
      <c r="C562" s="184"/>
      <c r="D562" s="201"/>
      <c r="E562" s="203"/>
      <c r="F562" s="203" t="s">
        <v>207</v>
      </c>
      <c r="G562" s="204"/>
      <c r="H562" s="481" t="s">
        <v>122</v>
      </c>
      <c r="I562" s="168">
        <f ca="1">IFERROR(__xludf.DUMMYFUNCTION("IMPORTRANGE(""https://docs.google.com/spreadsheets/d/1IYY_tgx_IHuhSq3AJ5eI5OnqOPBNLWSHKh2a30DoXe8/edit?usp=sharing"",""สุราษฎร์ธานี!I457"")"),0)</f>
        <v>0</v>
      </c>
      <c r="J562" s="211" t="str">
        <f ca="1">IFERROR(__xludf.DUMMYFUNCTION("IMPORTRANGE(""https://docs.google.com/spreadsheets/d/1IYY_tgx_IHuhSq3AJ5eI5OnqOPBNLWSHKh2a30DoXe8/edit?usp=sharing"",""สุราษฎร์ธานี!J457"")"),"")</f>
        <v/>
      </c>
      <c r="K562" s="169">
        <f t="shared" ca="1" si="121"/>
        <v>0</v>
      </c>
      <c r="L562" s="189"/>
      <c r="M562" s="189"/>
      <c r="N562" s="189"/>
      <c r="O562" s="189"/>
      <c r="P562" s="189"/>
    </row>
    <row r="563" spans="1:16" ht="21.75" customHeight="1" x14ac:dyDescent="0.35">
      <c r="A563" s="183"/>
      <c r="B563" s="184"/>
      <c r="C563" s="184"/>
      <c r="D563" s="201"/>
      <c r="E563" s="203"/>
      <c r="F563" s="203"/>
      <c r="G563" s="204"/>
      <c r="H563" s="481" t="s">
        <v>36</v>
      </c>
      <c r="I563" s="168">
        <f ca="1">IFERROR(__xludf.DUMMYFUNCTION("IMPORTRANGE(""https://docs.google.com/spreadsheets/d/1IYY_tgx_IHuhSq3AJ5eI5OnqOPBNLWSHKh2a30DoXe8/edit?usp=sharing"",""สุราษฎร์ธานี!I458"")"),0)</f>
        <v>0</v>
      </c>
      <c r="J563" s="195" t="str">
        <f ca="1">IFERROR(__xludf.DUMMYFUNCTION("IMPORTRANGE(""https://docs.google.com/spreadsheets/d/1IYY_tgx_IHuhSq3AJ5eI5OnqOPBNLWSHKh2a30DoXe8/edit?usp=sharing"",""สุราษฎร์ธานี!J458"")"),"")</f>
        <v/>
      </c>
      <c r="K563" s="169">
        <f t="shared" ca="1" si="121"/>
        <v>0</v>
      </c>
      <c r="L563" s="189"/>
      <c r="M563" s="189"/>
      <c r="N563" s="189"/>
      <c r="O563" s="189"/>
      <c r="P563" s="189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IFERROR(__xludf.DUMMYFUNCTION("IMPORTRANGE(""https://docs.google.com/spreadsheets/d/1IYY_tgx_IHuhSq3AJ5eI5OnqOPBNLWSHKh2a30DoXe8/edit?usp=sharing"",""สุราษฎร์ธานี!I459"")"),3100)</f>
        <v>3100</v>
      </c>
      <c r="J564" s="377">
        <f ca="1">IFERROR(__xludf.DUMMYFUNCTION("IMPORTRANGE(""https://docs.google.com/spreadsheets/d/1IYY_tgx_IHuhSq3AJ5eI5OnqOPBNLWSHKh2a30DoXe8/edit?usp=sharing"",""สุราษฎร์ธานี!J459"")"),3394)</f>
        <v>3394</v>
      </c>
      <c r="K564" s="378">
        <f t="shared" ca="1" si="121"/>
        <v>109.48387096774194</v>
      </c>
      <c r="L564" s="379">
        <f ca="1">IFERROR(__xludf.DUMMYFUNCTION("IMPORTRANGE(""https://docs.google.com/spreadsheets/d/1IYY_tgx_IHuhSq3AJ5eI5OnqOPBNLWSHKh2a30DoXe8/edit?usp=sharing"",""สุราษฎร์ธานี!L459"")"),167200)</f>
        <v>167200</v>
      </c>
      <c r="M564" s="379"/>
      <c r="N564" s="379">
        <f ca="1">IFERROR(__xludf.DUMMYFUNCTION("IMPORTRANGE(""https://docs.google.com/spreadsheets/d/1IYY_tgx_IHuhSq3AJ5eI5OnqOPBNLWSHKh2a30DoXe8/edit?usp=sharing"",""สุราษฎร์ธานี!M459"")"),33000)</f>
        <v>33000</v>
      </c>
      <c r="O564" s="379">
        <f t="shared" ref="O564:O568" ca="1" si="122">+IF(L564&gt;0,N564*100/L564,0)</f>
        <v>19.736842105263158</v>
      </c>
      <c r="P564" s="379"/>
    </row>
    <row r="565" spans="1:16" ht="21.75" customHeight="1" x14ac:dyDescent="0.35">
      <c r="A565" s="162"/>
      <c r="B565" s="163"/>
      <c r="C565" s="163" t="s">
        <v>16</v>
      </c>
      <c r="D565" s="164" t="s">
        <v>38</v>
      </c>
      <c r="E565" s="165"/>
      <c r="F565" s="165"/>
      <c r="G565" s="166" t="s">
        <v>39</v>
      </c>
      <c r="H565" s="167" t="s">
        <v>12</v>
      </c>
      <c r="I565" s="168" t="s">
        <v>40</v>
      </c>
      <c r="J565" s="168"/>
      <c r="K565" s="169"/>
      <c r="L565" s="170">
        <f ca="1">IFERROR(__xludf.DUMMYFUNCTION("IMPORTRANGE(""https://docs.google.com/spreadsheets/d/1IYY_tgx_IHuhSq3AJ5eI5OnqOPBNLWSHKh2a30DoXe8/edit?usp=sharing"",""สุราษฎร์ธานี!L460"")"),0)</f>
        <v>0</v>
      </c>
      <c r="M565" s="170"/>
      <c r="N565" s="176">
        <f ca="1">IFERROR(__xludf.DUMMYFUNCTION("IMPORTRANGE(""https://docs.google.com/spreadsheets/d/1IYY_tgx_IHuhSq3AJ5eI5OnqOPBNLWSHKh2a30DoXe8/edit?usp=sharing"",""สุราษฎร์ธานี!M460"")"),0)</f>
        <v>0</v>
      </c>
      <c r="O565" s="176">
        <f t="shared" ca="1" si="122"/>
        <v>0</v>
      </c>
      <c r="P565" s="176"/>
    </row>
    <row r="566" spans="1:16" ht="21.75" customHeight="1" x14ac:dyDescent="0.35">
      <c r="A566" s="162"/>
      <c r="B566" s="163"/>
      <c r="C566" s="163"/>
      <c r="D566" s="172"/>
      <c r="E566" s="165"/>
      <c r="F566" s="165" t="s">
        <v>40</v>
      </c>
      <c r="G566" s="166" t="s">
        <v>41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IFERROR(__xludf.DUMMYFUNCTION("IMPORTRANGE(""https://docs.google.com/spreadsheets/d/1IYY_tgx_IHuhSq3AJ5eI5OnqOPBNLWSHKh2a30DoXe8/edit?usp=sharing"",""สุราษฎร์ธานี!L461"")"),167200)</f>
        <v>167200</v>
      </c>
      <c r="M566" s="171"/>
      <c r="N566" s="176">
        <f ca="1">IFERROR(__xludf.DUMMYFUNCTION("IMPORTRANGE(""https://docs.google.com/spreadsheets/d/1IYY_tgx_IHuhSq3AJ5eI5OnqOPBNLWSHKh2a30DoXe8/edit?usp=sharing"",""สุราษฎร์ธานี!M461"")"),33000)</f>
        <v>33000</v>
      </c>
      <c r="O566" s="176">
        <f t="shared" ca="1" si="122"/>
        <v>19.736842105263158</v>
      </c>
      <c r="P566" s="176"/>
    </row>
    <row r="567" spans="1:16" ht="21.75" customHeight="1" x14ac:dyDescent="0.35">
      <c r="A567" s="162"/>
      <c r="B567" s="163"/>
      <c r="C567" s="163"/>
      <c r="D567" s="172"/>
      <c r="E567" s="165"/>
      <c r="F567" s="165"/>
      <c r="G567" s="380" t="s">
        <v>129</v>
      </c>
      <c r="H567" s="167" t="s">
        <v>12</v>
      </c>
      <c r="I567" s="168"/>
      <c r="J567" s="168"/>
      <c r="K567" s="169"/>
      <c r="L567" s="176">
        <f ca="1">IFERROR(__xludf.DUMMYFUNCTION("IMPORTRANGE(""https://docs.google.com/spreadsheets/d/1IYY_tgx_IHuhSq3AJ5eI5OnqOPBNLWSHKh2a30DoXe8/edit?usp=sharing"",""สุราษฎร์ธานี!L462"")"),0)</f>
        <v>0</v>
      </c>
      <c r="M567" s="176"/>
      <c r="N567" s="176">
        <f ca="1">IFERROR(__xludf.DUMMYFUNCTION("IMPORTRANGE(""https://docs.google.com/spreadsheets/d/1IYY_tgx_IHuhSq3AJ5eI5OnqOPBNLWSHKh2a30DoXe8/edit?usp=sharing"",""สุราษฎร์ธานี!M462"")"),0)</f>
        <v>0</v>
      </c>
      <c r="O567" s="176">
        <f t="shared" ca="1" si="122"/>
        <v>0</v>
      </c>
      <c r="P567" s="176"/>
    </row>
    <row r="568" spans="1:16" ht="21.75" customHeight="1" x14ac:dyDescent="0.35">
      <c r="A568" s="162"/>
      <c r="B568" s="163"/>
      <c r="C568" s="163"/>
      <c r="D568" s="172"/>
      <c r="E568" s="165"/>
      <c r="F568" s="165"/>
      <c r="G568" s="380" t="s">
        <v>130</v>
      </c>
      <c r="H568" s="167" t="s">
        <v>12</v>
      </c>
      <c r="I568" s="168"/>
      <c r="J568" s="168"/>
      <c r="K568" s="169"/>
      <c r="L568" s="176">
        <f ca="1">IFERROR(__xludf.DUMMYFUNCTION("IMPORTRANGE(""https://docs.google.com/spreadsheets/d/1IYY_tgx_IHuhSq3AJ5eI5OnqOPBNLWSHKh2a30DoXe8/edit?usp=sharing"",""สุราษฎร์ธานี!L463"")"),167200)</f>
        <v>167200</v>
      </c>
      <c r="M568" s="176"/>
      <c r="N568" s="176">
        <f ca="1">IFERROR(__xludf.DUMMYFUNCTION("IMPORTRANGE(""https://docs.google.com/spreadsheets/d/1IYY_tgx_IHuhSq3AJ5eI5OnqOPBNLWSHKh2a30DoXe8/edit?usp=sharing"",""สุราษฎร์ธานี!M463"")"),33000)</f>
        <v>33000</v>
      </c>
      <c r="O568" s="176">
        <f t="shared" ca="1" si="122"/>
        <v>19.736842105263158</v>
      </c>
      <c r="P568" s="176"/>
    </row>
    <row r="569" spans="1:16" ht="21.75" customHeight="1" x14ac:dyDescent="0.35">
      <c r="A569" s="381"/>
      <c r="B569" s="382"/>
      <c r="C569" s="163"/>
      <c r="D569" s="383"/>
      <c r="E569" s="165"/>
      <c r="F569" s="165"/>
      <c r="G569" s="384" t="s">
        <v>131</v>
      </c>
      <c r="H569" s="167" t="s">
        <v>12</v>
      </c>
      <c r="I569" s="195"/>
      <c r="J569" s="195"/>
      <c r="K569" s="231"/>
      <c r="L569" s="176"/>
      <c r="M569" s="176"/>
      <c r="N569" s="173">
        <f ca="1">IFERROR(__xludf.DUMMYFUNCTION("IMPORTRANGE(""https://docs.google.com/spreadsheets/d/1IYY_tgx_IHuhSq3AJ5eI5OnqOPBNLWSHKh2a30DoXe8/edit?usp=sharing"",""สุราษฎร์ธานี!M464"")"),0)</f>
        <v>0</v>
      </c>
      <c r="O569" s="176"/>
      <c r="P569" s="176"/>
    </row>
    <row r="570" spans="1:16" ht="21.75" customHeight="1" x14ac:dyDescent="0.35">
      <c r="A570" s="381"/>
      <c r="B570" s="382"/>
      <c r="C570" s="163"/>
      <c r="D570" s="383"/>
      <c r="E570" s="165"/>
      <c r="F570" s="165"/>
      <c r="G570" s="384" t="s">
        <v>132</v>
      </c>
      <c r="H570" s="167" t="s">
        <v>12</v>
      </c>
      <c r="I570" s="195"/>
      <c r="J570" s="195"/>
      <c r="K570" s="231"/>
      <c r="L570" s="176"/>
      <c r="M570" s="176"/>
      <c r="N570" s="173">
        <f ca="1">IFERROR(__xludf.DUMMYFUNCTION("IMPORTRANGE(""https://docs.google.com/spreadsheets/d/1IYY_tgx_IHuhSq3AJ5eI5OnqOPBNLWSHKh2a30DoXe8/edit?usp=sharing"",""สุราษฎร์ธานี!M465"")"),0)</f>
        <v>0</v>
      </c>
      <c r="O570" s="176"/>
      <c r="P570" s="176"/>
    </row>
    <row r="571" spans="1:16" ht="21.75" customHeight="1" x14ac:dyDescent="0.35">
      <c r="A571" s="381"/>
      <c r="B571" s="382"/>
      <c r="C571" s="163"/>
      <c r="D571" s="383"/>
      <c r="E571" s="165"/>
      <c r="F571" s="165"/>
      <c r="G571" s="384" t="s">
        <v>133</v>
      </c>
      <c r="H571" s="167" t="s">
        <v>12</v>
      </c>
      <c r="I571" s="195"/>
      <c r="J571" s="195"/>
      <c r="K571" s="231"/>
      <c r="L571" s="176"/>
      <c r="M571" s="176"/>
      <c r="N571" s="385">
        <f ca="1">IFERROR(__xludf.DUMMYFUNCTION("IMPORTRANGE(""https://docs.google.com/spreadsheets/d/1IYY_tgx_IHuhSq3AJ5eI5OnqOPBNLWSHKh2a30DoXe8/edit?usp=sharing"",""สุราษฎร์ธานี!M466"")"),33000)</f>
        <v>33000</v>
      </c>
      <c r="O571" s="176"/>
      <c r="P571" s="176"/>
    </row>
    <row r="572" spans="1:16" ht="21.75" customHeight="1" x14ac:dyDescent="0.35">
      <c r="A572" s="381"/>
      <c r="B572" s="382"/>
      <c r="C572" s="163"/>
      <c r="D572" s="383"/>
      <c r="E572" s="165"/>
      <c r="F572" s="165"/>
      <c r="G572" s="384" t="s">
        <v>134</v>
      </c>
      <c r="H572" s="167" t="s">
        <v>12</v>
      </c>
      <c r="I572" s="195"/>
      <c r="J572" s="195"/>
      <c r="K572" s="231"/>
      <c r="L572" s="176"/>
      <c r="M572" s="176"/>
      <c r="N572" s="385">
        <f ca="1">IFERROR(__xludf.DUMMYFUNCTION("IMPORTRANGE(""https://docs.google.com/spreadsheets/d/1IYY_tgx_IHuhSq3AJ5eI5OnqOPBNLWSHKh2a30DoXe8/edit?usp=sharing"",""สุราษฎร์ธานี!M467"")"),0)</f>
        <v>0</v>
      </c>
      <c r="O572" s="176"/>
      <c r="P572" s="176"/>
    </row>
    <row r="573" spans="1:16" ht="21.75" customHeight="1" x14ac:dyDescent="0.35">
      <c r="A573" s="183"/>
      <c r="B573" s="184"/>
      <c r="C573" s="184"/>
      <c r="D573" s="203"/>
      <c r="E573" s="202" t="s">
        <v>40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IFERROR(__xludf.DUMMYFUNCTION("IMPORTRANGE(""https://docs.google.com/spreadsheets/d/1IYY_tgx_IHuhSq3AJ5eI5OnqOPBNLWSHKh2a30DoXe8/edit?usp=sharing"",""สุราษฎร์ธานี!I468"")"),3100)</f>
        <v>3100</v>
      </c>
      <c r="J573" s="426">
        <f ca="1">IFERROR(__xludf.DUMMYFUNCTION("IMPORTRANGE(""https://docs.google.com/spreadsheets/d/1IYY_tgx_IHuhSq3AJ5eI5OnqOPBNLWSHKh2a30DoXe8/edit?usp=sharing"",""สุราษฎร์ธานี!J468"")"),3394)</f>
        <v>3394</v>
      </c>
      <c r="K573" s="209">
        <f ca="1">IF(I573&gt;0,J573*100/I573,0)</f>
        <v>109.48387096774194</v>
      </c>
      <c r="L573" s="189"/>
      <c r="M573" s="189"/>
      <c r="N573" s="189"/>
      <c r="O573" s="189"/>
      <c r="P573" s="189"/>
    </row>
    <row r="574" spans="1:16" ht="21.75" customHeight="1" x14ac:dyDescent="0.35">
      <c r="A574" s="183"/>
      <c r="B574" s="184"/>
      <c r="C574" s="184"/>
      <c r="D574" s="203"/>
      <c r="E574" s="203"/>
      <c r="F574" s="202" t="s">
        <v>210</v>
      </c>
      <c r="G574" s="204"/>
      <c r="H574" s="481"/>
      <c r="I574" s="168"/>
      <c r="J574" s="168"/>
      <c r="K574" s="169"/>
      <c r="L574" s="189"/>
      <c r="M574" s="189"/>
      <c r="N574" s="189"/>
      <c r="O574" s="189"/>
      <c r="P574" s="189"/>
    </row>
    <row r="575" spans="1:16" ht="21.75" customHeight="1" x14ac:dyDescent="0.35">
      <c r="A575" s="183"/>
      <c r="B575" s="184"/>
      <c r="C575" s="184"/>
      <c r="D575" s="203"/>
      <c r="E575" s="202" t="s">
        <v>40</v>
      </c>
      <c r="F575" s="202" t="s">
        <v>211</v>
      </c>
      <c r="G575" s="204"/>
      <c r="H575" s="481" t="s">
        <v>77</v>
      </c>
      <c r="I575" s="210">
        <f ca="1">IFERROR(__xludf.DUMMYFUNCTION("IMPORTRANGE(""https://docs.google.com/spreadsheets/d/1IYY_tgx_IHuhSq3AJ5eI5OnqOPBNLWSHKh2a30DoXe8/edit?usp=sharing"",""สุราษฎร์ธานี!I470"")"),0)</f>
        <v>0</v>
      </c>
      <c r="J575" s="205">
        <f ca="1">IFERROR(__xludf.DUMMYFUNCTION("IMPORTRANGE(""https://docs.google.com/spreadsheets/d/1IYY_tgx_IHuhSq3AJ5eI5OnqOPBNLWSHKh2a30DoXe8/edit?usp=sharing"",""สุราษฎร์ธานี!J470"")"),0)</f>
        <v>0</v>
      </c>
      <c r="K575" s="169">
        <f t="shared" ref="K575:K579" ca="1" si="123">IF(I575&gt;0,J575*100/I575,0)</f>
        <v>0</v>
      </c>
      <c r="L575" s="189"/>
      <c r="M575" s="189"/>
      <c r="N575" s="189"/>
      <c r="O575" s="189"/>
      <c r="P575" s="189"/>
    </row>
    <row r="576" spans="1:16" ht="21.75" customHeight="1" x14ac:dyDescent="0.35">
      <c r="A576" s="183"/>
      <c r="B576" s="184"/>
      <c r="C576" s="184"/>
      <c r="D576" s="203"/>
      <c r="E576" s="203"/>
      <c r="F576" s="202" t="s">
        <v>212</v>
      </c>
      <c r="G576" s="204"/>
      <c r="H576" s="481" t="s">
        <v>37</v>
      </c>
      <c r="I576" s="210">
        <f ca="1">IFERROR(__xludf.DUMMYFUNCTION("IMPORTRANGE(""https://docs.google.com/spreadsheets/d/1IYY_tgx_IHuhSq3AJ5eI5OnqOPBNLWSHKh2a30DoXe8/edit?usp=sharing"",""สุราษฎร์ธานี!I471"")"),0)</f>
        <v>0</v>
      </c>
      <c r="J576" s="205">
        <f ca="1">IFERROR(__xludf.DUMMYFUNCTION("IMPORTRANGE(""https://docs.google.com/spreadsheets/d/1IYY_tgx_IHuhSq3AJ5eI5OnqOPBNLWSHKh2a30DoXe8/edit?usp=sharing"",""สุราษฎร์ธานี!J471"")"),0)</f>
        <v>0</v>
      </c>
      <c r="K576" s="169">
        <f t="shared" ca="1" si="123"/>
        <v>0</v>
      </c>
      <c r="L576" s="189"/>
      <c r="M576" s="189"/>
      <c r="N576" s="189"/>
      <c r="O576" s="189"/>
      <c r="P576" s="189"/>
    </row>
    <row r="577" spans="1:16" ht="21.75" customHeight="1" x14ac:dyDescent="0.35">
      <c r="A577" s="183"/>
      <c r="B577" s="184"/>
      <c r="C577" s="184"/>
      <c r="D577" s="203"/>
      <c r="E577" s="203"/>
      <c r="F577" s="202" t="s">
        <v>213</v>
      </c>
      <c r="G577" s="204"/>
      <c r="H577" s="481" t="s">
        <v>37</v>
      </c>
      <c r="I577" s="210">
        <f ca="1">IFERROR(__xludf.DUMMYFUNCTION("IMPORTRANGE(""https://docs.google.com/spreadsheets/d/1IYY_tgx_IHuhSq3AJ5eI5OnqOPBNLWSHKh2a30DoXe8/edit?usp=sharing"",""สุราษฎร์ธานี!I472"")"),0)</f>
        <v>0</v>
      </c>
      <c r="J577" s="196">
        <f ca="1">IFERROR(__xludf.DUMMYFUNCTION("IMPORTRANGE(""https://docs.google.com/spreadsheets/d/1IYY_tgx_IHuhSq3AJ5eI5OnqOPBNLWSHKh2a30DoXe8/edit?usp=sharing"",""สุราษฎร์ธานี!J472"")"),3393)</f>
        <v>3393</v>
      </c>
      <c r="K577" s="169">
        <f t="shared" ca="1" si="123"/>
        <v>0</v>
      </c>
      <c r="L577" s="189"/>
      <c r="M577" s="189"/>
      <c r="N577" s="189"/>
      <c r="O577" s="189"/>
      <c r="P577" s="189"/>
    </row>
    <row r="578" spans="1:16" ht="21.75" customHeight="1" x14ac:dyDescent="0.35">
      <c r="A578" s="183"/>
      <c r="B578" s="184"/>
      <c r="C578" s="184"/>
      <c r="D578" s="203"/>
      <c r="E578" s="203"/>
      <c r="F578" s="202" t="s">
        <v>214</v>
      </c>
      <c r="G578" s="427"/>
      <c r="H578" s="481" t="s">
        <v>37</v>
      </c>
      <c r="I578" s="210">
        <f ca="1">IFERROR(__xludf.DUMMYFUNCTION("IMPORTRANGE(""https://docs.google.com/spreadsheets/d/1IYY_tgx_IHuhSq3AJ5eI5OnqOPBNLWSHKh2a30DoXe8/edit?usp=sharing"",""สุราษฎร์ธานี!I473"")"),0)</f>
        <v>0</v>
      </c>
      <c r="J578" s="205">
        <f ca="1">IFERROR(__xludf.DUMMYFUNCTION("IMPORTRANGE(""https://docs.google.com/spreadsheets/d/1IYY_tgx_IHuhSq3AJ5eI5OnqOPBNLWSHKh2a30DoXe8/edit?usp=sharing"",""สุราษฎร์ธานี!J473"")"),1)</f>
        <v>1</v>
      </c>
      <c r="K578" s="169">
        <f t="shared" ca="1" si="123"/>
        <v>0</v>
      </c>
      <c r="L578" s="189"/>
      <c r="M578" s="189"/>
      <c r="N578" s="189"/>
      <c r="O578" s="189"/>
      <c r="P578" s="189"/>
    </row>
    <row r="579" spans="1:16" ht="21.75" customHeight="1" x14ac:dyDescent="0.35">
      <c r="A579" s="183"/>
      <c r="B579" s="184"/>
      <c r="C579" s="184"/>
      <c r="D579" s="203"/>
      <c r="E579" s="203"/>
      <c r="F579" s="202" t="s">
        <v>215</v>
      </c>
      <c r="G579" s="427"/>
      <c r="H579" s="481" t="s">
        <v>37</v>
      </c>
      <c r="I579" s="210">
        <f ca="1">IFERROR(__xludf.DUMMYFUNCTION("IMPORTRANGE(""https://docs.google.com/spreadsheets/d/1IYY_tgx_IHuhSq3AJ5eI5OnqOPBNLWSHKh2a30DoXe8/edit?usp=sharing"",""สุราษฎร์ธานี!I474"")"),0)</f>
        <v>0</v>
      </c>
      <c r="J579" s="205">
        <f ca="1">IFERROR(__xludf.DUMMYFUNCTION("IMPORTRANGE(""https://docs.google.com/spreadsheets/d/1IYY_tgx_IHuhSq3AJ5eI5OnqOPBNLWSHKh2a30DoXe8/edit?usp=sharing"",""สุราษฎร์ธานี!J474"")"),0)</f>
        <v>0</v>
      </c>
      <c r="K579" s="169">
        <f t="shared" ca="1" si="123"/>
        <v>0</v>
      </c>
      <c r="L579" s="189"/>
      <c r="M579" s="189"/>
      <c r="N579" s="189"/>
      <c r="O579" s="189"/>
      <c r="P579" s="189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IFERROR(__xludf.DUMMYFUNCTION("IMPORTRANGE(""https://docs.google.com/spreadsheets/d/1IYY_tgx_IHuhSq3AJ5eI5OnqOPBNLWSHKh2a30DoXe8/edit?usp=sharing"",""สุราษฎร์ธานี!I475"")"),0)</f>
        <v>0</v>
      </c>
      <c r="J580" s="377">
        <f ca="1">IFERROR(__xludf.DUMMYFUNCTION("IMPORTRANGE(""https://docs.google.com/spreadsheets/d/1IYY_tgx_IHuhSq3AJ5eI5OnqOPBNLWSHKh2a30DoXe8/edit?usp=sharing"",""สุราษฎร์ธานี!J475"")"),0)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IFERROR(__xludf.DUMMYFUNCTION("IMPORTRANGE(""https://docs.google.com/spreadsheets/d/1IYY_tgx_IHuhSq3AJ5eI5OnqOPBNLWSHKh2a30DoXe8/edit?usp=sharing"",""สุราษฎร์ธานี!L475"")"),0)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IFERROR(__xludf.DUMMYFUNCTION("IMPORTRANGE(""https://docs.google.com/spreadsheets/d/1IYY_tgx_IHuhSq3AJ5eI5OnqOPBNLWSHKh2a30DoXe8/edit?usp=sharing"",""สุราษฎร์ธานี!M475"")"),0)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164" t="s">
        <v>38</v>
      </c>
      <c r="E581" s="165"/>
      <c r="F581" s="165"/>
      <c r="G581" s="166" t="s">
        <v>39</v>
      </c>
      <c r="H581" s="167" t="s">
        <v>12</v>
      </c>
      <c r="I581" s="168" t="s">
        <v>40</v>
      </c>
      <c r="J581" s="168"/>
      <c r="K581" s="169"/>
      <c r="L581" s="170">
        <f ca="1">IFERROR(__xludf.DUMMYFUNCTION("IMPORTRANGE(""https://docs.google.com/spreadsheets/d/1IYY_tgx_IHuhSq3AJ5eI5OnqOPBNLWSHKh2a30DoXe8/edit?usp=sharing"",""สุราษฎร์ธานี!L476"")"),0)</f>
        <v>0</v>
      </c>
      <c r="M581" s="170"/>
      <c r="N581" s="176">
        <f ca="1">IFERROR(__xludf.DUMMYFUNCTION("IMPORTRANGE(""https://docs.google.com/spreadsheets/d/1IYY_tgx_IHuhSq3AJ5eI5OnqOPBNLWSHKh2a30DoXe8/edit?usp=sharing"",""สุราษฎร์ธานี!M476"")"),0)</f>
        <v>0</v>
      </c>
      <c r="O581" s="176">
        <f t="shared" ca="1" si="124"/>
        <v>0</v>
      </c>
      <c r="P581" s="176"/>
    </row>
    <row r="582" spans="1:16" ht="21.75" customHeight="1" x14ac:dyDescent="0.35">
      <c r="A582" s="162"/>
      <c r="B582" s="163"/>
      <c r="C582" s="163"/>
      <c r="D582" s="172"/>
      <c r="E582" s="165"/>
      <c r="F582" s="165" t="s">
        <v>40</v>
      </c>
      <c r="G582" s="166" t="s">
        <v>41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IFERROR(__xludf.DUMMYFUNCTION("IMPORTRANGE(""https://docs.google.com/spreadsheets/d/1IYY_tgx_IHuhSq3AJ5eI5OnqOPBNLWSHKh2a30DoXe8/edit?usp=sharing"",""สุราษฎร์ธานี!L477"")"),0)</f>
        <v>0</v>
      </c>
      <c r="M582" s="171"/>
      <c r="N582" s="176">
        <f ca="1">IFERROR(__xludf.DUMMYFUNCTION("IMPORTRANGE(""https://docs.google.com/spreadsheets/d/1IYY_tgx_IHuhSq3AJ5eI5OnqOPBNLWSHKh2a30DoXe8/edit?usp=sharing"",""สุราษฎร์ธานี!M477"")"),0)</f>
        <v>0</v>
      </c>
      <c r="O582" s="176">
        <f t="shared" ca="1" si="124"/>
        <v>0</v>
      </c>
      <c r="P582" s="176"/>
    </row>
    <row r="583" spans="1:16" ht="21.75" customHeight="1" x14ac:dyDescent="0.35">
      <c r="A583" s="162"/>
      <c r="B583" s="163"/>
      <c r="C583" s="163"/>
      <c r="D583" s="172"/>
      <c r="E583" s="165"/>
      <c r="F583" s="165"/>
      <c r="G583" s="380" t="s">
        <v>129</v>
      </c>
      <c r="H583" s="167" t="s">
        <v>12</v>
      </c>
      <c r="I583" s="168"/>
      <c r="J583" s="168"/>
      <c r="K583" s="169"/>
      <c r="L583" s="176">
        <f ca="1">IFERROR(__xludf.DUMMYFUNCTION("IMPORTRANGE(""https://docs.google.com/spreadsheets/d/1IYY_tgx_IHuhSq3AJ5eI5OnqOPBNLWSHKh2a30DoXe8/edit?usp=sharing"",""สุราษฎร์ธานี!L478"")"),0)</f>
        <v>0</v>
      </c>
      <c r="M583" s="176"/>
      <c r="N583" s="176">
        <f ca="1">IFERROR(__xludf.DUMMYFUNCTION("IMPORTRANGE(""https://docs.google.com/spreadsheets/d/1IYY_tgx_IHuhSq3AJ5eI5OnqOPBNLWSHKh2a30DoXe8/edit?usp=sharing"",""สุราษฎร์ธานี!M478"")"),0)</f>
        <v>0</v>
      </c>
      <c r="O583" s="176">
        <f t="shared" ca="1" si="124"/>
        <v>0</v>
      </c>
      <c r="P583" s="176"/>
    </row>
    <row r="584" spans="1:16" ht="21.75" customHeight="1" x14ac:dyDescent="0.35">
      <c r="A584" s="162"/>
      <c r="B584" s="163"/>
      <c r="C584" s="163"/>
      <c r="D584" s="172"/>
      <c r="E584" s="165"/>
      <c r="F584" s="165"/>
      <c r="G584" s="380" t="s">
        <v>130</v>
      </c>
      <c r="H584" s="167" t="s">
        <v>12</v>
      </c>
      <c r="I584" s="168"/>
      <c r="J584" s="168"/>
      <c r="K584" s="169"/>
      <c r="L584" s="176">
        <f ca="1">IFERROR(__xludf.DUMMYFUNCTION("IMPORTRANGE(""https://docs.google.com/spreadsheets/d/1IYY_tgx_IHuhSq3AJ5eI5OnqOPBNLWSHKh2a30DoXe8/edit?usp=sharing"",""สุราษฎร์ธานี!L479"")"),0)</f>
        <v>0</v>
      </c>
      <c r="M584" s="176"/>
      <c r="N584" s="176">
        <f ca="1">IFERROR(__xludf.DUMMYFUNCTION("IMPORTRANGE(""https://docs.google.com/spreadsheets/d/1IYY_tgx_IHuhSq3AJ5eI5OnqOPBNLWSHKh2a30DoXe8/edit?usp=sharing"",""สุราษฎร์ธานี!M479"")"),0)</f>
        <v>0</v>
      </c>
      <c r="O584" s="176">
        <f t="shared" ca="1" si="124"/>
        <v>0</v>
      </c>
      <c r="P584" s="176"/>
    </row>
    <row r="585" spans="1:16" ht="21.75" customHeight="1" x14ac:dyDescent="0.35">
      <c r="A585" s="381"/>
      <c r="B585" s="382"/>
      <c r="C585" s="163"/>
      <c r="D585" s="383"/>
      <c r="E585" s="165"/>
      <c r="F585" s="165"/>
      <c r="G585" s="384" t="s">
        <v>131</v>
      </c>
      <c r="H585" s="167" t="s">
        <v>12</v>
      </c>
      <c r="I585" s="195"/>
      <c r="J585" s="195"/>
      <c r="K585" s="231"/>
      <c r="L585" s="176"/>
      <c r="M585" s="176"/>
      <c r="N585" s="173">
        <f ca="1">IFERROR(__xludf.DUMMYFUNCTION("IMPORTRANGE(""https://docs.google.com/spreadsheets/d/1IYY_tgx_IHuhSq3AJ5eI5OnqOPBNLWSHKh2a30DoXe8/edit?usp=sharing"",""สุราษฎร์ธานี!M480"")"),0)</f>
        <v>0</v>
      </c>
      <c r="O585" s="176"/>
      <c r="P585" s="176"/>
    </row>
    <row r="586" spans="1:16" ht="21.75" customHeight="1" x14ac:dyDescent="0.35">
      <c r="A586" s="381"/>
      <c r="B586" s="382"/>
      <c r="C586" s="163"/>
      <c r="D586" s="383"/>
      <c r="E586" s="165"/>
      <c r="F586" s="165"/>
      <c r="G586" s="384" t="s">
        <v>132</v>
      </c>
      <c r="H586" s="167" t="s">
        <v>12</v>
      </c>
      <c r="I586" s="195"/>
      <c r="J586" s="195"/>
      <c r="K586" s="231"/>
      <c r="L586" s="176"/>
      <c r="M586" s="176"/>
      <c r="N586" s="173">
        <f ca="1">IFERROR(__xludf.DUMMYFUNCTION("IMPORTRANGE(""https://docs.google.com/spreadsheets/d/1IYY_tgx_IHuhSq3AJ5eI5OnqOPBNLWSHKh2a30DoXe8/edit?usp=sharing"",""สุราษฎร์ธานี!M481"")"),0)</f>
        <v>0</v>
      </c>
      <c r="O586" s="176"/>
      <c r="P586" s="176"/>
    </row>
    <row r="587" spans="1:16" ht="21.75" customHeight="1" x14ac:dyDescent="0.35">
      <c r="A587" s="381"/>
      <c r="B587" s="382"/>
      <c r="C587" s="163"/>
      <c r="D587" s="383"/>
      <c r="E587" s="165"/>
      <c r="F587" s="165"/>
      <c r="G587" s="384" t="s">
        <v>133</v>
      </c>
      <c r="H587" s="167" t="s">
        <v>12</v>
      </c>
      <c r="I587" s="195"/>
      <c r="J587" s="195"/>
      <c r="K587" s="231"/>
      <c r="L587" s="176"/>
      <c r="M587" s="176"/>
      <c r="N587" s="173">
        <f ca="1">IFERROR(__xludf.DUMMYFUNCTION("IMPORTRANGE(""https://docs.google.com/spreadsheets/d/1IYY_tgx_IHuhSq3AJ5eI5OnqOPBNLWSHKh2a30DoXe8/edit?usp=sharing"",""สุราษฎร์ธานี!M482"")"),0)</f>
        <v>0</v>
      </c>
      <c r="O587" s="176"/>
      <c r="P587" s="176"/>
    </row>
    <row r="588" spans="1:16" ht="21.75" customHeight="1" x14ac:dyDescent="0.35">
      <c r="A588" s="381"/>
      <c r="B588" s="382"/>
      <c r="C588" s="163"/>
      <c r="D588" s="383"/>
      <c r="E588" s="165"/>
      <c r="F588" s="165"/>
      <c r="G588" s="384" t="s">
        <v>134</v>
      </c>
      <c r="H588" s="167" t="s">
        <v>12</v>
      </c>
      <c r="I588" s="195"/>
      <c r="J588" s="195"/>
      <c r="K588" s="231"/>
      <c r="L588" s="176"/>
      <c r="M588" s="176"/>
      <c r="N588" s="173">
        <f ca="1">IFERROR(__xludf.DUMMYFUNCTION("IMPORTRANGE(""https://docs.google.com/spreadsheets/d/1IYY_tgx_IHuhSq3AJ5eI5OnqOPBNLWSHKh2a30DoXe8/edit?usp=sharing"",""สุราษฎร์ธานี!M483"")"),0)</f>
        <v>0</v>
      </c>
      <c r="O588" s="176"/>
      <c r="P588" s="176"/>
    </row>
    <row r="589" spans="1:16" ht="21.75" customHeight="1" x14ac:dyDescent="0.35">
      <c r="A589" s="484"/>
      <c r="B589" s="172"/>
      <c r="C589" s="163"/>
      <c r="D589" s="297"/>
      <c r="E589" s="202" t="s">
        <v>217</v>
      </c>
      <c r="F589" s="203"/>
      <c r="G589" s="204"/>
      <c r="H589" s="188" t="s">
        <v>36</v>
      </c>
      <c r="I589" s="347">
        <f ca="1">IFERROR(__xludf.DUMMYFUNCTION("IMPORTRANGE(""https://docs.google.com/spreadsheets/d/1IYY_tgx_IHuhSq3AJ5eI5OnqOPBNLWSHKh2a30DoXe8/edit?usp=sharing"",""สุราษฎร์ธานี!I484"")"),0)</f>
        <v>0</v>
      </c>
      <c r="J589" s="195">
        <f ca="1">IFERROR(__xludf.DUMMYFUNCTION("IMPORTRANGE(""https://docs.google.com/spreadsheets/d/1IYY_tgx_IHuhSq3AJ5eI5OnqOPBNLWSHKh2a30DoXe8/edit?usp=sharing"",""สุราษฎร์ธานี!J484"")"),0)</f>
        <v>0</v>
      </c>
      <c r="K589" s="169">
        <f t="shared" ref="K589:K596" ca="1" si="125">IF(I589&gt;0,J589*100/I589,0)</f>
        <v>0</v>
      </c>
      <c r="L589" s="189"/>
      <c r="M589" s="189"/>
      <c r="N589" s="176"/>
      <c r="O589" s="189"/>
      <c r="P589" s="189"/>
    </row>
    <row r="590" spans="1:16" ht="21.75" customHeight="1" x14ac:dyDescent="0.35">
      <c r="A590" s="484"/>
      <c r="B590" s="172"/>
      <c r="C590" s="163"/>
      <c r="D590" s="297"/>
      <c r="E590" s="203"/>
      <c r="F590" s="203"/>
      <c r="G590" s="204"/>
      <c r="H590" s="188" t="s">
        <v>122</v>
      </c>
      <c r="I590" s="351">
        <f ca="1">IFERROR(__xludf.DUMMYFUNCTION("IMPORTRANGE(""https://docs.google.com/spreadsheets/d/1IYY_tgx_IHuhSq3AJ5eI5OnqOPBNLWSHKh2a30DoXe8/edit?usp=sharing"",""สุราษฎร์ธานี!I485"")"),0)</f>
        <v>0</v>
      </c>
      <c r="J590" s="195">
        <f ca="1">IFERROR(__xludf.DUMMYFUNCTION("IMPORTRANGE(""https://docs.google.com/spreadsheets/d/1IYY_tgx_IHuhSq3AJ5eI5OnqOPBNLWSHKh2a30DoXe8/edit?usp=sharing"",""สุราษฎร์ธานี!J485"")"),0)</f>
        <v>0</v>
      </c>
      <c r="K590" s="485">
        <f t="shared" ca="1" si="125"/>
        <v>0</v>
      </c>
      <c r="L590" s="189"/>
      <c r="M590" s="189"/>
      <c r="N590" s="176"/>
      <c r="O590" s="189"/>
      <c r="P590" s="189"/>
    </row>
    <row r="591" spans="1:16" ht="21.75" customHeight="1" x14ac:dyDescent="0.35">
      <c r="A591" s="484"/>
      <c r="B591" s="172"/>
      <c r="C591" s="163"/>
      <c r="D591" s="297"/>
      <c r="E591" s="202" t="s">
        <v>123</v>
      </c>
      <c r="F591" s="203"/>
      <c r="G591" s="204"/>
      <c r="H591" s="188" t="s">
        <v>37</v>
      </c>
      <c r="I591" s="347">
        <f ca="1">IFERROR(__xludf.DUMMYFUNCTION("IMPORTRANGE(""https://docs.google.com/spreadsheets/d/1IYY_tgx_IHuhSq3AJ5eI5OnqOPBNLWSHKh2a30DoXe8/edit?usp=sharing"",""สุราษฎร์ธานี!I486"")"),0)</f>
        <v>0</v>
      </c>
      <c r="J591" s="195">
        <f ca="1">IFERROR(__xludf.DUMMYFUNCTION("IMPORTRANGE(""https://docs.google.com/spreadsheets/d/1IYY_tgx_IHuhSq3AJ5eI5OnqOPBNLWSHKh2a30DoXe8/edit?usp=sharing"",""สุราษฎร์ธานี!J486"")"),0)</f>
        <v>0</v>
      </c>
      <c r="K591" s="169">
        <f t="shared" ca="1" si="125"/>
        <v>0</v>
      </c>
      <c r="L591" s="189"/>
      <c r="M591" s="189"/>
      <c r="N591" s="189"/>
      <c r="O591" s="189"/>
      <c r="P591" s="189"/>
    </row>
    <row r="592" spans="1:16" ht="21.75" customHeight="1" x14ac:dyDescent="0.35">
      <c r="A592" s="484"/>
      <c r="B592" s="172"/>
      <c r="C592" s="163"/>
      <c r="D592" s="297"/>
      <c r="E592" s="203"/>
      <c r="F592" s="203"/>
      <c r="G592" s="204"/>
      <c r="H592" s="188" t="s">
        <v>122</v>
      </c>
      <c r="I592" s="351">
        <f ca="1">IFERROR(__xludf.DUMMYFUNCTION("IMPORTRANGE(""https://docs.google.com/spreadsheets/d/1IYY_tgx_IHuhSq3AJ5eI5OnqOPBNLWSHKh2a30DoXe8/edit?usp=sharing"",""สุราษฎร์ธานี!I487"")"),0)</f>
        <v>0</v>
      </c>
      <c r="J592" s="195">
        <f ca="1">IFERROR(__xludf.DUMMYFUNCTION("IMPORTRANGE(""https://docs.google.com/spreadsheets/d/1IYY_tgx_IHuhSq3AJ5eI5OnqOPBNLWSHKh2a30DoXe8/edit?usp=sharing"",""สุราษฎร์ธานี!J487"")"),0)</f>
        <v>0</v>
      </c>
      <c r="K592" s="348">
        <f t="shared" ca="1" si="125"/>
        <v>0</v>
      </c>
      <c r="L592" s="189"/>
      <c r="M592" s="189"/>
      <c r="N592" s="189"/>
      <c r="O592" s="189"/>
      <c r="P592" s="189"/>
    </row>
    <row r="593" spans="1:16" ht="21.75" customHeight="1" x14ac:dyDescent="0.35">
      <c r="A593" s="484"/>
      <c r="B593" s="172"/>
      <c r="C593" s="163"/>
      <c r="D593" s="297"/>
      <c r="E593" s="202" t="s">
        <v>124</v>
      </c>
      <c r="F593" s="203"/>
      <c r="G593" s="204"/>
      <c r="H593" s="188" t="s">
        <v>37</v>
      </c>
      <c r="I593" s="347">
        <f ca="1">IFERROR(__xludf.DUMMYFUNCTION("IMPORTRANGE(""https://docs.google.com/spreadsheets/d/1IYY_tgx_IHuhSq3AJ5eI5OnqOPBNLWSHKh2a30DoXe8/edit?usp=sharing"",""สุราษฎร์ธานี!I488"")"),0)</f>
        <v>0</v>
      </c>
      <c r="J593" s="195">
        <f ca="1">IFERROR(__xludf.DUMMYFUNCTION("IMPORTRANGE(""https://docs.google.com/spreadsheets/d/1IYY_tgx_IHuhSq3AJ5eI5OnqOPBNLWSHKh2a30DoXe8/edit?usp=sharing"",""สุราษฎร์ธานี!J488"")"),0)</f>
        <v>0</v>
      </c>
      <c r="K593" s="169">
        <f t="shared" ca="1" si="125"/>
        <v>0</v>
      </c>
      <c r="L593" s="189"/>
      <c r="M593" s="189"/>
      <c r="N593" s="189"/>
      <c r="O593" s="189"/>
      <c r="P593" s="189"/>
    </row>
    <row r="594" spans="1:16" ht="21.75" customHeight="1" x14ac:dyDescent="0.35">
      <c r="A594" s="484"/>
      <c r="B594" s="172"/>
      <c r="C594" s="163"/>
      <c r="D594" s="297"/>
      <c r="E594" s="203"/>
      <c r="F594" s="203"/>
      <c r="G594" s="204"/>
      <c r="H594" s="188" t="s">
        <v>122</v>
      </c>
      <c r="I594" s="351">
        <f ca="1">IFERROR(__xludf.DUMMYFUNCTION("IMPORTRANGE(""https://docs.google.com/spreadsheets/d/1IYY_tgx_IHuhSq3AJ5eI5OnqOPBNLWSHKh2a30DoXe8/edit?usp=sharing"",""สุราษฎร์ธานี!I489"")"),0)</f>
        <v>0</v>
      </c>
      <c r="J594" s="195">
        <f ca="1">IFERROR(__xludf.DUMMYFUNCTION("IMPORTRANGE(""https://docs.google.com/spreadsheets/d/1IYY_tgx_IHuhSq3AJ5eI5OnqOPBNLWSHKh2a30DoXe8/edit?usp=sharing"",""สุราษฎร์ธานี!J489"")"),0)</f>
        <v>0</v>
      </c>
      <c r="K594" s="348">
        <f t="shared" ca="1" si="125"/>
        <v>0</v>
      </c>
      <c r="L594" s="189"/>
      <c r="M594" s="189"/>
      <c r="N594" s="189"/>
      <c r="O594" s="189"/>
      <c r="P594" s="189"/>
    </row>
    <row r="595" spans="1:16" ht="21.75" customHeight="1" x14ac:dyDescent="0.35">
      <c r="A595" s="484"/>
      <c r="B595" s="172"/>
      <c r="C595" s="163"/>
      <c r="D595" s="297"/>
      <c r="E595" s="202" t="s">
        <v>125</v>
      </c>
      <c r="F595" s="203"/>
      <c r="G595" s="204"/>
      <c r="H595" s="188" t="s">
        <v>37</v>
      </c>
      <c r="I595" s="347">
        <f ca="1">IFERROR(__xludf.DUMMYFUNCTION("IMPORTRANGE(""https://docs.google.com/spreadsheets/d/1IYY_tgx_IHuhSq3AJ5eI5OnqOPBNLWSHKh2a30DoXe8/edit?usp=sharing"",""สุราษฎร์ธานี!I490"")"),0)</f>
        <v>0</v>
      </c>
      <c r="J595" s="195">
        <f ca="1">IFERROR(__xludf.DUMMYFUNCTION("IMPORTRANGE(""https://docs.google.com/spreadsheets/d/1IYY_tgx_IHuhSq3AJ5eI5OnqOPBNLWSHKh2a30DoXe8/edit?usp=sharing"",""สุราษฎร์ธานี!J490"")"),0)</f>
        <v>0</v>
      </c>
      <c r="K595" s="169">
        <f t="shared" ca="1" si="125"/>
        <v>0</v>
      </c>
      <c r="L595" s="189"/>
      <c r="M595" s="189"/>
      <c r="N595" s="189"/>
      <c r="O595" s="189"/>
      <c r="P595" s="189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IFERROR(__xludf.DUMMYFUNCTION("IMPORTRANGE(""https://docs.google.com/spreadsheets/d/1IYY_tgx_IHuhSq3AJ5eI5OnqOPBNLWSHKh2a30DoXe8/edit?usp=sharing"",""สุราษฎร์ธานี!I491"")"),0)</f>
        <v>0</v>
      </c>
      <c r="J596" s="248">
        <f ca="1">IFERROR(__xludf.DUMMYFUNCTION("IMPORTRANGE(""https://docs.google.com/spreadsheets/d/1IYY_tgx_IHuhSq3AJ5eI5OnqOPBNLWSHKh2a30DoXe8/edit?usp=sharing"",""สุราษฎร์ธานี!J491"")"),0)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IFERROR(__xludf.DUMMYFUNCTION("IMPORTRANGE(""https://docs.google.com/spreadsheets/d/1IYY_tgx_IHuhSq3AJ5eI5OnqOPBNLWSHKh2a30DoXe8/edit?usp=sharing"",""สุราษฎร์ธานี!I492"")"),100)</f>
        <v>100</v>
      </c>
      <c r="J597" s="493">
        <f ca="1">IFERROR(__xludf.DUMMYFUNCTION("IMPORTRANGE(""https://docs.google.com/spreadsheets/d/1IYY_tgx_IHuhSq3AJ5eI5OnqOPBNLWSHKh2a30DoXe8/edit?usp=sharing"",""สุราษฎร์ธานี!J492"")"),0)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IFERROR(__xludf.DUMMYFUNCTION("IMPORTRANGE(""https://docs.google.com/spreadsheets/d/1IYY_tgx_IHuhSq3AJ5eI5OnqOPBNLWSHKh2a30DoXe8/edit?usp=sharing"",""สุราษฎร์ธานี!L492"")"),8100)</f>
        <v>8100</v>
      </c>
      <c r="M597" s="418"/>
      <c r="N597" s="418">
        <f ca="1">IFERROR(__xludf.DUMMYFUNCTION("IMPORTRANGE(""https://docs.google.com/spreadsheets/d/1IYY_tgx_IHuhSq3AJ5eI5OnqOPBNLWSHKh2a30DoXe8/edit?usp=sharing"",""สุราษฎร์ธานี!M492"")"),2600)</f>
        <v>2600</v>
      </c>
      <c r="O597" s="418">
        <f t="shared" ref="O597:O601" ca="1" si="126">+IF(L597&gt;0,N597*100/L597,0)</f>
        <v>32.098765432098766</v>
      </c>
      <c r="P597" s="418"/>
    </row>
    <row r="598" spans="1:16" ht="21.75" customHeight="1" x14ac:dyDescent="0.35">
      <c r="A598" s="162"/>
      <c r="B598" s="163"/>
      <c r="C598" s="163" t="s">
        <v>16</v>
      </c>
      <c r="D598" s="164" t="s">
        <v>38</v>
      </c>
      <c r="E598" s="165"/>
      <c r="F598" s="165"/>
      <c r="G598" s="166" t="s">
        <v>39</v>
      </c>
      <c r="H598" s="167" t="s">
        <v>12</v>
      </c>
      <c r="I598" s="168" t="s">
        <v>40</v>
      </c>
      <c r="J598" s="168"/>
      <c r="K598" s="169"/>
      <c r="L598" s="170">
        <f ca="1">IFERROR(__xludf.DUMMYFUNCTION("IMPORTRANGE(""https://docs.google.com/spreadsheets/d/1IYY_tgx_IHuhSq3AJ5eI5OnqOPBNLWSHKh2a30DoXe8/edit?usp=sharing"",""สุราษฎร์ธานี!L493"")"),0)</f>
        <v>0</v>
      </c>
      <c r="M598" s="170"/>
      <c r="N598" s="176">
        <f ca="1">IFERROR(__xludf.DUMMYFUNCTION("IMPORTRANGE(""https://docs.google.com/spreadsheets/d/1IYY_tgx_IHuhSq3AJ5eI5OnqOPBNLWSHKh2a30DoXe8/edit?usp=sharing"",""สุราษฎร์ธานี!M493"")"),0)</f>
        <v>0</v>
      </c>
      <c r="O598" s="176">
        <f t="shared" ca="1" si="126"/>
        <v>0</v>
      </c>
      <c r="P598" s="176"/>
    </row>
    <row r="599" spans="1:16" ht="21.75" customHeight="1" x14ac:dyDescent="0.35">
      <c r="A599" s="162"/>
      <c r="B599" s="163"/>
      <c r="C599" s="163"/>
      <c r="D599" s="172"/>
      <c r="E599" s="165"/>
      <c r="F599" s="165" t="s">
        <v>40</v>
      </c>
      <c r="G599" s="166" t="s">
        <v>41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IFERROR(__xludf.DUMMYFUNCTION("IMPORTRANGE(""https://docs.google.com/spreadsheets/d/1IYY_tgx_IHuhSq3AJ5eI5OnqOPBNLWSHKh2a30DoXe8/edit?usp=sharing"",""สุราษฎร์ธานี!L494"")"),8100)</f>
        <v>8100</v>
      </c>
      <c r="M599" s="171"/>
      <c r="N599" s="176">
        <f ca="1">IFERROR(__xludf.DUMMYFUNCTION("IMPORTRANGE(""https://docs.google.com/spreadsheets/d/1IYY_tgx_IHuhSq3AJ5eI5OnqOPBNLWSHKh2a30DoXe8/edit?usp=sharing"",""สุราษฎร์ธานี!M494"")"),2600)</f>
        <v>2600</v>
      </c>
      <c r="O599" s="176">
        <f t="shared" ca="1" si="126"/>
        <v>32.098765432098766</v>
      </c>
      <c r="P599" s="176"/>
    </row>
    <row r="600" spans="1:16" ht="21.75" customHeight="1" x14ac:dyDescent="0.35">
      <c r="A600" s="162"/>
      <c r="B600" s="163"/>
      <c r="C600" s="163"/>
      <c r="D600" s="172"/>
      <c r="E600" s="165"/>
      <c r="F600" s="165"/>
      <c r="G600" s="380" t="s">
        <v>129</v>
      </c>
      <c r="H600" s="167" t="s">
        <v>12</v>
      </c>
      <c r="I600" s="168"/>
      <c r="J600" s="168"/>
      <c r="K600" s="169"/>
      <c r="L600" s="176">
        <f ca="1">IFERROR(__xludf.DUMMYFUNCTION("IMPORTRANGE(""https://docs.google.com/spreadsheets/d/1IYY_tgx_IHuhSq3AJ5eI5OnqOPBNLWSHKh2a30DoXe8/edit?usp=sharing"",""สุราษฎร์ธานี!L495"")"),0)</f>
        <v>0</v>
      </c>
      <c r="M600" s="176"/>
      <c r="N600" s="176">
        <f ca="1">IFERROR(__xludf.DUMMYFUNCTION("IMPORTRANGE(""https://docs.google.com/spreadsheets/d/1IYY_tgx_IHuhSq3AJ5eI5OnqOPBNLWSHKh2a30DoXe8/edit?usp=sharing"",""สุราษฎร์ธานี!M495"")"),0)</f>
        <v>0</v>
      </c>
      <c r="O600" s="176">
        <f t="shared" ca="1" si="126"/>
        <v>0</v>
      </c>
      <c r="P600" s="176"/>
    </row>
    <row r="601" spans="1:16" ht="21.75" customHeight="1" x14ac:dyDescent="0.35">
      <c r="A601" s="162"/>
      <c r="B601" s="163"/>
      <c r="C601" s="163"/>
      <c r="D601" s="172"/>
      <c r="E601" s="165"/>
      <c r="F601" s="165"/>
      <c r="G601" s="380" t="s">
        <v>130</v>
      </c>
      <c r="H601" s="167" t="s">
        <v>12</v>
      </c>
      <c r="I601" s="168"/>
      <c r="J601" s="168"/>
      <c r="K601" s="169"/>
      <c r="L601" s="176">
        <f ca="1">IFERROR(__xludf.DUMMYFUNCTION("IMPORTRANGE(""https://docs.google.com/spreadsheets/d/1IYY_tgx_IHuhSq3AJ5eI5OnqOPBNLWSHKh2a30DoXe8/edit?usp=sharing"",""สุราษฎร์ธานี!L496"")"),8100)</f>
        <v>8100</v>
      </c>
      <c r="M601" s="176"/>
      <c r="N601" s="176">
        <f ca="1">IFERROR(__xludf.DUMMYFUNCTION("IMPORTRANGE(""https://docs.google.com/spreadsheets/d/1IYY_tgx_IHuhSq3AJ5eI5OnqOPBNLWSHKh2a30DoXe8/edit?usp=sharing"",""สุราษฎร์ธานี!M496"")"),2600)</f>
        <v>2600</v>
      </c>
      <c r="O601" s="176">
        <f t="shared" ca="1" si="126"/>
        <v>32.098765432098766</v>
      </c>
      <c r="P601" s="176"/>
    </row>
    <row r="602" spans="1:16" ht="21.75" customHeight="1" x14ac:dyDescent="0.35">
      <c r="A602" s="381"/>
      <c r="B602" s="382"/>
      <c r="C602" s="163"/>
      <c r="D602" s="383"/>
      <c r="E602" s="165"/>
      <c r="F602" s="165"/>
      <c r="G602" s="384" t="s">
        <v>131</v>
      </c>
      <c r="H602" s="167" t="s">
        <v>12</v>
      </c>
      <c r="I602" s="195"/>
      <c r="J602" s="195"/>
      <c r="K602" s="231"/>
      <c r="L602" s="176"/>
      <c r="M602" s="176"/>
      <c r="N602" s="173">
        <f ca="1">IFERROR(__xludf.DUMMYFUNCTION("IMPORTRANGE(""https://docs.google.com/spreadsheets/d/1IYY_tgx_IHuhSq3AJ5eI5OnqOPBNLWSHKh2a30DoXe8/edit?usp=sharing"",""สุราษฎร์ธานี!M497"")"),0)</f>
        <v>0</v>
      </c>
      <c r="O602" s="176"/>
      <c r="P602" s="176"/>
    </row>
    <row r="603" spans="1:16" ht="21.75" customHeight="1" x14ac:dyDescent="0.35">
      <c r="A603" s="381"/>
      <c r="B603" s="382"/>
      <c r="C603" s="163"/>
      <c r="D603" s="383"/>
      <c r="E603" s="165"/>
      <c r="F603" s="165"/>
      <c r="G603" s="384" t="s">
        <v>132</v>
      </c>
      <c r="H603" s="167" t="s">
        <v>12</v>
      </c>
      <c r="I603" s="195"/>
      <c r="J603" s="195"/>
      <c r="K603" s="231"/>
      <c r="L603" s="176"/>
      <c r="M603" s="176"/>
      <c r="N603" s="173">
        <f ca="1">IFERROR(__xludf.DUMMYFUNCTION("IMPORTRANGE(""https://docs.google.com/spreadsheets/d/1IYY_tgx_IHuhSq3AJ5eI5OnqOPBNLWSHKh2a30DoXe8/edit?usp=sharing"",""สุราษฎร์ธานี!M498"")"),0)</f>
        <v>0</v>
      </c>
      <c r="O603" s="176"/>
      <c r="P603" s="176"/>
    </row>
    <row r="604" spans="1:16" ht="21.75" customHeight="1" x14ac:dyDescent="0.35">
      <c r="A604" s="381"/>
      <c r="B604" s="382"/>
      <c r="C604" s="163"/>
      <c r="D604" s="383"/>
      <c r="E604" s="165"/>
      <c r="F604" s="165"/>
      <c r="G604" s="384" t="s">
        <v>133</v>
      </c>
      <c r="H604" s="167" t="s">
        <v>12</v>
      </c>
      <c r="I604" s="195"/>
      <c r="J604" s="195"/>
      <c r="K604" s="231"/>
      <c r="L604" s="176"/>
      <c r="M604" s="176"/>
      <c r="N604" s="385">
        <f ca="1">IFERROR(__xludf.DUMMYFUNCTION("IMPORTRANGE(""https://docs.google.com/spreadsheets/d/1IYY_tgx_IHuhSq3AJ5eI5OnqOPBNLWSHKh2a30DoXe8/edit?usp=sharing"",""สุราษฎร์ธานี!M499"")"),0)</f>
        <v>0</v>
      </c>
      <c r="O604" s="176"/>
      <c r="P604" s="176"/>
    </row>
    <row r="605" spans="1:16" ht="21.75" customHeight="1" x14ac:dyDescent="0.35">
      <c r="A605" s="381"/>
      <c r="B605" s="382"/>
      <c r="C605" s="163"/>
      <c r="D605" s="383"/>
      <c r="E605" s="165"/>
      <c r="F605" s="165"/>
      <c r="G605" s="384" t="s">
        <v>134</v>
      </c>
      <c r="H605" s="167" t="s">
        <v>12</v>
      </c>
      <c r="I605" s="195"/>
      <c r="J605" s="195"/>
      <c r="K605" s="231"/>
      <c r="L605" s="176"/>
      <c r="M605" s="176"/>
      <c r="N605" s="385">
        <f ca="1">IFERROR(__xludf.DUMMYFUNCTION("IMPORTRANGE(""https://docs.google.com/spreadsheets/d/1IYY_tgx_IHuhSq3AJ5eI5OnqOPBNLWSHKh2a30DoXe8/edit?usp=sharing"",""สุราษฎร์ธานี!M500"")"),2600)</f>
        <v>2600</v>
      </c>
      <c r="O605" s="176"/>
      <c r="P605" s="176"/>
    </row>
    <row r="606" spans="1:16" ht="21.75" customHeight="1" x14ac:dyDescent="0.35">
      <c r="A606" s="183"/>
      <c r="B606" s="184"/>
      <c r="C606" s="163" t="s">
        <v>16</v>
      </c>
      <c r="D606" s="185" t="s">
        <v>44</v>
      </c>
      <c r="E606" s="186"/>
      <c r="F606" s="186"/>
      <c r="G606" s="187"/>
      <c r="H606" s="188"/>
      <c r="I606" s="168"/>
      <c r="J606" s="168"/>
      <c r="K606" s="169"/>
      <c r="L606" s="189"/>
      <c r="M606" s="189"/>
      <c r="N606" s="189"/>
      <c r="O606" s="189"/>
      <c r="P606" s="189"/>
    </row>
    <row r="607" spans="1:16" ht="21.75" customHeight="1" x14ac:dyDescent="0.35">
      <c r="A607" s="183"/>
      <c r="B607" s="184"/>
      <c r="C607" s="184"/>
      <c r="D607" s="190">
        <v>1</v>
      </c>
      <c r="E607" s="191" t="s">
        <v>45</v>
      </c>
      <c r="F607" s="192"/>
      <c r="G607" s="193"/>
      <c r="H607" s="194"/>
      <c r="I607" s="195"/>
      <c r="J607" s="205">
        <f ca="1">IFERROR(__xludf.DUMMYFUNCTION("IMPORTRANGE(""https://docs.google.com/spreadsheets/d/1IYY_tgx_IHuhSq3AJ5eI5OnqOPBNLWSHKh2a30DoXe8/edit?usp=sharing"",""สุราษฎร์ธานี!J502"")"),0)</f>
        <v>0</v>
      </c>
      <c r="K607" s="169"/>
      <c r="L607" s="189"/>
      <c r="M607" s="189"/>
      <c r="N607" s="189"/>
      <c r="O607" s="189"/>
      <c r="P607" s="189"/>
    </row>
    <row r="608" spans="1:16" ht="21.75" customHeight="1" x14ac:dyDescent="0.35">
      <c r="A608" s="183"/>
      <c r="B608" s="184"/>
      <c r="C608" s="184"/>
      <c r="D608" s="197">
        <v>2</v>
      </c>
      <c r="E608" s="198" t="s">
        <v>46</v>
      </c>
      <c r="F608" s="199"/>
      <c r="G608" s="200"/>
      <c r="H608" s="194"/>
      <c r="I608" s="195"/>
      <c r="J608" s="205">
        <f ca="1">IFERROR(__xludf.DUMMYFUNCTION("IMPORTRANGE(""https://docs.google.com/spreadsheets/d/1IYY_tgx_IHuhSq3AJ5eI5OnqOPBNLWSHKh2a30DoXe8/edit?usp=sharing"",""สุราษฎร์ธานี!J503"")"),1)</f>
        <v>1</v>
      </c>
      <c r="K608" s="169"/>
      <c r="L608" s="189" t="s">
        <v>40</v>
      </c>
      <c r="M608" s="189"/>
      <c r="N608" s="189" t="s">
        <v>40</v>
      </c>
      <c r="O608" s="189"/>
      <c r="P608" s="189"/>
    </row>
    <row r="609" spans="1:16" ht="21.75" hidden="1" customHeight="1" x14ac:dyDescent="0.35">
      <c r="A609" s="494"/>
      <c r="B609" s="495"/>
      <c r="C609" s="495"/>
      <c r="D609" s="496"/>
      <c r="E609" s="497" t="s">
        <v>47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IFERROR(__xludf.DUMMYFUNCTION("IMPORTRANGE(""https://docs.google.com/spreadsheets/d/1IYY_tgx_IHuhSq3AJ5eI5OnqOPBNLWSHKh2a30DoXe8/edit?usp=sharing"",""สุราษฎร์ธานี!J166"")"),0)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48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IFERROR(__xludf.DUMMYFUNCTION("IMPORTRANGE(""https://docs.google.com/spreadsheets/d/1IYY_tgx_IHuhSq3AJ5eI5OnqOPBNLWSHKh2a30DoXe8/edit?usp=sharing"",""สุราษฎร์ธานี!J166"")"),0)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3"/>
      <c r="B611" s="184"/>
      <c r="C611" s="184"/>
      <c r="D611" s="201"/>
      <c r="E611" s="203"/>
      <c r="F611" s="203" t="s">
        <v>219</v>
      </c>
      <c r="G611" s="204"/>
      <c r="H611" s="188" t="s">
        <v>122</v>
      </c>
      <c r="I611" s="195">
        <f ca="1">IFERROR(__xludf.DUMMYFUNCTION("IMPORTRANGE(""https://docs.google.com/spreadsheets/d/1IYY_tgx_IHuhSq3AJ5eI5OnqOPBNLWSHKh2a30DoXe8/edit?usp=sharing"",""สุราษฎร์ธานี!I506"")"),100)</f>
        <v>100</v>
      </c>
      <c r="J611" s="168">
        <f ca="1">IFERROR(__xludf.DUMMYFUNCTION("IMPORTRANGE(""https://docs.google.com/spreadsheets/d/1IYY_tgx_IHuhSq3AJ5eI5OnqOPBNLWSHKh2a30DoXe8/edit?usp=sharing"",""สุราษฎร์ธานี!J506"")"),0)</f>
        <v>0</v>
      </c>
      <c r="K611" s="169">
        <f t="shared" ref="K611:K619" ca="1" si="127">IF(I$611&gt;0,J611*100/I$611,0)</f>
        <v>0</v>
      </c>
      <c r="L611" s="189"/>
      <c r="M611" s="189"/>
      <c r="N611" s="189"/>
      <c r="O611" s="189"/>
      <c r="P611" s="189"/>
    </row>
    <row r="612" spans="1:16" ht="21.75" customHeight="1" x14ac:dyDescent="0.35">
      <c r="A612" s="183"/>
      <c r="B612" s="184"/>
      <c r="C612" s="184"/>
      <c r="D612" s="201"/>
      <c r="E612" s="206"/>
      <c r="F612" s="203"/>
      <c r="G612" s="233" t="s">
        <v>220</v>
      </c>
      <c r="H612" s="188" t="s">
        <v>122</v>
      </c>
      <c r="I612" s="211">
        <f ca="1">IFERROR(__xludf.DUMMYFUNCTION("IMPORTRANGE(""https://docs.google.com/spreadsheets/d/1IYY_tgx_IHuhSq3AJ5eI5OnqOPBNLWSHKh2a30DoXe8/edit?usp=sharing"",""สุราษฎร์ธานี!I507"")"),0)</f>
        <v>0</v>
      </c>
      <c r="J612" s="205">
        <f ca="1">IFERROR(__xludf.DUMMYFUNCTION("IMPORTRANGE(""https://docs.google.com/spreadsheets/d/1IYY_tgx_IHuhSq3AJ5eI5OnqOPBNLWSHKh2a30DoXe8/edit?usp=sharing"",""สุราษฎร์ธานี!J507"")"),45.68)</f>
        <v>45.68</v>
      </c>
      <c r="K612" s="169">
        <f t="shared" ca="1" si="127"/>
        <v>45.68</v>
      </c>
      <c r="L612" s="189"/>
      <c r="M612" s="189"/>
      <c r="N612" s="189"/>
      <c r="O612" s="189"/>
      <c r="P612" s="189"/>
    </row>
    <row r="613" spans="1:16" ht="21.75" customHeight="1" x14ac:dyDescent="0.35">
      <c r="A613" s="183"/>
      <c r="B613" s="184"/>
      <c r="C613" s="184"/>
      <c r="D613" s="201"/>
      <c r="E613" s="206"/>
      <c r="F613" s="203"/>
      <c r="G613" s="233" t="s">
        <v>221</v>
      </c>
      <c r="H613" s="188" t="s">
        <v>122</v>
      </c>
      <c r="I613" s="211">
        <f ca="1">IFERROR(__xludf.DUMMYFUNCTION("IMPORTRANGE(""https://docs.google.com/spreadsheets/d/1IYY_tgx_IHuhSq3AJ5eI5OnqOPBNLWSHKh2a30DoXe8/edit?usp=sharing"",""สุราษฎร์ธานี!I508"")"),0)</f>
        <v>0</v>
      </c>
      <c r="J613" s="205">
        <f ca="1">IFERROR(__xludf.DUMMYFUNCTION("IMPORTRANGE(""https://docs.google.com/spreadsheets/d/1IYY_tgx_IHuhSq3AJ5eI5OnqOPBNLWSHKh2a30DoXe8/edit?usp=sharing"",""สุราษฎร์ธานี!J508"")"),0)</f>
        <v>0</v>
      </c>
      <c r="K613" s="169">
        <f t="shared" ca="1" si="127"/>
        <v>0</v>
      </c>
      <c r="L613" s="189"/>
      <c r="M613" s="189"/>
      <c r="N613" s="189"/>
      <c r="O613" s="189"/>
      <c r="P613" s="189"/>
    </row>
    <row r="614" spans="1:16" ht="21.75" customHeight="1" x14ac:dyDescent="0.35">
      <c r="A614" s="183"/>
      <c r="B614" s="184"/>
      <c r="C614" s="184"/>
      <c r="D614" s="201"/>
      <c r="E614" s="206"/>
      <c r="F614" s="203"/>
      <c r="G614" s="233" t="s">
        <v>222</v>
      </c>
      <c r="H614" s="188" t="s">
        <v>122</v>
      </c>
      <c r="I614" s="211">
        <f ca="1">IFERROR(__xludf.DUMMYFUNCTION("IMPORTRANGE(""https://docs.google.com/spreadsheets/d/1IYY_tgx_IHuhSq3AJ5eI5OnqOPBNLWSHKh2a30DoXe8/edit?usp=sharing"",""สุราษฎร์ธานี!I509"")"),0)</f>
        <v>0</v>
      </c>
      <c r="J614" s="205">
        <f ca="1">IFERROR(__xludf.DUMMYFUNCTION("IMPORTRANGE(""https://docs.google.com/spreadsheets/d/1IYY_tgx_IHuhSq3AJ5eI5OnqOPBNLWSHKh2a30DoXe8/edit?usp=sharing"",""สุราษฎร์ธานี!J509"")"),0)</f>
        <v>0</v>
      </c>
      <c r="K614" s="169">
        <f t="shared" ca="1" si="127"/>
        <v>0</v>
      </c>
      <c r="L614" s="189"/>
      <c r="M614" s="189"/>
      <c r="N614" s="189"/>
      <c r="O614" s="189"/>
      <c r="P614" s="189"/>
    </row>
    <row r="615" spans="1:16" ht="21.75" customHeight="1" x14ac:dyDescent="0.35">
      <c r="A615" s="183"/>
      <c r="B615" s="184"/>
      <c r="C615" s="184"/>
      <c r="D615" s="201"/>
      <c r="E615" s="206"/>
      <c r="F615" s="203"/>
      <c r="G615" s="233" t="s">
        <v>223</v>
      </c>
      <c r="H615" s="188" t="s">
        <v>122</v>
      </c>
      <c r="I615" s="211">
        <f ca="1">IFERROR(__xludf.DUMMYFUNCTION("IMPORTRANGE(""https://docs.google.com/spreadsheets/d/1IYY_tgx_IHuhSq3AJ5eI5OnqOPBNLWSHKh2a30DoXe8/edit?usp=sharing"",""สุราษฎร์ธานี!I510"")"),0)</f>
        <v>0</v>
      </c>
      <c r="J615" s="205">
        <f ca="1">IFERROR(__xludf.DUMMYFUNCTION("IMPORTRANGE(""https://docs.google.com/spreadsheets/d/1IYY_tgx_IHuhSq3AJ5eI5OnqOPBNLWSHKh2a30DoXe8/edit?usp=sharing"",""สุราษฎร์ธานี!J510"")"),0)</f>
        <v>0</v>
      </c>
      <c r="K615" s="169">
        <f t="shared" ca="1" si="127"/>
        <v>0</v>
      </c>
      <c r="L615" s="189"/>
      <c r="M615" s="189"/>
      <c r="N615" s="189"/>
      <c r="O615" s="189"/>
      <c r="P615" s="189"/>
    </row>
    <row r="616" spans="1:16" ht="21.75" customHeight="1" x14ac:dyDescent="0.35">
      <c r="A616" s="183"/>
      <c r="B616" s="184"/>
      <c r="C616" s="184"/>
      <c r="D616" s="201"/>
      <c r="E616" s="206"/>
      <c r="F616" s="203"/>
      <c r="G616" s="202" t="s">
        <v>224</v>
      </c>
      <c r="H616" s="188" t="s">
        <v>122</v>
      </c>
      <c r="I616" s="211">
        <f ca="1">IFERROR(__xludf.DUMMYFUNCTION("IMPORTRANGE(""https://docs.google.com/spreadsheets/d/1IYY_tgx_IHuhSq3AJ5eI5OnqOPBNLWSHKh2a30DoXe8/edit?usp=sharing"",""สุราษฎร์ธานี!I511"")"),0)</f>
        <v>0</v>
      </c>
      <c r="J616" s="205">
        <f ca="1">IFERROR(__xludf.DUMMYFUNCTION("IMPORTRANGE(""https://docs.google.com/spreadsheets/d/1IYY_tgx_IHuhSq3AJ5eI5OnqOPBNLWSHKh2a30DoXe8/edit?usp=sharing"",""สุราษฎร์ธานี!J511"")"),0)</f>
        <v>0</v>
      </c>
      <c r="K616" s="169">
        <f t="shared" ca="1" si="127"/>
        <v>0</v>
      </c>
      <c r="L616" s="189"/>
      <c r="M616" s="189"/>
      <c r="N616" s="189"/>
      <c r="O616" s="189"/>
      <c r="P616" s="189"/>
    </row>
    <row r="617" spans="1:16" ht="21.75" customHeight="1" x14ac:dyDescent="0.35">
      <c r="A617" s="183"/>
      <c r="B617" s="184"/>
      <c r="C617" s="184"/>
      <c r="D617" s="201"/>
      <c r="E617" s="206"/>
      <c r="F617" s="203"/>
      <c r="G617" s="202" t="s">
        <v>225</v>
      </c>
      <c r="H617" s="188" t="s">
        <v>122</v>
      </c>
      <c r="I617" s="195">
        <f ca="1">IFERROR(__xludf.DUMMYFUNCTION("IMPORTRANGE(""https://docs.google.com/spreadsheets/d/1IYY_tgx_IHuhSq3AJ5eI5OnqOPBNLWSHKh2a30DoXe8/edit?usp=sharing"",""สุราษฎร์ธานี!I512"")"),0)</f>
        <v>0</v>
      </c>
      <c r="J617" s="195">
        <f ca="1">IFERROR(__xludf.DUMMYFUNCTION("IMPORTRANGE(""https://docs.google.com/spreadsheets/d/1IYY_tgx_IHuhSq3AJ5eI5OnqOPBNLWSHKh2a30DoXe8/edit?usp=sharing"",""สุราษฎร์ธานี!J512"")"),0)</f>
        <v>0</v>
      </c>
      <c r="K617" s="169">
        <f t="shared" ca="1" si="127"/>
        <v>0</v>
      </c>
      <c r="L617" s="189"/>
      <c r="M617" s="189"/>
      <c r="N617" s="189"/>
      <c r="O617" s="189"/>
      <c r="P617" s="189"/>
    </row>
    <row r="618" spans="1:16" ht="21.75" customHeight="1" x14ac:dyDescent="0.35">
      <c r="A618" s="183"/>
      <c r="B618" s="184"/>
      <c r="C618" s="184"/>
      <c r="D618" s="201"/>
      <c r="E618" s="206"/>
      <c r="F618" s="203"/>
      <c r="G618" s="504" t="s">
        <v>226</v>
      </c>
      <c r="H618" s="188" t="s">
        <v>122</v>
      </c>
      <c r="I618" s="211">
        <f ca="1">IFERROR(__xludf.DUMMYFUNCTION("IMPORTRANGE(""https://docs.google.com/spreadsheets/d/1IYY_tgx_IHuhSq3AJ5eI5OnqOPBNLWSHKh2a30DoXe8/edit?usp=sharing"",""สุราษฎร์ธานี!I513"")"),0)</f>
        <v>0</v>
      </c>
      <c r="J618" s="196">
        <f ca="1">IFERROR(__xludf.DUMMYFUNCTION("IMPORTRANGE(""https://docs.google.com/spreadsheets/d/1IYY_tgx_IHuhSq3AJ5eI5OnqOPBNLWSHKh2a30DoXe8/edit?usp=sharing"",""สุราษฎร์ธานี!J513"")"),0)</f>
        <v>0</v>
      </c>
      <c r="K618" s="169">
        <f t="shared" ca="1" si="127"/>
        <v>0</v>
      </c>
      <c r="L618" s="189"/>
      <c r="M618" s="189"/>
      <c r="N618" s="189"/>
      <c r="O618" s="189"/>
      <c r="P618" s="189"/>
    </row>
    <row r="619" spans="1:16" ht="21.75" customHeight="1" x14ac:dyDescent="0.35">
      <c r="A619" s="183"/>
      <c r="B619" s="184"/>
      <c r="C619" s="184"/>
      <c r="D619" s="201"/>
      <c r="E619" s="206"/>
      <c r="F619" s="203"/>
      <c r="G619" s="504" t="s">
        <v>227</v>
      </c>
      <c r="H619" s="188" t="s">
        <v>122</v>
      </c>
      <c r="I619" s="211">
        <f ca="1">IFERROR(__xludf.DUMMYFUNCTION("IMPORTRANGE(""https://docs.google.com/spreadsheets/d/1IYY_tgx_IHuhSq3AJ5eI5OnqOPBNLWSHKh2a30DoXe8/edit?usp=sharing"",""สุราษฎร์ธานี!I514"")"),0)</f>
        <v>0</v>
      </c>
      <c r="J619" s="196">
        <f ca="1">IFERROR(__xludf.DUMMYFUNCTION("IMPORTRANGE(""https://docs.google.com/spreadsheets/d/1IYY_tgx_IHuhSq3AJ5eI5OnqOPBNLWSHKh2a30DoXe8/edit?usp=sharing"",""สุราษฎร์ธานี!J514"")"),0)</f>
        <v>0</v>
      </c>
      <c r="K619" s="169">
        <f t="shared" ca="1" si="127"/>
        <v>0</v>
      </c>
      <c r="L619" s="189"/>
      <c r="M619" s="189"/>
      <c r="N619" s="189"/>
      <c r="O619" s="189"/>
      <c r="P619" s="189"/>
    </row>
    <row r="620" spans="1:16" ht="21.75" customHeight="1" x14ac:dyDescent="0.35">
      <c r="A620" s="183"/>
      <c r="B620" s="184"/>
      <c r="C620" s="184"/>
      <c r="D620" s="201"/>
      <c r="E620" s="203"/>
      <c r="F620" s="202" t="s">
        <v>228</v>
      </c>
      <c r="G620" s="204"/>
      <c r="H620" s="188" t="s">
        <v>122</v>
      </c>
      <c r="I620" s="195">
        <f ca="1">IFERROR(__xludf.DUMMYFUNCTION("IMPORTRANGE(""https://docs.google.com/spreadsheets/d/1IYY_tgx_IHuhSq3AJ5eI5OnqOPBNLWSHKh2a30DoXe8/edit?usp=sharing"",""สุราษฎร์ธานี!I515"")"),0)</f>
        <v>0</v>
      </c>
      <c r="J620" s="210">
        <f ca="1">IFERROR(__xludf.DUMMYFUNCTION("IMPORTRANGE(""https://docs.google.com/spreadsheets/d/1IYY_tgx_IHuhSq3AJ5eI5OnqOPBNLWSHKh2a30DoXe8/edit?usp=sharing"",""สุราษฎร์ธานี!J515"")"),0)</f>
        <v>0</v>
      </c>
      <c r="K620" s="169">
        <f t="shared" ref="K620:K626" ca="1" si="128">IF(I$620&gt;0,J620*100/I$620,0)</f>
        <v>0</v>
      </c>
      <c r="L620" s="189"/>
      <c r="M620" s="189"/>
      <c r="N620" s="189"/>
      <c r="O620" s="189"/>
      <c r="P620" s="189"/>
    </row>
    <row r="621" spans="1:16" ht="21.75" customHeight="1" x14ac:dyDescent="0.35">
      <c r="A621" s="183"/>
      <c r="B621" s="184"/>
      <c r="C621" s="184"/>
      <c r="D621" s="201"/>
      <c r="E621" s="206"/>
      <c r="F621" s="203"/>
      <c r="G621" s="233" t="s">
        <v>225</v>
      </c>
      <c r="H621" s="188" t="s">
        <v>122</v>
      </c>
      <c r="I621" s="210">
        <f ca="1">IFERROR(__xludf.DUMMYFUNCTION("IMPORTRANGE(""https://docs.google.com/spreadsheets/d/1IYY_tgx_IHuhSq3AJ5eI5OnqOPBNLWSHKh2a30DoXe8/edit?usp=sharing"",""สุราษฎร์ธานี!I516"")"),0)</f>
        <v>0</v>
      </c>
      <c r="J621" s="210">
        <f ca="1">IFERROR(__xludf.DUMMYFUNCTION("IMPORTRANGE(""https://docs.google.com/spreadsheets/d/1IYY_tgx_IHuhSq3AJ5eI5OnqOPBNLWSHKh2a30DoXe8/edit?usp=sharing"",""สุราษฎร์ธานี!J516"")"),0)</f>
        <v>0</v>
      </c>
      <c r="K621" s="169">
        <f t="shared" ca="1" si="128"/>
        <v>0</v>
      </c>
      <c r="L621" s="189"/>
      <c r="M621" s="189"/>
      <c r="N621" s="189"/>
      <c r="O621" s="189"/>
      <c r="P621" s="189"/>
    </row>
    <row r="622" spans="1:16" ht="21.75" customHeight="1" x14ac:dyDescent="0.35">
      <c r="A622" s="183"/>
      <c r="B622" s="184"/>
      <c r="C622" s="184"/>
      <c r="D622" s="201"/>
      <c r="E622" s="206"/>
      <c r="F622" s="203"/>
      <c r="G622" s="504" t="s">
        <v>226</v>
      </c>
      <c r="H622" s="188" t="s">
        <v>122</v>
      </c>
      <c r="I622" s="211">
        <f ca="1">IFERROR(__xludf.DUMMYFUNCTION("IMPORTRANGE(""https://docs.google.com/spreadsheets/d/1IYY_tgx_IHuhSq3AJ5eI5OnqOPBNLWSHKh2a30DoXe8/edit?usp=sharing"",""สุราษฎร์ธานี!I517"")"),0)</f>
        <v>0</v>
      </c>
      <c r="J622" s="196">
        <f ca="1">IFERROR(__xludf.DUMMYFUNCTION("IMPORTRANGE(""https://docs.google.com/spreadsheets/d/1IYY_tgx_IHuhSq3AJ5eI5OnqOPBNLWSHKh2a30DoXe8/edit?usp=sharing"",""สุราษฎร์ธานี!J517"")"),0)</f>
        <v>0</v>
      </c>
      <c r="K622" s="169">
        <f t="shared" ca="1" si="128"/>
        <v>0</v>
      </c>
      <c r="L622" s="189"/>
      <c r="M622" s="189"/>
      <c r="N622" s="189"/>
      <c r="O622" s="189"/>
      <c r="P622" s="189"/>
    </row>
    <row r="623" spans="1:16" ht="21.75" customHeight="1" x14ac:dyDescent="0.35">
      <c r="A623" s="183"/>
      <c r="B623" s="184"/>
      <c r="C623" s="184"/>
      <c r="D623" s="201"/>
      <c r="E623" s="206"/>
      <c r="F623" s="203"/>
      <c r="G623" s="504" t="s">
        <v>227</v>
      </c>
      <c r="H623" s="188" t="s">
        <v>122</v>
      </c>
      <c r="I623" s="211">
        <f ca="1">IFERROR(__xludf.DUMMYFUNCTION("IMPORTRANGE(""https://docs.google.com/spreadsheets/d/1IYY_tgx_IHuhSq3AJ5eI5OnqOPBNLWSHKh2a30DoXe8/edit?usp=sharing"",""สุราษฎร์ธานี!I518"")"),0)</f>
        <v>0</v>
      </c>
      <c r="J623" s="196">
        <f ca="1">IFERROR(__xludf.DUMMYFUNCTION("IMPORTRANGE(""https://docs.google.com/spreadsheets/d/1IYY_tgx_IHuhSq3AJ5eI5OnqOPBNLWSHKh2a30DoXe8/edit?usp=sharing"",""สุราษฎร์ธานี!J518"")"),0)</f>
        <v>0</v>
      </c>
      <c r="K623" s="169">
        <f t="shared" ca="1" si="128"/>
        <v>0</v>
      </c>
      <c r="L623" s="189"/>
      <c r="M623" s="189"/>
      <c r="N623" s="189"/>
      <c r="O623" s="189"/>
      <c r="P623" s="189"/>
    </row>
    <row r="624" spans="1:16" ht="21.75" customHeight="1" x14ac:dyDescent="0.35">
      <c r="A624" s="183"/>
      <c r="B624" s="184"/>
      <c r="C624" s="184"/>
      <c r="D624" s="201"/>
      <c r="E624" s="206"/>
      <c r="F624" s="203"/>
      <c r="G624" s="233" t="s">
        <v>229</v>
      </c>
      <c r="H624" s="188" t="s">
        <v>122</v>
      </c>
      <c r="I624" s="195">
        <f ca="1">IFERROR(__xludf.DUMMYFUNCTION("IMPORTRANGE(""https://docs.google.com/spreadsheets/d/1IYY_tgx_IHuhSq3AJ5eI5OnqOPBNLWSHKh2a30DoXe8/edit?usp=sharing"",""สุราษฎร์ธานี!I519"")"),0)</f>
        <v>0</v>
      </c>
      <c r="J624" s="195">
        <f ca="1">IFERROR(__xludf.DUMMYFUNCTION("IMPORTRANGE(""https://docs.google.com/spreadsheets/d/1IYY_tgx_IHuhSq3AJ5eI5OnqOPBNLWSHKh2a30DoXe8/edit?usp=sharing"",""สุราษฎร์ธานี!J519"")"),0)</f>
        <v>0</v>
      </c>
      <c r="K624" s="169">
        <f t="shared" ca="1" si="128"/>
        <v>0</v>
      </c>
      <c r="L624" s="189"/>
      <c r="M624" s="189"/>
      <c r="N624" s="189"/>
      <c r="O624" s="189"/>
      <c r="P624" s="189"/>
    </row>
    <row r="625" spans="1:16" ht="21.75" customHeight="1" x14ac:dyDescent="0.35">
      <c r="A625" s="183"/>
      <c r="B625" s="184"/>
      <c r="C625" s="184"/>
      <c r="D625" s="201"/>
      <c r="E625" s="206"/>
      <c r="F625" s="203"/>
      <c r="G625" s="504" t="s">
        <v>230</v>
      </c>
      <c r="H625" s="188" t="s">
        <v>122</v>
      </c>
      <c r="I625" s="211">
        <f ca="1">IFERROR(__xludf.DUMMYFUNCTION("IMPORTRANGE(""https://docs.google.com/spreadsheets/d/1IYY_tgx_IHuhSq3AJ5eI5OnqOPBNLWSHKh2a30DoXe8/edit?usp=sharing"",""สุราษฎร์ธานี!I520"")"),0)</f>
        <v>0</v>
      </c>
      <c r="J625" s="196">
        <f ca="1">IFERROR(__xludf.DUMMYFUNCTION("IMPORTRANGE(""https://docs.google.com/spreadsheets/d/1IYY_tgx_IHuhSq3AJ5eI5OnqOPBNLWSHKh2a30DoXe8/edit?usp=sharing"",""สุราษฎร์ธานี!J520"")"),0)</f>
        <v>0</v>
      </c>
      <c r="K625" s="169">
        <f t="shared" ca="1" si="128"/>
        <v>0</v>
      </c>
      <c r="L625" s="189"/>
      <c r="M625" s="189"/>
      <c r="N625" s="189"/>
      <c r="O625" s="189"/>
      <c r="P625" s="189"/>
    </row>
    <row r="626" spans="1:16" ht="21.75" customHeight="1" x14ac:dyDescent="0.35">
      <c r="A626" s="183"/>
      <c r="B626" s="184"/>
      <c r="C626" s="184"/>
      <c r="D626" s="201"/>
      <c r="E626" s="206"/>
      <c r="F626" s="203"/>
      <c r="G626" s="504" t="s">
        <v>231</v>
      </c>
      <c r="H626" s="188" t="s">
        <v>122</v>
      </c>
      <c r="I626" s="211">
        <f ca="1">IFERROR(__xludf.DUMMYFUNCTION("IMPORTRANGE(""https://docs.google.com/spreadsheets/d/1IYY_tgx_IHuhSq3AJ5eI5OnqOPBNLWSHKh2a30DoXe8/edit?usp=sharing"",""สุราษฎร์ธานี!I521"")"),0)</f>
        <v>0</v>
      </c>
      <c r="J626" s="196">
        <f ca="1">IFERROR(__xludf.DUMMYFUNCTION("IMPORTRANGE(""https://docs.google.com/spreadsheets/d/1IYY_tgx_IHuhSq3AJ5eI5OnqOPBNLWSHKh2a30DoXe8/edit?usp=sharing"",""สุราษฎร์ธานี!J521"")"),0)</f>
        <v>0</v>
      </c>
      <c r="K626" s="169">
        <f t="shared" ca="1" si="128"/>
        <v>0</v>
      </c>
      <c r="L626" s="189"/>
      <c r="M626" s="189"/>
      <c r="N626" s="189"/>
      <c r="O626" s="189"/>
      <c r="P626" s="189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2"/>
      <c r="E628" s="165"/>
      <c r="F628" s="165"/>
      <c r="G628" s="166"/>
      <c r="H628" s="513" t="s">
        <v>12</v>
      </c>
      <c r="I628" s="347">
        <f ca="1">IFERROR(__xludf.DUMMYFUNCTION("IMPORTRANGE(""https://docs.google.com/spreadsheets/d/1IYY_tgx_IHuhSq3AJ5eI5OnqOPBNLWSHKh2a30DoXe8/edit?usp=sharing"",""สุราษฎร์ธานี!I523"")"),4091300.88)</f>
        <v>4091300.88</v>
      </c>
      <c r="J628" s="347">
        <f ca="1">IFERROR(__xludf.DUMMYFUNCTION("IMPORTRANGE(""https://docs.google.com/spreadsheets/d/1IYY_tgx_IHuhSq3AJ5eI5OnqOPBNLWSHKh2a30DoXe8/edit?usp=sharing"",""สุราษฎร์ธานี!J523"")"),306453.01)</f>
        <v>306453.01</v>
      </c>
      <c r="K628" s="348">
        <f t="shared" ref="K628:K635" ca="1" si="129">IF(I628&gt;0,J628*100/I628,0)</f>
        <v>7.490356221368887</v>
      </c>
      <c r="L628" s="348"/>
      <c r="M628" s="348"/>
      <c r="N628" s="348"/>
      <c r="O628" s="176"/>
      <c r="P628" s="176"/>
    </row>
    <row r="629" spans="1:16" ht="21.75" customHeight="1" x14ac:dyDescent="0.35">
      <c r="A629" s="484"/>
      <c r="B629" s="163"/>
      <c r="C629" s="163"/>
      <c r="D629" s="172"/>
      <c r="E629" s="165"/>
      <c r="F629" s="165"/>
      <c r="G629" s="166"/>
      <c r="H629" s="513" t="s">
        <v>37</v>
      </c>
      <c r="I629" s="347">
        <f ca="1">IFERROR(__xludf.DUMMYFUNCTION("IMPORTRANGE(""https://docs.google.com/spreadsheets/d/1IYY_tgx_IHuhSq3AJ5eI5OnqOPBNLWSHKh2a30DoXe8/edit?usp=sharing"",""สุราษฎร์ธานี!I524"")"),252)</f>
        <v>252</v>
      </c>
      <c r="J629" s="347">
        <f ca="1">IFERROR(__xludf.DUMMYFUNCTION("IMPORTRANGE(""https://docs.google.com/spreadsheets/d/1IYY_tgx_IHuhSq3AJ5eI5OnqOPBNLWSHKh2a30DoXe8/edit?usp=sharing"",""สุราษฎร์ธานี!J524"")"),18)</f>
        <v>18</v>
      </c>
      <c r="K629" s="348">
        <f t="shared" ca="1" si="129"/>
        <v>7.1428571428571432</v>
      </c>
      <c r="L629" s="348"/>
      <c r="M629" s="348"/>
      <c r="N629" s="348"/>
      <c r="O629" s="176"/>
      <c r="P629" s="176"/>
    </row>
    <row r="630" spans="1:16" ht="21.75" customHeight="1" x14ac:dyDescent="0.35">
      <c r="A630" s="484"/>
      <c r="B630" s="512" t="s">
        <v>234</v>
      </c>
      <c r="C630" s="163"/>
      <c r="D630" s="172"/>
      <c r="E630" s="165"/>
      <c r="F630" s="165"/>
      <c r="G630" s="166"/>
      <c r="H630" s="513" t="s">
        <v>12</v>
      </c>
      <c r="I630" s="347">
        <f ca="1">IFERROR(__xludf.DUMMYFUNCTION("IMPORTRANGE(""https://docs.google.com/spreadsheets/d/1IYY_tgx_IHuhSq3AJ5eI5OnqOPBNLWSHKh2a30DoXe8/edit?usp=sharing"",""สุราษฎร์ธานี!I525"")"),2294817.46)</f>
        <v>2294817.46</v>
      </c>
      <c r="J630" s="347">
        <f ca="1">IFERROR(__xludf.DUMMYFUNCTION("IMPORTRANGE(""https://docs.google.com/spreadsheets/d/1IYY_tgx_IHuhSq3AJ5eI5OnqOPBNLWSHKh2a30DoXe8/edit?usp=sharing"",""สุราษฎร์ธานี!J525"")"),376146.49)</f>
        <v>376146.49</v>
      </c>
      <c r="K630" s="348">
        <f t="shared" ca="1" si="129"/>
        <v>16.391128992020132</v>
      </c>
      <c r="L630" s="348"/>
      <c r="M630" s="348"/>
      <c r="N630" s="348"/>
      <c r="O630" s="176"/>
      <c r="P630" s="176"/>
    </row>
    <row r="631" spans="1:16" ht="21.75" customHeight="1" x14ac:dyDescent="0.35">
      <c r="A631" s="484"/>
      <c r="B631" s="163"/>
      <c r="C631" s="163"/>
      <c r="D631" s="172"/>
      <c r="E631" s="165"/>
      <c r="F631" s="165"/>
      <c r="G631" s="166"/>
      <c r="H631" s="513" t="s">
        <v>37</v>
      </c>
      <c r="I631" s="347">
        <f ca="1">IFERROR(__xludf.DUMMYFUNCTION("IMPORTRANGE(""https://docs.google.com/spreadsheets/d/1IYY_tgx_IHuhSq3AJ5eI5OnqOPBNLWSHKh2a30DoXe8/edit?usp=sharing"",""สุราษฎร์ธานี!I526"")"),72)</f>
        <v>72</v>
      </c>
      <c r="J631" s="347">
        <f ca="1">IFERROR(__xludf.DUMMYFUNCTION("IMPORTRANGE(""https://docs.google.com/spreadsheets/d/1IYY_tgx_IHuhSq3AJ5eI5OnqOPBNLWSHKh2a30DoXe8/edit?usp=sharing"",""สุราษฎร์ธานี!J526"")"),55)</f>
        <v>55</v>
      </c>
      <c r="K631" s="348">
        <f t="shared" ca="1" si="129"/>
        <v>76.388888888888886</v>
      </c>
      <c r="L631" s="348"/>
      <c r="M631" s="348"/>
      <c r="N631" s="348"/>
      <c r="O631" s="176"/>
      <c r="P631" s="176"/>
    </row>
    <row r="632" spans="1:16" ht="21.75" customHeight="1" x14ac:dyDescent="0.35">
      <c r="A632" s="484"/>
      <c r="B632" s="512" t="s">
        <v>235</v>
      </c>
      <c r="C632" s="163"/>
      <c r="D632" s="172"/>
      <c r="E632" s="165"/>
      <c r="F632" s="165"/>
      <c r="G632" s="166"/>
      <c r="H632" s="513" t="s">
        <v>12</v>
      </c>
      <c r="I632" s="347">
        <f ca="1">IFERROR(__xludf.DUMMYFUNCTION("IMPORTRANGE(""https://docs.google.com/spreadsheets/d/1IYY_tgx_IHuhSq3AJ5eI5OnqOPBNLWSHKh2a30DoXe8/edit?usp=sharing"",""สุราษฎร์ธานี!I527"")"),0)</f>
        <v>0</v>
      </c>
      <c r="J632" s="347">
        <f ca="1">IFERROR(__xludf.DUMMYFUNCTION("IMPORTRANGE(""https://docs.google.com/spreadsheets/d/1IYY_tgx_IHuhSq3AJ5eI5OnqOPBNLWSHKh2a30DoXe8/edit?usp=sharing"",""สุราษฎร์ธานี!J527"")"),0)</f>
        <v>0</v>
      </c>
      <c r="K632" s="348">
        <f t="shared" ca="1" si="129"/>
        <v>0</v>
      </c>
      <c r="L632" s="348"/>
      <c r="M632" s="348"/>
      <c r="N632" s="348"/>
      <c r="O632" s="176"/>
      <c r="P632" s="176"/>
    </row>
    <row r="633" spans="1:16" ht="21.75" customHeight="1" x14ac:dyDescent="0.35">
      <c r="A633" s="484"/>
      <c r="B633" s="512"/>
      <c r="C633" s="163"/>
      <c r="D633" s="172"/>
      <c r="E633" s="165"/>
      <c r="F633" s="165"/>
      <c r="G633" s="166"/>
      <c r="H633" s="513" t="s">
        <v>37</v>
      </c>
      <c r="I633" s="347">
        <f ca="1">IFERROR(__xludf.DUMMYFUNCTION("IMPORTRANGE(""https://docs.google.com/spreadsheets/d/1IYY_tgx_IHuhSq3AJ5eI5OnqOPBNLWSHKh2a30DoXe8/edit?usp=sharing"",""สุราษฎร์ธานี!I528"")"),0)</f>
        <v>0</v>
      </c>
      <c r="J633" s="347">
        <f ca="1">IFERROR(__xludf.DUMMYFUNCTION("IMPORTRANGE(""https://docs.google.com/spreadsheets/d/1IYY_tgx_IHuhSq3AJ5eI5OnqOPBNLWSHKh2a30DoXe8/edit?usp=sharing"",""สุราษฎร์ธานี!J528"")"),0)</f>
        <v>0</v>
      </c>
      <c r="K633" s="348">
        <f t="shared" ca="1" si="129"/>
        <v>0</v>
      </c>
      <c r="L633" s="348"/>
      <c r="M633" s="348"/>
      <c r="N633" s="348"/>
      <c r="O633" s="176"/>
      <c r="P633" s="176"/>
    </row>
    <row r="634" spans="1:16" ht="21.75" customHeight="1" x14ac:dyDescent="0.35">
      <c r="A634" s="484"/>
      <c r="B634" s="512" t="s">
        <v>236</v>
      </c>
      <c r="C634" s="163"/>
      <c r="D634" s="172"/>
      <c r="E634" s="165"/>
      <c r="F634" s="165"/>
      <c r="G634" s="166"/>
      <c r="H634" s="513" t="s">
        <v>12</v>
      </c>
      <c r="I634" s="347">
        <f ca="1">IFERROR(__xludf.DUMMYFUNCTION("IMPORTRANGE(""https://docs.google.com/spreadsheets/d/1IYY_tgx_IHuhSq3AJ5eI5OnqOPBNLWSHKh2a30DoXe8/edit?usp=sharing"",""สุราษฎร์ธานี!I529"")"),5000000)</f>
        <v>5000000</v>
      </c>
      <c r="J634" s="347">
        <f ca="1">IFERROR(__xludf.DUMMYFUNCTION("IMPORTRANGE(""https://docs.google.com/spreadsheets/d/1IYY_tgx_IHuhSq3AJ5eI5OnqOPBNLWSHKh2a30DoXe8/edit?usp=sharing"",""สุราษฎร์ธานี!J529"")"),0)</f>
        <v>0</v>
      </c>
      <c r="K634" s="348">
        <f t="shared" ca="1" si="129"/>
        <v>0</v>
      </c>
      <c r="L634" s="348"/>
      <c r="M634" s="348"/>
      <c r="N634" s="348"/>
      <c r="O634" s="176"/>
      <c r="P634" s="176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IFERROR(__xludf.DUMMYFUNCTION("IMPORTRANGE(""https://docs.google.com/spreadsheets/d/1IYY_tgx_IHuhSq3AJ5eI5OnqOPBNLWSHKh2a30DoXe8/edit?usp=sharing"",""สุราษฎร์ธานี!I530"")"),100)</f>
        <v>100</v>
      </c>
      <c r="J635" s="517">
        <f ca="1">IFERROR(__xludf.DUMMYFUNCTION("IMPORTRANGE(""https://docs.google.com/spreadsheets/d/1IYY_tgx_IHuhSq3AJ5eI5OnqOPBNLWSHKh2a30DoXe8/edit?usp=sharing"",""สุราษฎร์ธานี!J530"")"),0)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3" sqref="G23"/>
      <selection pane="bottomLeft" activeCell="G23" sqref="G23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3.26953125" customWidth="1"/>
    <col min="11" max="11" width="10.08984375" customWidth="1"/>
    <col min="12" max="14" width="17.81640625" bestFit="1" customWidth="1"/>
    <col min="15" max="15" width="18.81640625" customWidth="1"/>
    <col min="16" max="16" width="20.54296875" customWidth="1"/>
  </cols>
  <sheetData>
    <row r="1" spans="1:16" ht="18" customHeight="1" x14ac:dyDescent="0.35">
      <c r="A1" s="527" t="s">
        <v>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</row>
    <row r="2" spans="1:16" ht="18" customHeight="1" x14ac:dyDescent="0.35">
      <c r="A2" s="527" t="s">
        <v>238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</row>
    <row r="3" spans="1:16" ht="18" customHeight="1" x14ac:dyDescent="0.35">
      <c r="A3" s="527" t="s">
        <v>268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5" t="s">
        <v>2</v>
      </c>
      <c r="B5" s="536"/>
      <c r="C5" s="536"/>
      <c r="D5" s="536"/>
      <c r="E5" s="536"/>
      <c r="F5" s="536"/>
      <c r="G5" s="537"/>
      <c r="H5" s="528" t="s">
        <v>3</v>
      </c>
      <c r="I5" s="530" t="s">
        <v>4</v>
      </c>
      <c r="J5" s="531"/>
      <c r="K5" s="532"/>
      <c r="L5" s="533" t="s">
        <v>5</v>
      </c>
      <c r="M5" s="532"/>
      <c r="N5" s="534" t="s">
        <v>6</v>
      </c>
      <c r="O5" s="531"/>
      <c r="P5" s="532"/>
    </row>
    <row r="6" spans="1:16" ht="21.75" customHeight="1" x14ac:dyDescent="0.35">
      <c r="A6" s="538"/>
      <c r="B6" s="539"/>
      <c r="C6" s="539"/>
      <c r="D6" s="539"/>
      <c r="E6" s="539"/>
      <c r="F6" s="539"/>
      <c r="G6" s="540"/>
      <c r="H6" s="52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1" t="s">
        <v>15</v>
      </c>
      <c r="B7" s="531"/>
      <c r="C7" s="531"/>
      <c r="D7" s="531"/>
      <c r="E7" s="531"/>
      <c r="F7" s="531"/>
      <c r="G7" s="53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2" t="s">
        <v>17</v>
      </c>
      <c r="E8" s="543"/>
      <c r="F8" s="543"/>
      <c r="G8" s="543"/>
      <c r="H8" s="20" t="s">
        <v>12</v>
      </c>
      <c r="I8" s="21"/>
      <c r="J8" s="21"/>
      <c r="K8" s="22"/>
      <c r="L8" s="23">
        <f t="shared" ref="L8:N8" ca="1" si="0">L9+L10</f>
        <v>9979128</v>
      </c>
      <c r="M8" s="23">
        <f t="shared" ca="1" si="0"/>
        <v>7513183</v>
      </c>
      <c r="N8" s="23">
        <f t="shared" ca="1" si="0"/>
        <v>1966913.3599999999</v>
      </c>
      <c r="O8" s="22">
        <f t="shared" ref="O8:O16" ca="1" si="1">IF(L8&gt;0,N8*100/L8,0)</f>
        <v>19.710272881558389</v>
      </c>
      <c r="P8" s="22">
        <f t="shared" ref="P8:P16" ca="1" si="2">IF(M8&gt;0,N8*100/M8,0)</f>
        <v>26.17949489583842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9979128</v>
      </c>
      <c r="M10" s="30">
        <f t="shared" ca="1" si="4"/>
        <v>7513183</v>
      </c>
      <c r="N10" s="30">
        <f t="shared" ca="1" si="4"/>
        <v>1966913.3599999999</v>
      </c>
      <c r="O10" s="29">
        <f t="shared" ca="1" si="1"/>
        <v>19.710272881558389</v>
      </c>
      <c r="P10" s="29">
        <f t="shared" ca="1" si="2"/>
        <v>26.17949489583842</v>
      </c>
    </row>
    <row r="11" spans="1:16" ht="21.75" customHeight="1" x14ac:dyDescent="0.45">
      <c r="A11" s="31"/>
      <c r="B11" s="32"/>
      <c r="C11" s="33" t="s">
        <v>16</v>
      </c>
      <c r="D11" s="544" t="s">
        <v>20</v>
      </c>
      <c r="E11" s="545"/>
      <c r="F11" s="54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4477558</v>
      </c>
      <c r="M12" s="38">
        <f t="shared" ca="1" si="6"/>
        <v>2011613</v>
      </c>
      <c r="N12" s="38">
        <f t="shared" ca="1" si="6"/>
        <v>1935343.3599999999</v>
      </c>
      <c r="O12" s="38">
        <f t="shared" ca="1" si="1"/>
        <v>43.223189068684313</v>
      </c>
      <c r="P12" s="38">
        <f t="shared" ca="1" si="2"/>
        <v>96.208533152251448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1878000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2599558</v>
      </c>
      <c r="M14" s="38">
        <f t="shared" si="8"/>
        <v>0</v>
      </c>
      <c r="N14" s="38">
        <f t="shared" ca="1" si="8"/>
        <v>327702.36</v>
      </c>
      <c r="O14" s="41">
        <f t="shared" ca="1" si="1"/>
        <v>12.606079956669557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44" t="s">
        <v>23</v>
      </c>
      <c r="E15" s="54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5501570</v>
      </c>
      <c r="M16" s="38">
        <f t="shared" ca="1" si="10"/>
        <v>5501570</v>
      </c>
      <c r="N16" s="38">
        <f t="shared" ca="1" si="10"/>
        <v>31570</v>
      </c>
      <c r="O16" s="50">
        <f t="shared" ca="1" si="1"/>
        <v>0.57383619584954837</v>
      </c>
      <c r="P16" s="50">
        <f t="shared" ca="1" si="2"/>
        <v>0.57383619584954837</v>
      </c>
    </row>
    <row r="17" spans="1:16" ht="21.75" customHeight="1" x14ac:dyDescent="0.45">
      <c r="A17" s="541" t="s">
        <v>24</v>
      </c>
      <c r="B17" s="531"/>
      <c r="C17" s="531"/>
      <c r="D17" s="531"/>
      <c r="E17" s="531"/>
      <c r="F17" s="531"/>
      <c r="G17" s="53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2" t="s">
        <v>17</v>
      </c>
      <c r="E18" s="543"/>
      <c r="F18" s="543"/>
      <c r="G18" s="543"/>
      <c r="H18" s="20" t="s">
        <v>12</v>
      </c>
      <c r="I18" s="21"/>
      <c r="J18" s="21"/>
      <c r="K18" s="22"/>
      <c r="L18" s="23">
        <f t="shared" ref="L18:N18" ca="1" si="11">L19+L20</f>
        <v>8774955</v>
      </c>
      <c r="M18" s="23">
        <f t="shared" ca="1" si="11"/>
        <v>7513183</v>
      </c>
      <c r="N18" s="23">
        <f t="shared" ca="1" si="11"/>
        <v>1639211</v>
      </c>
      <c r="O18" s="22">
        <f t="shared" ref="O18:O20" ca="1" si="12">IF(L18&gt;0,N18*100/L18,0)</f>
        <v>18.680563034226385</v>
      </c>
      <c r="P18" s="22">
        <f t="shared" ref="P18:P26" ca="1" si="13">IF(M18&gt;0,N18*100/M18,0)</f>
        <v>21.817796797974975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8774955</v>
      </c>
      <c r="M20" s="30">
        <f t="shared" ca="1" si="15"/>
        <v>7513183</v>
      </c>
      <c r="N20" s="30">
        <f t="shared" ca="1" si="15"/>
        <v>1639211</v>
      </c>
      <c r="O20" s="29">
        <f t="shared" ca="1" si="12"/>
        <v>18.680563034226385</v>
      </c>
      <c r="P20" s="29">
        <f t="shared" ca="1" si="13"/>
        <v>21.817796797974975</v>
      </c>
    </row>
    <row r="21" spans="1:16" ht="21.75" customHeight="1" x14ac:dyDescent="0.45">
      <c r="A21" s="31"/>
      <c r="B21" s="32"/>
      <c r="C21" s="33" t="s">
        <v>16</v>
      </c>
      <c r="D21" s="544" t="s">
        <v>20</v>
      </c>
      <c r="E21" s="545"/>
      <c r="F21" s="54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3273385</v>
      </c>
      <c r="M22" s="42">
        <f t="shared" ca="1" si="18"/>
        <v>2011613</v>
      </c>
      <c r="N22" s="41">
        <f t="shared" ca="1" si="18"/>
        <v>1607641</v>
      </c>
      <c r="O22" s="41">
        <f t="shared" ca="1" si="17"/>
        <v>49.112493641902802</v>
      </c>
      <c r="P22" s="41">
        <f t="shared" ca="1" si="13"/>
        <v>79.918006097594315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1878000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1395385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44" t="s">
        <v>23</v>
      </c>
      <c r="E25" s="54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5501570</v>
      </c>
      <c r="M26" s="50">
        <f t="shared" ca="1" si="22"/>
        <v>5501570</v>
      </c>
      <c r="N26" s="50">
        <f t="shared" ca="1" si="22"/>
        <v>31570</v>
      </c>
      <c r="O26" s="50">
        <f t="shared" ca="1" si="17"/>
        <v>0.57383619584954837</v>
      </c>
      <c r="P26" s="50">
        <f t="shared" ca="1" si="13"/>
        <v>0.57383619584954837</v>
      </c>
    </row>
    <row r="27" spans="1:16" ht="21.75" customHeight="1" x14ac:dyDescent="0.45">
      <c r="A27" s="541" t="s">
        <v>25</v>
      </c>
      <c r="B27" s="531"/>
      <c r="C27" s="531"/>
      <c r="D27" s="531"/>
      <c r="E27" s="531"/>
      <c r="F27" s="531"/>
      <c r="G27" s="53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2" t="s">
        <v>17</v>
      </c>
      <c r="E28" s="543"/>
      <c r="F28" s="543"/>
      <c r="G28" s="543"/>
      <c r="H28" s="20" t="s">
        <v>12</v>
      </c>
      <c r="I28" s="21"/>
      <c r="J28" s="21"/>
      <c r="K28" s="22"/>
      <c r="L28" s="23">
        <f t="shared" ref="L28:N28" ca="1" si="23">L29+L30</f>
        <v>1204173</v>
      </c>
      <c r="M28" s="23">
        <f t="shared" si="23"/>
        <v>0</v>
      </c>
      <c r="N28" s="23">
        <f t="shared" ca="1" si="23"/>
        <v>327702.36</v>
      </c>
      <c r="O28" s="22">
        <f t="shared" ref="O28:O30" ca="1" si="24">IF(L28&gt;0,N28*100/L28,0)</f>
        <v>27.213893684711415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1204173</v>
      </c>
      <c r="M30" s="30">
        <f t="shared" si="27"/>
        <v>0</v>
      </c>
      <c r="N30" s="30">
        <f t="shared" ca="1" si="27"/>
        <v>327702.36</v>
      </c>
      <c r="O30" s="29">
        <f t="shared" ca="1" si="24"/>
        <v>27.213893684711415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44" t="s">
        <v>20</v>
      </c>
      <c r="E31" s="545"/>
      <c r="F31" s="54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1204173</v>
      </c>
      <c r="M32" s="41">
        <f t="shared" si="30"/>
        <v>0</v>
      </c>
      <c r="N32" s="41">
        <f t="shared" ca="1" si="30"/>
        <v>327702.36</v>
      </c>
      <c r="O32" s="41">
        <f t="shared" ca="1" si="29"/>
        <v>27.213893684711415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1204173</v>
      </c>
      <c r="M34" s="41">
        <f t="shared" si="32"/>
        <v>0</v>
      </c>
      <c r="N34" s="41">
        <f t="shared" ca="1" si="32"/>
        <v>327702.36</v>
      </c>
      <c r="O34" s="41">
        <f t="shared" ca="1" si="29"/>
        <v>27.213893684711415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44" t="s">
        <v>23</v>
      </c>
      <c r="E35" s="54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8774955</v>
      </c>
      <c r="M37" s="55">
        <f t="shared" ca="1" si="33"/>
        <v>7513183</v>
      </c>
      <c r="N37" s="55">
        <f t="shared" ca="1" si="33"/>
        <v>1639211</v>
      </c>
      <c r="O37" s="56">
        <f t="shared" ca="1" si="29"/>
        <v>18.680563034226385</v>
      </c>
      <c r="P37" s="56">
        <f t="shared" ca="1" si="25"/>
        <v>21.817796797974975</v>
      </c>
    </row>
    <row r="38" spans="1:16" ht="21.75" customHeight="1" x14ac:dyDescent="0.45">
      <c r="A38" s="546" t="s">
        <v>27</v>
      </c>
      <c r="B38" s="531"/>
      <c r="C38" s="531"/>
      <c r="D38" s="531"/>
      <c r="E38" s="531"/>
      <c r="F38" s="531"/>
      <c r="G38" s="53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7" t="s">
        <v>28</v>
      </c>
      <c r="C39" s="543"/>
      <c r="D39" s="543"/>
      <c r="E39" s="543"/>
      <c r="F39" s="543"/>
      <c r="G39" s="54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48" t="s">
        <v>17</v>
      </c>
      <c r="E41" s="545"/>
      <c r="F41" s="545"/>
      <c r="G41" s="545"/>
      <c r="H41" s="76" t="s">
        <v>12</v>
      </c>
      <c r="I41" s="77"/>
      <c r="J41" s="77"/>
      <c r="K41" s="78"/>
      <c r="L41" s="79">
        <f t="shared" ref="L41:N41" ca="1" si="34">L42+L43</f>
        <v>651800</v>
      </c>
      <c r="M41" s="79">
        <f t="shared" ca="1" si="34"/>
        <v>325900</v>
      </c>
      <c r="N41" s="79">
        <f t="shared" ca="1" si="34"/>
        <v>311442</v>
      </c>
      <c r="O41" s="78">
        <f t="shared" ref="O41:O43" ca="1" si="35">IF(L41&gt;0,N41*100/L41,0)</f>
        <v>47.781834918686712</v>
      </c>
      <c r="P41" s="78">
        <f t="shared" ref="P41:P43" ca="1" si="36">IF(M41&gt;0,N41*100/M41,0)</f>
        <v>95.563669837373425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651800</v>
      </c>
      <c r="M43" s="79">
        <f t="shared" ca="1" si="38"/>
        <v>325900</v>
      </c>
      <c r="N43" s="79">
        <f t="shared" ca="1" si="38"/>
        <v>311442</v>
      </c>
      <c r="O43" s="78">
        <f t="shared" ca="1" si="35"/>
        <v>47.781834918686712</v>
      </c>
      <c r="P43" s="78">
        <f t="shared" ca="1" si="36"/>
        <v>95.563669837373425</v>
      </c>
    </row>
    <row r="44" spans="1:16" ht="21.75" customHeight="1" x14ac:dyDescent="0.45">
      <c r="A44" s="80"/>
      <c r="B44" s="81"/>
      <c r="C44" s="82" t="s">
        <v>16</v>
      </c>
      <c r="D44" s="549" t="s">
        <v>20</v>
      </c>
      <c r="E44" s="545"/>
      <c r="F44" s="54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651800</v>
      </c>
      <c r="M45" s="91">
        <f ca="1">IFERROR(__xludf.DUMMYFUNCTION("IMPORTRANGE(""https://docs.google.com/spreadsheets/d/1Yj_ptqi66GCucihVvJfMjLAmec39IyEx_6qawtMGysU/edit?usp=sharing"",""สบก!Q81"")"),325900)</f>
        <v>325900</v>
      </c>
      <c r="N45" s="91">
        <f ca="1">IFERROR(__xludf.DUMMYFUNCTION("IMPORTRANGE(""https://docs.google.com/spreadsheets/d/1Yj_ptqi66GCucihVvJfMjLAmec39IyEx_6qawtMGysU/edit?usp=sharing"",""สบก!R81"")"),311442)</f>
        <v>311442</v>
      </c>
      <c r="O45" s="92">
        <f ca="1">IF(L45&gt;0,N45*100/L45,0)</f>
        <v>47.781834918686712</v>
      </c>
      <c r="P45" s="92">
        <f ca="1">IF(M45&gt;0,N45*100/M45,0)</f>
        <v>95.563669837373425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IFERROR(__xludf.DUMMYFUNCTION("IMPORTRANGE(""https://docs.google.com/spreadsheets/d/1Yj_ptqi66GCucihVvJfMjLAmec39IyEx_6qawtMGysU/edit?usp=sharing"",""สบก!M81"")"),651800)</f>
        <v>651800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IFERROR(__xludf.DUMMYFUNCTION("IMPORTRANGE(""https://docs.google.com/spreadsheets/d/1Yj_ptqi66GCucihVvJfMjLAmec39IyEx_6qawtMGysU/edit?usp=sharing"",""สบก!N81"")"),0)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49" t="s">
        <v>23</v>
      </c>
      <c r="E48" s="54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IFERROR(__xludf.DUMMYFUNCTION("IMPORTRANGE(""https://docs.google.com/spreadsheets/d/1Yj_ptqi66GCucihVvJfMjLAmec39IyEx_6qawtMGysU/edit?usp=sharing"",""สบก!O81"")"),0)</f>
        <v>0</v>
      </c>
      <c r="M49" s="101"/>
      <c r="N49" s="91">
        <f ca="1">IFERROR(__xludf.DUMMYFUNCTION("IMPORTRANGE(""https://docs.google.com/spreadsheets/d/1Yj_ptqi66GCucihVvJfMjLAmec39IyEx_6qawtMGysU/edit?usp=sharing"",""สบก!S81"")"),0)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0" t="s">
        <v>32</v>
      </c>
      <c r="C52" s="545"/>
      <c r="D52" s="545"/>
      <c r="E52" s="545"/>
      <c r="F52" s="545"/>
      <c r="G52" s="54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1" t="s">
        <v>17</v>
      </c>
      <c r="E53" s="545"/>
      <c r="F53" s="545"/>
      <c r="G53" s="545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314628</v>
      </c>
      <c r="N53" s="125">
        <f t="shared" ca="1" si="39"/>
        <v>278740</v>
      </c>
      <c r="O53" s="124">
        <f t="shared" ref="O53:O55" ca="1" si="40">IF(L53&gt;0,N53*100/L53,0)</f>
        <v>46.456666666666663</v>
      </c>
      <c r="P53" s="124">
        <f t="shared" ref="P53:P55" ca="1" si="41">IF(M53&gt;0,N53*100/M53,0)</f>
        <v>88.593513609723232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314628</v>
      </c>
      <c r="N55" s="125">
        <f t="shared" ca="1" si="43"/>
        <v>278740</v>
      </c>
      <c r="O55" s="124">
        <f t="shared" ca="1" si="40"/>
        <v>46.456666666666663</v>
      </c>
      <c r="P55" s="124">
        <f t="shared" ca="1" si="41"/>
        <v>88.593513609723232</v>
      </c>
    </row>
    <row r="56" spans="1:16" ht="21.75" customHeight="1" x14ac:dyDescent="0.45">
      <c r="A56" s="80"/>
      <c r="B56" s="81"/>
      <c r="C56" s="82" t="s">
        <v>16</v>
      </c>
      <c r="D56" s="549" t="s">
        <v>20</v>
      </c>
      <c r="E56" s="545"/>
      <c r="F56" s="54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600000</v>
      </c>
      <c r="M57" s="91">
        <f ca="1">IFERROR(__xludf.DUMMYFUNCTION("IMPORTRANGE(""https://docs.google.com/spreadsheets/d/1Yj_ptqi66GCucihVvJfMjLAmec39IyEx_6qawtMGysU/edit?usp=sharing"",""สบก!Z81"")"),314628)</f>
        <v>314628</v>
      </c>
      <c r="N57" s="91">
        <f ca="1">IFERROR(__xludf.DUMMYFUNCTION("IMPORTRANGE(""https://docs.google.com/spreadsheets/d/1Yj_ptqi66GCucihVvJfMjLAmec39IyEx_6qawtMGysU/edit?usp=sharing"",""สบก!AA81"")"),278740)</f>
        <v>278740</v>
      </c>
      <c r="O57" s="92">
        <f ca="1">IF(L57&gt;0,N57*100/L57,0)</f>
        <v>46.456666666666663</v>
      </c>
      <c r="P57" s="92">
        <f ca="1">IF(M57&gt;0,N57*100/M57,0)</f>
        <v>88.593513609723232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IFERROR(__xludf.DUMMYFUNCTION("IMPORTRANGE(""https://docs.google.com/spreadsheets/d/1Yj_ptqi66GCucihVvJfMjLAmec39IyEx_6qawtMGysU/edit?usp=sharing"",""สบก!V81"")"),600000)</f>
        <v>600000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IFERROR(__xludf.DUMMYFUNCTION("IMPORTRANGE(""https://docs.google.com/spreadsheets/d/1Yj_ptqi66GCucihVvJfMjLAmec39IyEx_6qawtMGysU/edit?usp=sharing"",""สบก!W81"")"),0)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49" t="s">
        <v>23</v>
      </c>
      <c r="E60" s="54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IFERROR(__xludf.DUMMYFUNCTION("IMPORTRANGE(""https://docs.google.com/spreadsheets/d/1Yj_ptqi66GCucihVvJfMjLAmec39IyEx_6qawtMGysU/edit?usp=sharing"",""สบก!X81"")"),0)</f>
        <v>0</v>
      </c>
      <c r="M61" s="101"/>
      <c r="N61" s="91">
        <f ca="1">IFERROR(__xludf.DUMMYFUNCTION("IMPORTRANGE(""https://docs.google.com/spreadsheets/d/1Yj_ptqi66GCucihVvJfMjLAmec39IyEx_6qawtMGysU/edit?usp=sharing"",""สบก!AB81"")"),0)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IFERROR(__xludf.DUMMYFUNCTION("IMPORTRANGE(""https://docs.google.com/spreadsheets/d/1IYY_tgx_IHuhSq3AJ5eI5OnqOPBNLWSHKh2a30DoXe8/edit?usp=sharing"",""กระบี่!I9"")"),1)</f>
        <v>1</v>
      </c>
      <c r="J64" s="146">
        <f ca="1">IFERROR(__xludf.DUMMYFUNCTION("IMPORTRANGE(""https://docs.google.com/spreadsheets/d/1IYY_tgx_IHuhSq3AJ5eI5OnqOPBNLWSHKh2a30DoXe8/edit?usp=sharing"",""กระบี่!J9"")"),1)</f>
        <v>1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IFERROR(__xludf.DUMMYFUNCTION("IMPORTRANGE(""https://docs.google.com/spreadsheets/d/1IYY_tgx_IHuhSq3AJ5eI5OnqOPBNLWSHKh2a30DoXe8/edit?usp=sharing"",""กระบี่!I10"")"),30)</f>
        <v>30</v>
      </c>
      <c r="J65" s="146">
        <f ca="1">IFERROR(__xludf.DUMMYFUNCTION("IMPORTRANGE(""https://docs.google.com/spreadsheets/d/1IYY_tgx_IHuhSq3AJ5eI5OnqOPBNLWSHKh2a30DoXe8/edit?usp=sharing"",""กระบี่!J10"")"),30)</f>
        <v>30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52" t="s">
        <v>17</v>
      </c>
      <c r="E66" s="543"/>
      <c r="F66" s="543"/>
      <c r="G66" s="543"/>
      <c r="H66" s="153" t="s">
        <v>12</v>
      </c>
      <c r="I66" s="154"/>
      <c r="J66" s="154"/>
      <c r="K66" s="155"/>
      <c r="L66" s="156">
        <f t="shared" ref="L66:N66" ca="1" si="45">L67+L68</f>
        <v>692200</v>
      </c>
      <c r="M66" s="156">
        <f t="shared" ca="1" si="45"/>
        <v>382720</v>
      </c>
      <c r="N66" s="156">
        <f t="shared" ca="1" si="45"/>
        <v>311040</v>
      </c>
      <c r="O66" s="155">
        <f t="shared" ref="O66:O68" ca="1" si="46">IF(L66&gt;0,N66*100/L66,0)</f>
        <v>44.934989887315808</v>
      </c>
      <c r="P66" s="155">
        <f t="shared" ref="P66:P68" ca="1" si="47">IF(M66&gt;0,N66*100/M66,0)</f>
        <v>81.27090301003345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692200</v>
      </c>
      <c r="M68" s="161">
        <f t="shared" ca="1" si="49"/>
        <v>382720</v>
      </c>
      <c r="N68" s="161">
        <f t="shared" ca="1" si="49"/>
        <v>311040</v>
      </c>
      <c r="O68" s="160">
        <f t="shared" ca="1" si="46"/>
        <v>44.934989887315808</v>
      </c>
      <c r="P68" s="160">
        <f t="shared" ca="1" si="47"/>
        <v>81.27090301003345</v>
      </c>
    </row>
    <row r="69" spans="1:16" ht="21.75" customHeight="1" x14ac:dyDescent="0.35">
      <c r="A69" s="162"/>
      <c r="B69" s="163"/>
      <c r="C69" s="163" t="s">
        <v>16</v>
      </c>
      <c r="D69" s="164" t="s">
        <v>38</v>
      </c>
      <c r="E69" s="165"/>
      <c r="F69" s="165"/>
      <c r="G69" s="166" t="s">
        <v>39</v>
      </c>
      <c r="H69" s="167" t="s">
        <v>12</v>
      </c>
      <c r="I69" s="168" t="s">
        <v>40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 x14ac:dyDescent="0.35">
      <c r="A70" s="162"/>
      <c r="B70" s="163"/>
      <c r="C70" s="163"/>
      <c r="D70" s="172"/>
      <c r="E70" s="165"/>
      <c r="F70" s="165" t="s">
        <v>40</v>
      </c>
      <c r="G70" s="166" t="s">
        <v>41</v>
      </c>
      <c r="H70" s="167" t="s">
        <v>12</v>
      </c>
      <c r="I70" s="168"/>
      <c r="J70" s="168"/>
      <c r="K70" s="169"/>
      <c r="L70" s="173">
        <f ca="1">L71+L72</f>
        <v>692200</v>
      </c>
      <c r="M70" s="174">
        <f ca="1">IFERROR(__xludf.DUMMYFUNCTION("IMPORTRANGE(""https://docs.google.com/spreadsheets/d/1Yj_ptqi66GCucihVvJfMjLAmec39IyEx_6qawtMGysU/edit?usp=sharing"",""สบก!AI81"")"),382720)</f>
        <v>382720</v>
      </c>
      <c r="N70" s="175">
        <f ca="1">IFERROR(__xludf.DUMMYFUNCTION("IMPORTRANGE(""https://docs.google.com/spreadsheets/d/1Yj_ptqi66GCucihVvJfMjLAmec39IyEx_6qawtMGysU/edit?usp=sharing"",""สบก!AJ81"")"),311040)</f>
        <v>311040</v>
      </c>
      <c r="O70" s="176">
        <f ca="1">IF(L70&gt;0,N70*100/L70,0)</f>
        <v>44.934989887315808</v>
      </c>
      <c r="P70" s="176">
        <f ca="1">IF(M70&gt;0,N70*100/M70,0)</f>
        <v>81.27090301003345</v>
      </c>
    </row>
    <row r="71" spans="1:16" ht="21.75" customHeight="1" x14ac:dyDescent="0.35">
      <c r="A71" s="162"/>
      <c r="B71" s="163"/>
      <c r="C71" s="163"/>
      <c r="D71" s="172"/>
      <c r="E71" s="165"/>
      <c r="F71" s="165"/>
      <c r="G71" s="177" t="s">
        <v>42</v>
      </c>
      <c r="H71" s="167" t="s">
        <v>12</v>
      </c>
      <c r="I71" s="168"/>
      <c r="J71" s="168"/>
      <c r="K71" s="169"/>
      <c r="L71" s="174">
        <f ca="1">IFERROR(__xludf.DUMMYFUNCTION("IMPORTRANGE(""https://docs.google.com/spreadsheets/d/1Yj_ptqi66GCucihVvJfMjLAmec39IyEx_6qawtMGysU/edit?usp=sharing"",""สบก!AE81"")"),320200)</f>
        <v>320200</v>
      </c>
      <c r="M71" s="173"/>
      <c r="N71" s="173"/>
      <c r="O71" s="176"/>
      <c r="P71" s="176"/>
    </row>
    <row r="72" spans="1:16" ht="21.75" customHeight="1" x14ac:dyDescent="0.35">
      <c r="A72" s="162"/>
      <c r="B72" s="163"/>
      <c r="C72" s="163"/>
      <c r="D72" s="172"/>
      <c r="E72" s="165"/>
      <c r="F72" s="165"/>
      <c r="G72" s="177" t="s">
        <v>43</v>
      </c>
      <c r="H72" s="167" t="s">
        <v>12</v>
      </c>
      <c r="I72" s="168"/>
      <c r="J72" s="168"/>
      <c r="K72" s="169"/>
      <c r="L72" s="174">
        <f ca="1">IFERROR(__xludf.DUMMYFUNCTION("IMPORTRANGE(""https://docs.google.com/spreadsheets/d/1Yj_ptqi66GCucihVvJfMjLAmec39IyEx_6qawtMGysU/edit?usp=sharing"",""สบก!AF81"")"),372000)</f>
        <v>372000</v>
      </c>
      <c r="M72" s="173"/>
      <c r="N72" s="173"/>
      <c r="O72" s="176"/>
      <c r="P72" s="176"/>
    </row>
    <row r="73" spans="1:16" ht="21.75" customHeight="1" x14ac:dyDescent="0.45">
      <c r="A73" s="178"/>
      <c r="B73" s="81"/>
      <c r="C73" s="82" t="s">
        <v>16</v>
      </c>
      <c r="D73" s="549" t="s">
        <v>23</v>
      </c>
      <c r="E73" s="545"/>
      <c r="F73" s="89"/>
      <c r="G73" s="83" t="s">
        <v>18</v>
      </c>
      <c r="H73" s="179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80"/>
      <c r="B74" s="95"/>
      <c r="C74" s="95"/>
      <c r="D74" s="181"/>
      <c r="E74" s="96"/>
      <c r="F74" s="96"/>
      <c r="G74" s="97" t="s">
        <v>19</v>
      </c>
      <c r="H74" s="182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IFERROR(__xludf.DUMMYFUNCTION("IMPORTRANGE(""https://docs.google.com/spreadsheets/d/1Yj_ptqi66GCucihVvJfMjLAmec39IyEx_6qawtMGysU/edit?usp=sharing"",""สบก!AG81"")"),0)</f>
        <v>0</v>
      </c>
      <c r="M74" s="101"/>
      <c r="N74" s="91">
        <f ca="1">IFERROR(__xludf.DUMMYFUNCTION("IMPORTRANGE(""https://docs.google.com/spreadsheets/d/1Yj_ptqi66GCucihVvJfMjLAmec39IyEx_6qawtMGysU/edit?usp=sharing"",""สบก!AK81"")"),0)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3"/>
      <c r="B75" s="184"/>
      <c r="C75" s="163" t="s">
        <v>16</v>
      </c>
      <c r="D75" s="185" t="s">
        <v>44</v>
      </c>
      <c r="E75" s="186"/>
      <c r="F75" s="186"/>
      <c r="G75" s="187"/>
      <c r="H75" s="188"/>
      <c r="I75" s="168"/>
      <c r="J75" s="168"/>
      <c r="K75" s="169"/>
      <c r="L75" s="189"/>
      <c r="M75" s="189"/>
      <c r="N75" s="189"/>
      <c r="O75" s="189"/>
      <c r="P75" s="189"/>
    </row>
    <row r="76" spans="1:16" ht="21.75" customHeight="1" x14ac:dyDescent="0.35">
      <c r="A76" s="183"/>
      <c r="B76" s="184"/>
      <c r="C76" s="184"/>
      <c r="D76" s="190">
        <v>1</v>
      </c>
      <c r="E76" s="191" t="s">
        <v>45</v>
      </c>
      <c r="F76" s="192"/>
      <c r="G76" s="193"/>
      <c r="H76" s="194"/>
      <c r="I76" s="195"/>
      <c r="J76" s="196">
        <f ca="1">IFERROR(__xludf.DUMMYFUNCTION("IMPORTRANGE(""https://docs.google.com/spreadsheets/d/1IYY_tgx_IHuhSq3AJ5eI5OnqOPBNLWSHKh2a30DoXe8/edit?usp=sharing"",""กระบี่!J16"")"),0)</f>
        <v>0</v>
      </c>
      <c r="K76" s="169"/>
      <c r="L76" s="189"/>
      <c r="M76" s="189"/>
      <c r="N76" s="189"/>
      <c r="O76" s="189"/>
      <c r="P76" s="189"/>
    </row>
    <row r="77" spans="1:16" ht="21.75" customHeight="1" x14ac:dyDescent="0.35">
      <c r="A77" s="183"/>
      <c r="B77" s="184"/>
      <c r="C77" s="184"/>
      <c r="D77" s="197">
        <v>2</v>
      </c>
      <c r="E77" s="198" t="s">
        <v>46</v>
      </c>
      <c r="F77" s="199"/>
      <c r="G77" s="200"/>
      <c r="H77" s="194"/>
      <c r="I77" s="195"/>
      <c r="J77" s="196">
        <f ca="1">IFERROR(__xludf.DUMMYFUNCTION("IMPORTRANGE(""https://docs.google.com/spreadsheets/d/1IYY_tgx_IHuhSq3AJ5eI5OnqOPBNLWSHKh2a30DoXe8/edit?usp=sharing"",""กระบี่!J17"")"),1)</f>
        <v>1</v>
      </c>
      <c r="K77" s="169"/>
      <c r="L77" s="189" t="s">
        <v>40</v>
      </c>
      <c r="M77" s="189"/>
      <c r="N77" s="189" t="s">
        <v>40</v>
      </c>
      <c r="O77" s="189"/>
      <c r="P77" s="189"/>
    </row>
    <row r="78" spans="1:16" ht="21.75" customHeight="1" x14ac:dyDescent="0.35">
      <c r="A78" s="183"/>
      <c r="B78" s="184"/>
      <c r="C78" s="184"/>
      <c r="D78" s="201"/>
      <c r="E78" s="202" t="s">
        <v>47</v>
      </c>
      <c r="F78" s="203"/>
      <c r="G78" s="204"/>
      <c r="H78" s="194"/>
      <c r="I78" s="195"/>
      <c r="J78" s="196">
        <f ca="1">IFERROR(__xludf.DUMMYFUNCTION("IMPORTRANGE(""https://docs.google.com/spreadsheets/d/1IYY_tgx_IHuhSq3AJ5eI5OnqOPBNLWSHKh2a30DoXe8/edit?usp=sharing"",""กระบี่!J18"")"),1)</f>
        <v>1</v>
      </c>
      <c r="K78" s="169"/>
      <c r="L78" s="189"/>
      <c r="M78" s="189"/>
      <c r="N78" s="189"/>
      <c r="O78" s="189"/>
      <c r="P78" s="189"/>
    </row>
    <row r="79" spans="1:16" ht="21.75" customHeight="1" x14ac:dyDescent="0.35">
      <c r="A79" s="183"/>
      <c r="B79" s="184"/>
      <c r="C79" s="184"/>
      <c r="D79" s="201"/>
      <c r="E79" s="202" t="s">
        <v>48</v>
      </c>
      <c r="F79" s="203"/>
      <c r="G79" s="204"/>
      <c r="H79" s="194"/>
      <c r="I79" s="195"/>
      <c r="J79" s="205">
        <f ca="1">IFERROR(__xludf.DUMMYFUNCTION("IMPORTRANGE(""https://docs.google.com/spreadsheets/d/1IYY_tgx_IHuhSq3AJ5eI5OnqOPBNLWSHKh2a30DoXe8/edit?usp=sharing"",""กระบี่!J19"")"),1)</f>
        <v>1</v>
      </c>
      <c r="K79" s="169"/>
      <c r="L79" s="189"/>
      <c r="M79" s="189"/>
      <c r="N79" s="189"/>
      <c r="O79" s="189"/>
      <c r="P79" s="189"/>
    </row>
    <row r="80" spans="1:16" ht="21.75" customHeight="1" x14ac:dyDescent="0.35">
      <c r="A80" s="183"/>
      <c r="B80" s="184"/>
      <c r="C80" s="184"/>
      <c r="D80" s="201"/>
      <c r="E80" s="206"/>
      <c r="F80" s="202" t="s">
        <v>49</v>
      </c>
      <c r="G80" s="203"/>
      <c r="H80" s="207" t="s">
        <v>36</v>
      </c>
      <c r="I80" s="208">
        <f ca="1">IFERROR(__xludf.DUMMYFUNCTION("IMPORTRANGE(""https://docs.google.com/spreadsheets/d/1IYY_tgx_IHuhSq3AJ5eI5OnqOPBNLWSHKh2a30DoXe8/edit?usp=sharing"",""กระบี่!I20"")"),1)</f>
        <v>1</v>
      </c>
      <c r="J80" s="208">
        <f ca="1">IFERROR(__xludf.DUMMYFUNCTION("IMPORTRANGE(""https://docs.google.com/spreadsheets/d/1IYY_tgx_IHuhSq3AJ5eI5OnqOPBNLWSHKh2a30DoXe8/edit?usp=sharing"",""กระบี่!J20"")"),1)</f>
        <v>1</v>
      </c>
      <c r="K80" s="209">
        <f t="shared" ref="K80:K88" ca="1" si="50">IF(I80&gt;0,J80*100/I80,0)</f>
        <v>100</v>
      </c>
      <c r="L80" s="189"/>
      <c r="M80" s="189"/>
      <c r="N80" s="189"/>
      <c r="O80" s="189"/>
      <c r="P80" s="189"/>
    </row>
    <row r="81" spans="1:16" ht="21.75" customHeight="1" x14ac:dyDescent="0.35">
      <c r="A81" s="183"/>
      <c r="B81" s="184"/>
      <c r="C81" s="184"/>
      <c r="D81" s="201"/>
      <c r="E81" s="206"/>
      <c r="F81" s="203"/>
      <c r="G81" s="204"/>
      <c r="H81" s="207" t="s">
        <v>37</v>
      </c>
      <c r="I81" s="208">
        <f ca="1">IFERROR(__xludf.DUMMYFUNCTION("IMPORTRANGE(""https://docs.google.com/spreadsheets/d/1IYY_tgx_IHuhSq3AJ5eI5OnqOPBNLWSHKh2a30DoXe8/edit?usp=sharing"",""กระบี่!I21"")"),30)</f>
        <v>30</v>
      </c>
      <c r="J81" s="208">
        <f ca="1">IFERROR(__xludf.DUMMYFUNCTION("IMPORTRANGE(""https://docs.google.com/spreadsheets/d/1IYY_tgx_IHuhSq3AJ5eI5OnqOPBNLWSHKh2a30DoXe8/edit?usp=sharing"",""กระบี่!J21"")"),30)</f>
        <v>30</v>
      </c>
      <c r="K81" s="209">
        <f t="shared" ca="1" si="50"/>
        <v>100</v>
      </c>
      <c r="L81" s="189"/>
      <c r="M81" s="189"/>
      <c r="N81" s="189"/>
      <c r="O81" s="189"/>
      <c r="P81" s="189"/>
    </row>
    <row r="82" spans="1:16" ht="21.75" customHeight="1" x14ac:dyDescent="0.35">
      <c r="A82" s="183"/>
      <c r="B82" s="184"/>
      <c r="C82" s="184"/>
      <c r="D82" s="201"/>
      <c r="E82" s="206"/>
      <c r="F82" s="203"/>
      <c r="G82" s="203" t="s">
        <v>50</v>
      </c>
      <c r="H82" s="188" t="s">
        <v>36</v>
      </c>
      <c r="I82" s="210">
        <f ca="1">IFERROR(__xludf.DUMMYFUNCTION("IMPORTRANGE(""https://docs.google.com/spreadsheets/d/1IYY_tgx_IHuhSq3AJ5eI5OnqOPBNLWSHKh2a30DoXe8/edit?usp=sharing"",""กระบี่!I22"")"),0)</f>
        <v>0</v>
      </c>
      <c r="J82" s="211">
        <f ca="1">IFERROR(__xludf.DUMMYFUNCTION("IMPORTRANGE(""https://docs.google.com/spreadsheets/d/1IYY_tgx_IHuhSq3AJ5eI5OnqOPBNLWSHKh2a30DoXe8/edit?usp=sharing"",""กระบี่!J22"")"),0)</f>
        <v>0</v>
      </c>
      <c r="K82" s="169">
        <f t="shared" ca="1" si="50"/>
        <v>0</v>
      </c>
      <c r="L82" s="189"/>
      <c r="M82" s="189"/>
      <c r="N82" s="189"/>
      <c r="O82" s="189"/>
      <c r="P82" s="189"/>
    </row>
    <row r="83" spans="1:16" ht="21.75" customHeight="1" x14ac:dyDescent="0.35">
      <c r="A83" s="183"/>
      <c r="B83" s="184"/>
      <c r="C83" s="184"/>
      <c r="D83" s="201"/>
      <c r="E83" s="206"/>
      <c r="F83" s="203"/>
      <c r="G83" s="204"/>
      <c r="H83" s="188" t="s">
        <v>37</v>
      </c>
      <c r="I83" s="210">
        <f ca="1">IFERROR(__xludf.DUMMYFUNCTION("IMPORTRANGE(""https://docs.google.com/spreadsheets/d/1IYY_tgx_IHuhSq3AJ5eI5OnqOPBNLWSHKh2a30DoXe8/edit?usp=sharing"",""กระบี่!I23"")"),0)</f>
        <v>0</v>
      </c>
      <c r="J83" s="211">
        <f ca="1">IFERROR(__xludf.DUMMYFUNCTION("IMPORTRANGE(""https://docs.google.com/spreadsheets/d/1IYY_tgx_IHuhSq3AJ5eI5OnqOPBNLWSHKh2a30DoXe8/edit?usp=sharing"",""กระบี่!J23"")"),0)</f>
        <v>0</v>
      </c>
      <c r="K83" s="169">
        <f t="shared" ca="1" si="50"/>
        <v>0</v>
      </c>
      <c r="L83" s="189"/>
      <c r="M83" s="189"/>
      <c r="N83" s="189"/>
      <c r="O83" s="189"/>
      <c r="P83" s="189"/>
    </row>
    <row r="84" spans="1:16" ht="21.75" customHeight="1" x14ac:dyDescent="0.35">
      <c r="A84" s="183"/>
      <c r="B84" s="184"/>
      <c r="C84" s="184"/>
      <c r="D84" s="201"/>
      <c r="E84" s="206"/>
      <c r="F84" s="203"/>
      <c r="G84" s="203" t="s">
        <v>51</v>
      </c>
      <c r="H84" s="188" t="s">
        <v>36</v>
      </c>
      <c r="I84" s="210">
        <f ca="1">IFERROR(__xludf.DUMMYFUNCTION("IMPORTRANGE(""https://docs.google.com/spreadsheets/d/1IYY_tgx_IHuhSq3AJ5eI5OnqOPBNLWSHKh2a30DoXe8/edit?usp=sharing"",""กระบี่!I24"")"),1)</f>
        <v>1</v>
      </c>
      <c r="J84" s="196">
        <f ca="1">IFERROR(__xludf.DUMMYFUNCTION("IMPORTRANGE(""https://docs.google.com/spreadsheets/d/1IYY_tgx_IHuhSq3AJ5eI5OnqOPBNLWSHKh2a30DoXe8/edit?usp=sharing"",""กระบี่!J24"")"),1)</f>
        <v>1</v>
      </c>
      <c r="K84" s="169">
        <f t="shared" ca="1" si="50"/>
        <v>100</v>
      </c>
      <c r="L84" s="189"/>
      <c r="M84" s="189"/>
      <c r="N84" s="189"/>
      <c r="O84" s="189"/>
      <c r="P84" s="189"/>
    </row>
    <row r="85" spans="1:16" ht="21.75" customHeight="1" x14ac:dyDescent="0.35">
      <c r="A85" s="183"/>
      <c r="B85" s="184"/>
      <c r="C85" s="184"/>
      <c r="D85" s="201"/>
      <c r="E85" s="206"/>
      <c r="F85" s="203"/>
      <c r="G85" s="204"/>
      <c r="H85" s="188" t="s">
        <v>37</v>
      </c>
      <c r="I85" s="210">
        <f ca="1">IFERROR(__xludf.DUMMYFUNCTION("IMPORTRANGE(""https://docs.google.com/spreadsheets/d/1IYY_tgx_IHuhSq3AJ5eI5OnqOPBNLWSHKh2a30DoXe8/edit?usp=sharing"",""กระบี่!I25"")"),30)</f>
        <v>30</v>
      </c>
      <c r="J85" s="196">
        <f ca="1">IFERROR(__xludf.DUMMYFUNCTION("IMPORTRANGE(""https://docs.google.com/spreadsheets/d/1IYY_tgx_IHuhSq3AJ5eI5OnqOPBNLWSHKh2a30DoXe8/edit?usp=sharing"",""กระบี่!J25"")"),30)</f>
        <v>30</v>
      </c>
      <c r="K85" s="169">
        <f t="shared" ca="1" si="50"/>
        <v>100</v>
      </c>
      <c r="L85" s="189"/>
      <c r="M85" s="189"/>
      <c r="N85" s="189"/>
      <c r="O85" s="189"/>
      <c r="P85" s="189"/>
    </row>
    <row r="86" spans="1:16" ht="21.75" customHeight="1" x14ac:dyDescent="0.35">
      <c r="A86" s="183"/>
      <c r="B86" s="184"/>
      <c r="C86" s="184"/>
      <c r="D86" s="201"/>
      <c r="E86" s="206"/>
      <c r="F86" s="203"/>
      <c r="G86" s="203" t="s">
        <v>52</v>
      </c>
      <c r="H86" s="188" t="s">
        <v>36</v>
      </c>
      <c r="I86" s="210">
        <f ca="1">IFERROR(__xludf.DUMMYFUNCTION("IMPORTRANGE(""https://docs.google.com/spreadsheets/d/1IYY_tgx_IHuhSq3AJ5eI5OnqOPBNLWSHKh2a30DoXe8/edit?usp=sharing"",""กระบี่!I26"")"),0)</f>
        <v>0</v>
      </c>
      <c r="J86" s="211">
        <f ca="1">IFERROR(__xludf.DUMMYFUNCTION("IMPORTRANGE(""https://docs.google.com/spreadsheets/d/1IYY_tgx_IHuhSq3AJ5eI5OnqOPBNLWSHKh2a30DoXe8/edit?usp=sharing"",""กระบี่!J26"")"),0)</f>
        <v>0</v>
      </c>
      <c r="K86" s="169">
        <f t="shared" ca="1" si="50"/>
        <v>0</v>
      </c>
      <c r="L86" s="189"/>
      <c r="M86" s="189"/>
      <c r="N86" s="189"/>
      <c r="O86" s="189"/>
      <c r="P86" s="189"/>
    </row>
    <row r="87" spans="1:16" ht="21.75" customHeight="1" x14ac:dyDescent="0.35">
      <c r="A87" s="183"/>
      <c r="B87" s="184"/>
      <c r="C87" s="184"/>
      <c r="D87" s="201"/>
      <c r="E87" s="206"/>
      <c r="F87" s="203"/>
      <c r="G87" s="204"/>
      <c r="H87" s="188" t="s">
        <v>37</v>
      </c>
      <c r="I87" s="210">
        <f ca="1">IFERROR(__xludf.DUMMYFUNCTION("IMPORTRANGE(""https://docs.google.com/spreadsheets/d/1IYY_tgx_IHuhSq3AJ5eI5OnqOPBNLWSHKh2a30DoXe8/edit?usp=sharing"",""กระบี่!I27"")"),0)</f>
        <v>0</v>
      </c>
      <c r="J87" s="211">
        <f ca="1">IFERROR(__xludf.DUMMYFUNCTION("IMPORTRANGE(""https://docs.google.com/spreadsheets/d/1IYY_tgx_IHuhSq3AJ5eI5OnqOPBNLWSHKh2a30DoXe8/edit?usp=sharing"",""กระบี่!J27"")"),0)</f>
        <v>0</v>
      </c>
      <c r="K87" s="169">
        <f t="shared" ca="1" si="50"/>
        <v>0</v>
      </c>
      <c r="L87" s="189"/>
      <c r="M87" s="189"/>
      <c r="N87" s="189"/>
      <c r="O87" s="189"/>
      <c r="P87" s="189"/>
    </row>
    <row r="88" spans="1:16" ht="21.75" customHeight="1" x14ac:dyDescent="0.35">
      <c r="A88" s="183"/>
      <c r="B88" s="184"/>
      <c r="C88" s="184"/>
      <c r="D88" s="201"/>
      <c r="E88" s="206"/>
      <c r="F88" s="212" t="s">
        <v>53</v>
      </c>
      <c r="G88" s="203"/>
      <c r="H88" s="188" t="s">
        <v>37</v>
      </c>
      <c r="I88" s="210">
        <f ca="1">IFERROR(__xludf.DUMMYFUNCTION("IMPORTRANGE(""https://docs.google.com/spreadsheets/d/1IYY_tgx_IHuhSq3AJ5eI5OnqOPBNLWSHKh2a30DoXe8/edit?usp=sharing"",""กระบี่!I28"")"),0)</f>
        <v>0</v>
      </c>
      <c r="J88" s="211">
        <f ca="1">IFERROR(__xludf.DUMMYFUNCTION("IMPORTRANGE(""https://docs.google.com/spreadsheets/d/1IYY_tgx_IHuhSq3AJ5eI5OnqOPBNLWSHKh2a30DoXe8/edit?usp=sharing"",""กระบี่!J28"")"),0)</f>
        <v>0</v>
      </c>
      <c r="K88" s="169">
        <f t="shared" ca="1" si="50"/>
        <v>0</v>
      </c>
      <c r="L88" s="189"/>
      <c r="M88" s="189"/>
      <c r="N88" s="189"/>
      <c r="O88" s="189"/>
      <c r="P88" s="189"/>
    </row>
    <row r="89" spans="1:16" ht="21.75" customHeight="1" x14ac:dyDescent="0.35">
      <c r="A89" s="183"/>
      <c r="B89" s="184"/>
      <c r="C89" s="184"/>
      <c r="D89" s="201"/>
      <c r="E89" s="202" t="s">
        <v>54</v>
      </c>
      <c r="F89" s="203"/>
      <c r="G89" s="204"/>
      <c r="H89" s="194"/>
      <c r="I89" s="195"/>
      <c r="J89" s="205">
        <f ca="1">IFERROR(__xludf.DUMMYFUNCTION("IMPORTRANGE(""https://docs.google.com/spreadsheets/d/1IYY_tgx_IHuhSq3AJ5eI5OnqOPBNLWSHKh2a30DoXe8/edit?usp=sharing"",""กระบี่!J29"")"),0)</f>
        <v>0</v>
      </c>
      <c r="K89" s="169"/>
      <c r="L89" s="189"/>
      <c r="M89" s="189"/>
      <c r="N89" s="189"/>
      <c r="O89" s="189"/>
      <c r="P89" s="189"/>
    </row>
    <row r="90" spans="1:16" ht="21.75" customHeight="1" x14ac:dyDescent="0.35">
      <c r="A90" s="183"/>
      <c r="B90" s="184"/>
      <c r="C90" s="184"/>
      <c r="D90" s="213">
        <v>3</v>
      </c>
      <c r="E90" s="214" t="s">
        <v>55</v>
      </c>
      <c r="F90" s="215"/>
      <c r="G90" s="216"/>
      <c r="H90" s="194"/>
      <c r="I90" s="195"/>
      <c r="J90" s="217">
        <f ca="1">IFERROR(__xludf.DUMMYFUNCTION("IMPORTRANGE(""https://docs.google.com/spreadsheets/d/1IYY_tgx_IHuhSq3AJ5eI5OnqOPBNLWSHKh2a30DoXe8/edit?usp=sharing"",""กระบี่!J30"")"),0)</f>
        <v>0</v>
      </c>
      <c r="K90" s="169"/>
      <c r="L90" s="189"/>
      <c r="M90" s="189"/>
      <c r="N90" s="189"/>
      <c r="O90" s="189"/>
      <c r="P90" s="189"/>
    </row>
    <row r="91" spans="1:16" ht="21.75" customHeight="1" x14ac:dyDescent="0.35">
      <c r="A91" s="218" t="s">
        <v>56</v>
      </c>
      <c r="B91" s="219"/>
      <c r="C91" s="220"/>
      <c r="D91" s="219"/>
      <c r="E91" s="221"/>
      <c r="F91" s="221"/>
      <c r="G91" s="222"/>
      <c r="H91" s="223"/>
      <c r="I91" s="224"/>
      <c r="J91" s="224"/>
      <c r="K91" s="225"/>
      <c r="L91" s="226"/>
      <c r="M91" s="226"/>
      <c r="N91" s="226"/>
      <c r="O91" s="227"/>
      <c r="P91" s="227"/>
    </row>
    <row r="92" spans="1:16" ht="21.75" customHeight="1" x14ac:dyDescent="0.35">
      <c r="A92" s="142"/>
      <c r="B92" s="143" t="s">
        <v>57</v>
      </c>
      <c r="C92" s="143"/>
      <c r="D92" s="144"/>
      <c r="E92" s="143"/>
      <c r="F92" s="143"/>
      <c r="G92" s="228"/>
      <c r="H92" s="145" t="s">
        <v>37</v>
      </c>
      <c r="I92" s="146">
        <f ca="1">IFERROR(__xludf.DUMMYFUNCTION("IMPORTRANGE(""https://docs.google.com/spreadsheets/d/1IYY_tgx_IHuhSq3AJ5eI5OnqOPBNLWSHKh2a30DoXe8/edit?usp=sharing"",""กระบี่!I32"")"),0)</f>
        <v>0</v>
      </c>
      <c r="J92" s="146">
        <f ca="1">IFERROR(__xludf.DUMMYFUNCTION("IMPORTRANGE(""https://docs.google.com/spreadsheets/d/1IYY_tgx_IHuhSq3AJ5eI5OnqOPBNLWSHKh2a30DoXe8/edit?usp=sharing"",""กระบี่!J32"")"),0)</f>
        <v>0</v>
      </c>
      <c r="K92" s="147">
        <f t="shared" ref="K92:K93" ca="1" si="51">IF(I92&gt;0,J92*100/I92,0)</f>
        <v>0</v>
      </c>
      <c r="L92" s="229"/>
      <c r="M92" s="229"/>
      <c r="N92" s="230"/>
      <c r="O92" s="147"/>
      <c r="P92" s="147"/>
    </row>
    <row r="93" spans="1:16" ht="21.75" customHeight="1" x14ac:dyDescent="0.35">
      <c r="A93" s="142"/>
      <c r="B93" s="143"/>
      <c r="C93" s="143"/>
      <c r="D93" s="144" t="s">
        <v>58</v>
      </c>
      <c r="E93" s="143"/>
      <c r="F93" s="143"/>
      <c r="G93" s="228"/>
      <c r="H93" s="145" t="s">
        <v>59</v>
      </c>
      <c r="I93" s="146">
        <f ca="1">IFERROR(__xludf.DUMMYFUNCTION("IMPORTRANGE(""https://docs.google.com/spreadsheets/d/1IYY_tgx_IHuhSq3AJ5eI5OnqOPBNLWSHKh2a30DoXe8/edit?usp=sharing"",""กระบี่!I33"")"),0)</f>
        <v>0</v>
      </c>
      <c r="J93" s="146">
        <f ca="1">IFERROR(__xludf.DUMMYFUNCTION("IMPORTRANGE(""https://docs.google.com/spreadsheets/d/1IYY_tgx_IHuhSq3AJ5eI5OnqOPBNLWSHKh2a30DoXe8/edit?usp=sharing"",""กระบี่!J33"")"),0)</f>
        <v>0</v>
      </c>
      <c r="K93" s="147">
        <f t="shared" ca="1" si="51"/>
        <v>0</v>
      </c>
      <c r="L93" s="230"/>
      <c r="M93" s="230"/>
      <c r="N93" s="230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52" t="s">
        <v>17</v>
      </c>
      <c r="E94" s="543"/>
      <c r="F94" s="543"/>
      <c r="G94" s="543"/>
      <c r="H94" s="153" t="s">
        <v>12</v>
      </c>
      <c r="I94" s="168"/>
      <c r="J94" s="168"/>
      <c r="K94" s="169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8"/>
      <c r="J95" s="168"/>
      <c r="K95" s="169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8"/>
      <c r="J96" s="168"/>
      <c r="K96" s="169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5">
      <c r="A97" s="162"/>
      <c r="B97" s="163"/>
      <c r="C97" s="163" t="s">
        <v>16</v>
      </c>
      <c r="D97" s="164" t="s">
        <v>38</v>
      </c>
      <c r="E97" s="165"/>
      <c r="F97" s="165"/>
      <c r="G97" s="166" t="s">
        <v>39</v>
      </c>
      <c r="H97" s="167" t="s">
        <v>12</v>
      </c>
      <c r="I97" s="168" t="s">
        <v>40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 x14ac:dyDescent="0.35">
      <c r="A98" s="162"/>
      <c r="B98" s="163"/>
      <c r="C98" s="163"/>
      <c r="D98" s="172"/>
      <c r="E98" s="165"/>
      <c r="F98" s="165" t="s">
        <v>40</v>
      </c>
      <c r="G98" s="166" t="s">
        <v>41</v>
      </c>
      <c r="H98" s="167" t="s">
        <v>12</v>
      </c>
      <c r="I98" s="168"/>
      <c r="J98" s="168"/>
      <c r="K98" s="169"/>
      <c r="L98" s="173">
        <f ca="1">L99+L100</f>
        <v>0</v>
      </c>
      <c r="M98" s="174">
        <f ca="1">IFERROR(__xludf.DUMMYFUNCTION("IMPORTRANGE(""https://docs.google.com/spreadsheets/d/1Yj_ptqi66GCucihVvJfMjLAmec39IyEx_6qawtMGysU/edit?usp=sharing"",""สบก!AR81"")"),0)</f>
        <v>0</v>
      </c>
      <c r="N98" s="175">
        <f ca="1">IFERROR(__xludf.DUMMYFUNCTION("IMPORTRANGE(""https://docs.google.com/spreadsheets/d/1Yj_ptqi66GCucihVvJfMjLAmec39IyEx_6qawtMGysU/edit?usp=sharing"",""สบก!AS81"")"),0)</f>
        <v>0</v>
      </c>
      <c r="O98" s="176">
        <f ca="1">IF(L98&gt;0,N98*100/L98,0)</f>
        <v>0</v>
      </c>
      <c r="P98" s="176">
        <f ca="1">IF(M98&gt;0,N98*100/M98,0)</f>
        <v>0</v>
      </c>
    </row>
    <row r="99" spans="1:16" ht="21.75" customHeight="1" x14ac:dyDescent="0.35">
      <c r="A99" s="162"/>
      <c r="B99" s="163"/>
      <c r="C99" s="163"/>
      <c r="D99" s="172"/>
      <c r="E99" s="165"/>
      <c r="F99" s="165"/>
      <c r="G99" s="177" t="s">
        <v>42</v>
      </c>
      <c r="H99" s="167" t="s">
        <v>12</v>
      </c>
      <c r="I99" s="168"/>
      <c r="J99" s="168"/>
      <c r="K99" s="169"/>
      <c r="L99" s="174">
        <f ca="1">IFERROR(__xludf.DUMMYFUNCTION("IMPORTRANGE(""https://docs.google.com/spreadsheets/d/1Yj_ptqi66GCucihVvJfMjLAmec39IyEx_6qawtMGysU/edit?usp=sharing"",""สบก!AN81"")"),0)</f>
        <v>0</v>
      </c>
      <c r="M99" s="173"/>
      <c r="N99" s="173"/>
      <c r="O99" s="176"/>
      <c r="P99" s="176"/>
    </row>
    <row r="100" spans="1:16" ht="21.75" customHeight="1" x14ac:dyDescent="0.35">
      <c r="A100" s="162"/>
      <c r="B100" s="163"/>
      <c r="C100" s="163"/>
      <c r="D100" s="172"/>
      <c r="E100" s="165"/>
      <c r="F100" s="165"/>
      <c r="G100" s="177" t="s">
        <v>43</v>
      </c>
      <c r="H100" s="167" t="s">
        <v>12</v>
      </c>
      <c r="I100" s="168"/>
      <c r="J100" s="195"/>
      <c r="K100" s="231"/>
      <c r="L100" s="174">
        <f ca="1">IFERROR(__xludf.DUMMYFUNCTION("IMPORTRANGE(""https://docs.google.com/spreadsheets/d/1Yj_ptqi66GCucihVvJfMjLAmec39IyEx_6qawtMGysU/edit?usp=sharing"",""สบก!AO81"")"),0)</f>
        <v>0</v>
      </c>
      <c r="M100" s="173"/>
      <c r="N100" s="173"/>
      <c r="O100" s="176"/>
      <c r="P100" s="176"/>
    </row>
    <row r="101" spans="1:16" ht="21.75" customHeight="1" x14ac:dyDescent="0.45">
      <c r="A101" s="178"/>
      <c r="B101" s="81"/>
      <c r="C101" s="82" t="s">
        <v>16</v>
      </c>
      <c r="D101" s="549" t="s">
        <v>23</v>
      </c>
      <c r="E101" s="545"/>
      <c r="F101" s="89"/>
      <c r="G101" s="83" t="s">
        <v>18</v>
      </c>
      <c r="H101" s="179" t="s">
        <v>12</v>
      </c>
      <c r="I101" s="195"/>
      <c r="J101" s="195"/>
      <c r="K101" s="231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80"/>
      <c r="B102" s="95"/>
      <c r="C102" s="95"/>
      <c r="D102" s="181"/>
      <c r="E102" s="96"/>
      <c r="F102" s="96"/>
      <c r="G102" s="97" t="s">
        <v>19</v>
      </c>
      <c r="H102" s="182" t="s">
        <v>12</v>
      </c>
      <c r="I102" s="195"/>
      <c r="J102" s="195"/>
      <c r="K102" s="231"/>
      <c r="L102" s="91">
        <f ca="1">IFERROR(__xludf.DUMMYFUNCTION("IMPORTRANGE(""https://docs.google.com/spreadsheets/d/1Yj_ptqi66GCucihVvJfMjLAmec39IyEx_6qawtMGysU/edit?usp=sharing"",""สบก!AP81"")"),0)</f>
        <v>0</v>
      </c>
      <c r="M102" s="101"/>
      <c r="N102" s="91">
        <f ca="1">IFERROR(__xludf.DUMMYFUNCTION("IMPORTRANGE(""https://docs.google.com/spreadsheets/d/1Yj_ptqi66GCucihVvJfMjLAmec39IyEx_6qawtMGysU/edit?usp=sharing"",""สบก!AT81"")"),0)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3"/>
      <c r="B103" s="184"/>
      <c r="C103" s="163" t="s">
        <v>16</v>
      </c>
      <c r="D103" s="185" t="s">
        <v>44</v>
      </c>
      <c r="E103" s="186"/>
      <c r="F103" s="186"/>
      <c r="G103" s="187"/>
      <c r="H103" s="188"/>
      <c r="I103" s="168"/>
      <c r="J103" s="195"/>
      <c r="K103" s="231"/>
      <c r="L103" s="176"/>
      <c r="M103" s="176"/>
      <c r="N103" s="176"/>
      <c r="O103" s="189"/>
      <c r="P103" s="189"/>
    </row>
    <row r="104" spans="1:16" ht="21.75" customHeight="1" x14ac:dyDescent="0.35">
      <c r="A104" s="183"/>
      <c r="B104" s="184"/>
      <c r="C104" s="184"/>
      <c r="D104" s="190">
        <v>1</v>
      </c>
      <c r="E104" s="191" t="s">
        <v>45</v>
      </c>
      <c r="F104" s="192"/>
      <c r="G104" s="193"/>
      <c r="H104" s="194"/>
      <c r="I104" s="195"/>
      <c r="J104" s="195">
        <f ca="1">IFERROR(__xludf.DUMMYFUNCTION("IMPORTRANGE(""https://docs.google.com/spreadsheets/d/1IYY_tgx_IHuhSq3AJ5eI5OnqOPBNLWSHKh2a30DoXe8/edit?usp=sharing"",""กระบี่!J39"")"),0)</f>
        <v>0</v>
      </c>
      <c r="K104" s="231"/>
      <c r="L104" s="176"/>
      <c r="M104" s="176"/>
      <c r="N104" s="176"/>
      <c r="O104" s="189"/>
      <c r="P104" s="189"/>
    </row>
    <row r="105" spans="1:16" ht="21.75" customHeight="1" x14ac:dyDescent="0.35">
      <c r="A105" s="183"/>
      <c r="B105" s="184"/>
      <c r="C105" s="184"/>
      <c r="D105" s="197">
        <v>2</v>
      </c>
      <c r="E105" s="198" t="s">
        <v>46</v>
      </c>
      <c r="F105" s="199"/>
      <c r="G105" s="200"/>
      <c r="H105" s="194"/>
      <c r="I105" s="195"/>
      <c r="J105" s="195">
        <f ca="1">IFERROR(__xludf.DUMMYFUNCTION("IMPORTRANGE(""https://docs.google.com/spreadsheets/d/1IYY_tgx_IHuhSq3AJ5eI5OnqOPBNLWSHKh2a30DoXe8/edit?usp=sharing"",""กระบี่!J40"")"),0)</f>
        <v>0</v>
      </c>
      <c r="K105" s="231"/>
      <c r="L105" s="176" t="s">
        <v>40</v>
      </c>
      <c r="M105" s="176"/>
      <c r="N105" s="176" t="s">
        <v>40</v>
      </c>
      <c r="O105" s="189"/>
      <c r="P105" s="189"/>
    </row>
    <row r="106" spans="1:16" ht="21.75" customHeight="1" x14ac:dyDescent="0.35">
      <c r="A106" s="183"/>
      <c r="B106" s="184"/>
      <c r="C106" s="184"/>
      <c r="D106" s="201"/>
      <c r="E106" s="202" t="s">
        <v>47</v>
      </c>
      <c r="F106" s="203"/>
      <c r="G106" s="204"/>
      <c r="H106" s="194"/>
      <c r="I106" s="195"/>
      <c r="J106" s="195">
        <f ca="1">IFERROR(__xludf.DUMMYFUNCTION("IMPORTRANGE(""https://docs.google.com/spreadsheets/d/1IYY_tgx_IHuhSq3AJ5eI5OnqOPBNLWSHKh2a30DoXe8/edit?usp=sharing"",""กระบี่!J41"")"),0)</f>
        <v>0</v>
      </c>
      <c r="K106" s="231"/>
      <c r="L106" s="176"/>
      <c r="M106" s="176"/>
      <c r="N106" s="176"/>
      <c r="O106" s="189"/>
      <c r="P106" s="189"/>
    </row>
    <row r="107" spans="1:16" ht="21.75" customHeight="1" x14ac:dyDescent="0.35">
      <c r="A107" s="183"/>
      <c r="B107" s="184"/>
      <c r="C107" s="184"/>
      <c r="D107" s="201"/>
      <c r="E107" s="202" t="s">
        <v>48</v>
      </c>
      <c r="F107" s="203"/>
      <c r="G107" s="204"/>
      <c r="H107" s="194"/>
      <c r="I107" s="195"/>
      <c r="J107" s="195">
        <f ca="1">IFERROR(__xludf.DUMMYFUNCTION("IMPORTRANGE(""https://docs.google.com/spreadsheets/d/1IYY_tgx_IHuhSq3AJ5eI5OnqOPBNLWSHKh2a30DoXe8/edit?usp=sharing"",""กระบี่!J42"")"),0)</f>
        <v>0</v>
      </c>
      <c r="K107" s="231"/>
      <c r="L107" s="176"/>
      <c r="M107" s="176"/>
      <c r="N107" s="176"/>
      <c r="O107" s="189"/>
      <c r="P107" s="189"/>
    </row>
    <row r="108" spans="1:16" ht="21.75" customHeight="1" x14ac:dyDescent="0.35">
      <c r="A108" s="183"/>
      <c r="B108" s="184"/>
      <c r="C108" s="184"/>
      <c r="D108" s="201"/>
      <c r="E108" s="203"/>
      <c r="F108" s="203" t="s">
        <v>60</v>
      </c>
      <c r="G108" s="203"/>
      <c r="H108" s="188" t="s">
        <v>61</v>
      </c>
      <c r="I108" s="210">
        <f ca="1">IFERROR(__xludf.DUMMYFUNCTION("IMPORTRANGE(""https://docs.google.com/spreadsheets/d/1IYY_tgx_IHuhSq3AJ5eI5OnqOPBNLWSHKh2a30DoXe8/edit?usp=sharing"",""กระบี่!I43"")"),0)</f>
        <v>0</v>
      </c>
      <c r="J108" s="211">
        <f ca="1">IFERROR(__xludf.DUMMYFUNCTION("IMPORTRANGE(""https://docs.google.com/spreadsheets/d/1IYY_tgx_IHuhSq3AJ5eI5OnqOPBNLWSHKh2a30DoXe8/edit?usp=sharing"",""กระบี่!J43"")"),0)</f>
        <v>0</v>
      </c>
      <c r="K108" s="231">
        <f t="shared" ref="K108:K113" ca="1" si="57">IF(I108&gt;0,J108*100/I108,0)</f>
        <v>0</v>
      </c>
      <c r="L108" s="176"/>
      <c r="M108" s="176"/>
      <c r="N108" s="176"/>
      <c r="O108" s="189"/>
      <c r="P108" s="189"/>
    </row>
    <row r="109" spans="1:16" ht="21.75" customHeight="1" x14ac:dyDescent="0.35">
      <c r="A109" s="183"/>
      <c r="B109" s="184"/>
      <c r="C109" s="184"/>
      <c r="D109" s="201"/>
      <c r="E109" s="206"/>
      <c r="F109" s="202" t="s">
        <v>62</v>
      </c>
      <c r="G109" s="203"/>
      <c r="H109" s="188" t="s">
        <v>37</v>
      </c>
      <c r="I109" s="210">
        <f ca="1">IFERROR(__xludf.DUMMYFUNCTION("IMPORTRANGE(""https://docs.google.com/spreadsheets/d/1IYY_tgx_IHuhSq3AJ5eI5OnqOPBNLWSHKh2a30DoXe8/edit?usp=sharing"",""กระบี่!I44"")"),0)</f>
        <v>0</v>
      </c>
      <c r="J109" s="211">
        <f ca="1">IFERROR(__xludf.DUMMYFUNCTION("IMPORTRANGE(""https://docs.google.com/spreadsheets/d/1IYY_tgx_IHuhSq3AJ5eI5OnqOPBNLWSHKh2a30DoXe8/edit?usp=sharing"",""กระบี่!J44"")"),0)</f>
        <v>0</v>
      </c>
      <c r="K109" s="231">
        <f t="shared" ca="1" si="57"/>
        <v>0</v>
      </c>
      <c r="L109" s="176"/>
      <c r="M109" s="176"/>
      <c r="N109" s="176"/>
      <c r="O109" s="189"/>
      <c r="P109" s="189"/>
    </row>
    <row r="110" spans="1:16" ht="21.75" customHeight="1" x14ac:dyDescent="0.35">
      <c r="A110" s="183"/>
      <c r="B110" s="184"/>
      <c r="C110" s="184"/>
      <c r="D110" s="201"/>
      <c r="E110" s="206"/>
      <c r="F110" s="203"/>
      <c r="G110" s="232" t="s">
        <v>63</v>
      </c>
      <c r="H110" s="188" t="s">
        <v>37</v>
      </c>
      <c r="I110" s="210">
        <f ca="1">IFERROR(__xludf.DUMMYFUNCTION("IMPORTRANGE(""https://docs.google.com/spreadsheets/d/1IYY_tgx_IHuhSq3AJ5eI5OnqOPBNLWSHKh2a30DoXe8/edit?usp=sharing"",""กระบี่!I45"")"),0)</f>
        <v>0</v>
      </c>
      <c r="J110" s="211">
        <f ca="1">IFERROR(__xludf.DUMMYFUNCTION("IMPORTRANGE(""https://docs.google.com/spreadsheets/d/1IYY_tgx_IHuhSq3AJ5eI5OnqOPBNLWSHKh2a30DoXe8/edit?usp=sharing"",""กระบี่!J45"")"),0)</f>
        <v>0</v>
      </c>
      <c r="K110" s="231">
        <f t="shared" ca="1" si="57"/>
        <v>0</v>
      </c>
      <c r="L110" s="176"/>
      <c r="M110" s="176"/>
      <c r="N110" s="176"/>
      <c r="O110" s="189"/>
      <c r="P110" s="189"/>
    </row>
    <row r="111" spans="1:16" ht="21.75" customHeight="1" x14ac:dyDescent="0.35">
      <c r="A111" s="183"/>
      <c r="B111" s="184"/>
      <c r="C111" s="184"/>
      <c r="D111" s="201"/>
      <c r="E111" s="206"/>
      <c r="F111" s="203"/>
      <c r="G111" s="232" t="s">
        <v>64</v>
      </c>
      <c r="H111" s="188" t="s">
        <v>37</v>
      </c>
      <c r="I111" s="210">
        <f ca="1">IFERROR(__xludf.DUMMYFUNCTION("IMPORTRANGE(""https://docs.google.com/spreadsheets/d/1IYY_tgx_IHuhSq3AJ5eI5OnqOPBNLWSHKh2a30DoXe8/edit?usp=sharing"",""กระบี่!I46"")"),0)</f>
        <v>0</v>
      </c>
      <c r="J111" s="211">
        <f ca="1">IFERROR(__xludf.DUMMYFUNCTION("IMPORTRANGE(""https://docs.google.com/spreadsheets/d/1IYY_tgx_IHuhSq3AJ5eI5OnqOPBNLWSHKh2a30DoXe8/edit?usp=sharing"",""กระบี่!J46"")"),0)</f>
        <v>0</v>
      </c>
      <c r="K111" s="231">
        <f t="shared" ca="1" si="57"/>
        <v>0</v>
      </c>
      <c r="L111" s="176"/>
      <c r="M111" s="176"/>
      <c r="N111" s="176"/>
      <c r="O111" s="189"/>
      <c r="P111" s="189"/>
    </row>
    <row r="112" spans="1:16" ht="21.75" customHeight="1" x14ac:dyDescent="0.35">
      <c r="A112" s="183"/>
      <c r="B112" s="184"/>
      <c r="C112" s="184"/>
      <c r="D112" s="201"/>
      <c r="E112" s="206"/>
      <c r="F112" s="203"/>
      <c r="G112" s="233" t="s">
        <v>65</v>
      </c>
      <c r="H112" s="188" t="s">
        <v>37</v>
      </c>
      <c r="I112" s="210">
        <f ca="1">IFERROR(__xludf.DUMMYFUNCTION("IMPORTRANGE(""https://docs.google.com/spreadsheets/d/1IYY_tgx_IHuhSq3AJ5eI5OnqOPBNLWSHKh2a30DoXe8/edit?usp=sharing"",""กระบี่!I47"")"),0)</f>
        <v>0</v>
      </c>
      <c r="J112" s="211">
        <f ca="1">IFERROR(__xludf.DUMMYFUNCTION("IMPORTRANGE(""https://docs.google.com/spreadsheets/d/1IYY_tgx_IHuhSq3AJ5eI5OnqOPBNLWSHKh2a30DoXe8/edit?usp=sharing"",""กระบี่!J47"")"),0)</f>
        <v>0</v>
      </c>
      <c r="K112" s="231">
        <f t="shared" ca="1" si="57"/>
        <v>0</v>
      </c>
      <c r="L112" s="176"/>
      <c r="M112" s="176"/>
      <c r="N112" s="176"/>
      <c r="O112" s="189"/>
      <c r="P112" s="189"/>
    </row>
    <row r="113" spans="1:16" ht="21.75" customHeight="1" x14ac:dyDescent="0.35">
      <c r="A113" s="183"/>
      <c r="B113" s="184"/>
      <c r="C113" s="184"/>
      <c r="D113" s="201"/>
      <c r="E113" s="206"/>
      <c r="F113" s="203" t="s">
        <v>66</v>
      </c>
      <c r="G113" s="203"/>
      <c r="H113" s="188" t="s">
        <v>59</v>
      </c>
      <c r="I113" s="210">
        <f ca="1">IFERROR(__xludf.DUMMYFUNCTION("IMPORTRANGE(""https://docs.google.com/spreadsheets/d/1IYY_tgx_IHuhSq3AJ5eI5OnqOPBNLWSHKh2a30DoXe8/edit?usp=sharing"",""กระบี่!I48"")"),0)</f>
        <v>0</v>
      </c>
      <c r="J113" s="211">
        <f ca="1">IFERROR(__xludf.DUMMYFUNCTION("IMPORTRANGE(""https://docs.google.com/spreadsheets/d/1IYY_tgx_IHuhSq3AJ5eI5OnqOPBNLWSHKh2a30DoXe8/edit?usp=sharing"",""กระบี่!J48"")"),0)</f>
        <v>0</v>
      </c>
      <c r="K113" s="231">
        <f t="shared" ca="1" si="57"/>
        <v>0</v>
      </c>
      <c r="L113" s="176"/>
      <c r="M113" s="176"/>
      <c r="N113" s="176"/>
      <c r="O113" s="189"/>
      <c r="P113" s="189"/>
    </row>
    <row r="114" spans="1:16" ht="21.75" customHeight="1" x14ac:dyDescent="0.35">
      <c r="A114" s="183"/>
      <c r="B114" s="184"/>
      <c r="C114" s="184"/>
      <c r="D114" s="201"/>
      <c r="E114" s="202" t="s">
        <v>54</v>
      </c>
      <c r="F114" s="203"/>
      <c r="G114" s="204"/>
      <c r="H114" s="194"/>
      <c r="I114" s="195"/>
      <c r="J114" s="195">
        <f ca="1">IFERROR(__xludf.DUMMYFUNCTION("IMPORTRANGE(""https://docs.google.com/spreadsheets/d/1IYY_tgx_IHuhSq3AJ5eI5OnqOPBNLWSHKh2a30DoXe8/edit?usp=sharing"",""กระบี่!J49"")"),0)</f>
        <v>0</v>
      </c>
      <c r="K114" s="231"/>
      <c r="L114" s="176"/>
      <c r="M114" s="176"/>
      <c r="N114" s="176"/>
      <c r="O114" s="189"/>
      <c r="P114" s="189"/>
    </row>
    <row r="115" spans="1:16" ht="21.75" customHeight="1" x14ac:dyDescent="0.35">
      <c r="A115" s="183"/>
      <c r="B115" s="184"/>
      <c r="C115" s="184"/>
      <c r="D115" s="213">
        <v>3</v>
      </c>
      <c r="E115" s="214" t="s">
        <v>55</v>
      </c>
      <c r="F115" s="215"/>
      <c r="G115" s="216"/>
      <c r="H115" s="194"/>
      <c r="I115" s="195"/>
      <c r="J115" s="234">
        <f ca="1">IFERROR(__xludf.DUMMYFUNCTION("IMPORTRANGE(""https://docs.google.com/spreadsheets/d/1IYY_tgx_IHuhSq3AJ5eI5OnqOPBNLWSHKh2a30DoXe8/edit?usp=sharing"",""กระบี่!J50"")"),0)</f>
        <v>0</v>
      </c>
      <c r="K115" s="231"/>
      <c r="L115" s="176"/>
      <c r="M115" s="176"/>
      <c r="N115" s="176"/>
      <c r="O115" s="189"/>
      <c r="P115" s="189"/>
    </row>
    <row r="116" spans="1:16" ht="21.75" customHeight="1" x14ac:dyDescent="0.35">
      <c r="A116" s="218" t="s">
        <v>67</v>
      </c>
      <c r="B116" s="235"/>
      <c r="C116" s="236"/>
      <c r="D116" s="235"/>
      <c r="E116" s="237"/>
      <c r="F116" s="237"/>
      <c r="G116" s="238"/>
      <c r="H116" s="223"/>
      <c r="I116" s="224"/>
      <c r="J116" s="224"/>
      <c r="K116" s="225"/>
      <c r="L116" s="226"/>
      <c r="M116" s="226"/>
      <c r="N116" s="226"/>
      <c r="O116" s="227"/>
      <c r="P116" s="227"/>
    </row>
    <row r="117" spans="1:16" ht="21.75" customHeight="1" x14ac:dyDescent="0.35">
      <c r="A117" s="142"/>
      <c r="B117" s="143" t="s">
        <v>68</v>
      </c>
      <c r="C117" s="239"/>
      <c r="D117" s="144"/>
      <c r="E117" s="143"/>
      <c r="F117" s="143"/>
      <c r="G117" s="228"/>
      <c r="H117" s="145" t="s">
        <v>37</v>
      </c>
      <c r="I117" s="146">
        <f ca="1">IFERROR(__xludf.DUMMYFUNCTION("IMPORTRANGE(""https://docs.google.com/spreadsheets/d/1IYY_tgx_IHuhSq3AJ5eI5OnqOPBNLWSHKh2a30DoXe8/edit?usp=sharing"",""กระบี่!I52"")"),0)</f>
        <v>0</v>
      </c>
      <c r="J117" s="146">
        <f ca="1">IFERROR(__xludf.DUMMYFUNCTION("IMPORTRANGE(""https://docs.google.com/spreadsheets/d/1IYY_tgx_IHuhSq3AJ5eI5OnqOPBNLWSHKh2a30DoXe8/edit?usp=sharing"",""กระบี่!J52"")"),0)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52" t="s">
        <v>17</v>
      </c>
      <c r="E118" s="543"/>
      <c r="F118" s="543"/>
      <c r="G118" s="543"/>
      <c r="H118" s="153" t="s">
        <v>12</v>
      </c>
      <c r="I118" s="168"/>
      <c r="J118" s="168"/>
      <c r="K118" s="169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8"/>
      <c r="J119" s="168"/>
      <c r="K119" s="169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8"/>
      <c r="J120" s="168"/>
      <c r="K120" s="169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5">
      <c r="A121" s="162"/>
      <c r="B121" s="163"/>
      <c r="C121" s="163" t="s">
        <v>16</v>
      </c>
      <c r="D121" s="164" t="s">
        <v>38</v>
      </c>
      <c r="E121" s="165"/>
      <c r="F121" s="165"/>
      <c r="G121" s="166" t="s">
        <v>39</v>
      </c>
      <c r="H121" s="167" t="s">
        <v>12</v>
      </c>
      <c r="I121" s="168" t="s">
        <v>40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 x14ac:dyDescent="0.35">
      <c r="A122" s="162"/>
      <c r="B122" s="163"/>
      <c r="C122" s="163"/>
      <c r="D122" s="172"/>
      <c r="E122" s="165"/>
      <c r="F122" s="165" t="s">
        <v>40</v>
      </c>
      <c r="G122" s="166" t="s">
        <v>41</v>
      </c>
      <c r="H122" s="167" t="s">
        <v>12</v>
      </c>
      <c r="I122" s="168"/>
      <c r="J122" s="168"/>
      <c r="K122" s="169"/>
      <c r="L122" s="173">
        <f ca="1">L123+L124</f>
        <v>0</v>
      </c>
      <c r="M122" s="174">
        <f ca="1">IFERROR(__xludf.DUMMYFUNCTION("IMPORTRANGE(""https://docs.google.com/spreadsheets/d/1Yj_ptqi66GCucihVvJfMjLAmec39IyEx_6qawtMGysU/edit?usp=sharing"",""สบก!BA81"")"),0)</f>
        <v>0</v>
      </c>
      <c r="N122" s="175">
        <f ca="1">IFERROR(__xludf.DUMMYFUNCTION("IMPORTRANGE(""https://docs.google.com/spreadsheets/d/1Yj_ptqi66GCucihVvJfMjLAmec39IyEx_6qawtMGysU/edit?usp=sharing"",""สบก!BB81"")"),0)</f>
        <v>0</v>
      </c>
      <c r="O122" s="176">
        <f ca="1">IF(L122&gt;0,N122*100/L122,0)</f>
        <v>0</v>
      </c>
      <c r="P122" s="176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2"/>
      <c r="E123" s="165"/>
      <c r="F123" s="165"/>
      <c r="G123" s="177" t="s">
        <v>42</v>
      </c>
      <c r="H123" s="167" t="s">
        <v>12</v>
      </c>
      <c r="I123" s="168"/>
      <c r="J123" s="168"/>
      <c r="K123" s="169"/>
      <c r="L123" s="174">
        <f ca="1">IFERROR(__xludf.DUMMYFUNCTION("IMPORTRANGE(""https://docs.google.com/spreadsheets/d/1Yj_ptqi66GCucihVvJfMjLAmec39IyEx_6qawtMGysU/edit?usp=sharing"",""สบก!AW81"")"),0)</f>
        <v>0</v>
      </c>
      <c r="M123" s="173"/>
      <c r="N123" s="173"/>
      <c r="O123" s="176"/>
      <c r="P123" s="176"/>
    </row>
    <row r="124" spans="1:16" ht="21.75" customHeight="1" x14ac:dyDescent="0.35">
      <c r="A124" s="162"/>
      <c r="B124" s="163"/>
      <c r="C124" s="163"/>
      <c r="D124" s="172"/>
      <c r="E124" s="165"/>
      <c r="F124" s="165"/>
      <c r="G124" s="177" t="s">
        <v>43</v>
      </c>
      <c r="H124" s="167" t="s">
        <v>12</v>
      </c>
      <c r="I124" s="168"/>
      <c r="J124" s="195"/>
      <c r="K124" s="231"/>
      <c r="L124" s="174">
        <f ca="1">IFERROR(__xludf.DUMMYFUNCTION("IMPORTRANGE(""https://docs.google.com/spreadsheets/d/1Yj_ptqi66GCucihVvJfMjLAmec39IyEx_6qawtMGysU/edit?usp=sharing"",""สบก!AX81"")"),0)</f>
        <v>0</v>
      </c>
      <c r="M124" s="173"/>
      <c r="N124" s="173"/>
      <c r="O124" s="176"/>
      <c r="P124" s="176"/>
    </row>
    <row r="125" spans="1:16" ht="21.75" customHeight="1" x14ac:dyDescent="0.45">
      <c r="A125" s="178"/>
      <c r="B125" s="81"/>
      <c r="C125" s="82" t="s">
        <v>16</v>
      </c>
      <c r="D125" s="549" t="s">
        <v>23</v>
      </c>
      <c r="E125" s="545"/>
      <c r="F125" s="89"/>
      <c r="G125" s="83" t="s">
        <v>18</v>
      </c>
      <c r="H125" s="179" t="s">
        <v>12</v>
      </c>
      <c r="I125" s="195"/>
      <c r="J125" s="195"/>
      <c r="K125" s="231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80"/>
      <c r="B126" s="95"/>
      <c r="C126" s="95"/>
      <c r="D126" s="181"/>
      <c r="E126" s="96"/>
      <c r="F126" s="96"/>
      <c r="G126" s="97" t="s">
        <v>19</v>
      </c>
      <c r="H126" s="182" t="s">
        <v>12</v>
      </c>
      <c r="I126" s="195"/>
      <c r="J126" s="195"/>
      <c r="K126" s="231"/>
      <c r="L126" s="91">
        <f ca="1">IFERROR(__xludf.DUMMYFUNCTION("IMPORTRANGE(""https://docs.google.com/spreadsheets/d/1Yj_ptqi66GCucihVvJfMjLAmec39IyEx_6qawtMGysU/edit?usp=sharing"",""สบก!AY81"")"),0)</f>
        <v>0</v>
      </c>
      <c r="M126" s="101"/>
      <c r="N126" s="91">
        <f ca="1">IFERROR(__xludf.DUMMYFUNCTION("IMPORTRANGE(""https://docs.google.com/spreadsheets/d/1Yj_ptqi66GCucihVvJfMjLAmec39IyEx_6qawtMGysU/edit?usp=sharing"",""สบก!BC81"")"),0)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3"/>
      <c r="B127" s="184"/>
      <c r="C127" s="163" t="s">
        <v>16</v>
      </c>
      <c r="D127" s="240" t="s">
        <v>239</v>
      </c>
      <c r="E127" s="186"/>
      <c r="F127" s="186"/>
      <c r="G127" s="187"/>
      <c r="H127" s="188"/>
      <c r="I127" s="168"/>
      <c r="J127" s="195"/>
      <c r="K127" s="231"/>
      <c r="L127" s="176"/>
      <c r="M127" s="176"/>
      <c r="N127" s="176"/>
      <c r="O127" s="189"/>
      <c r="P127" s="189"/>
    </row>
    <row r="128" spans="1:16" ht="21.75" customHeight="1" x14ac:dyDescent="0.35">
      <c r="A128" s="183"/>
      <c r="B128" s="184"/>
      <c r="C128" s="184"/>
      <c r="D128" s="190">
        <v>1</v>
      </c>
      <c r="E128" s="191" t="s">
        <v>45</v>
      </c>
      <c r="F128" s="192"/>
      <c r="G128" s="193"/>
      <c r="H128" s="194"/>
      <c r="I128" s="195"/>
      <c r="J128" s="211">
        <f ca="1">IFERROR(__xludf.DUMMYFUNCTION("IMPORTRANGE(""https://docs.google.com/spreadsheets/d/1IYY_tgx_IHuhSq3AJ5eI5OnqOPBNLWSHKh2a30DoXe8/edit?usp=sharing"",""กระบี่!J58"")"),0)</f>
        <v>0</v>
      </c>
      <c r="K128" s="231"/>
      <c r="L128" s="176"/>
      <c r="M128" s="176"/>
      <c r="N128" s="176"/>
      <c r="O128" s="189"/>
      <c r="P128" s="189"/>
    </row>
    <row r="129" spans="1:16" ht="21.75" customHeight="1" x14ac:dyDescent="0.35">
      <c r="A129" s="183"/>
      <c r="B129" s="184"/>
      <c r="C129" s="184"/>
      <c r="D129" s="197">
        <v>2</v>
      </c>
      <c r="E129" s="198" t="s">
        <v>46</v>
      </c>
      <c r="F129" s="199"/>
      <c r="G129" s="200"/>
      <c r="H129" s="194"/>
      <c r="I129" s="195"/>
      <c r="J129" s="195">
        <f ca="1">IFERROR(__xludf.DUMMYFUNCTION("IMPORTRANGE(""https://docs.google.com/spreadsheets/d/1IYY_tgx_IHuhSq3AJ5eI5OnqOPBNLWSHKh2a30DoXe8/edit?usp=sharing"",""กระบี่!J59"")"),0)</f>
        <v>0</v>
      </c>
      <c r="K129" s="231"/>
      <c r="L129" s="176" t="s">
        <v>40</v>
      </c>
      <c r="M129" s="176"/>
      <c r="N129" s="176" t="s">
        <v>40</v>
      </c>
      <c r="O129" s="189"/>
      <c r="P129" s="189"/>
    </row>
    <row r="130" spans="1:16" ht="21.75" customHeight="1" x14ac:dyDescent="0.35">
      <c r="A130" s="183"/>
      <c r="B130" s="184"/>
      <c r="C130" s="184"/>
      <c r="D130" s="201"/>
      <c r="E130" s="202" t="s">
        <v>47</v>
      </c>
      <c r="F130" s="203"/>
      <c r="G130" s="204"/>
      <c r="H130" s="194"/>
      <c r="I130" s="195"/>
      <c r="J130" s="195">
        <f ca="1">IFERROR(__xludf.DUMMYFUNCTION("IMPORTRANGE(""https://docs.google.com/spreadsheets/d/1IYY_tgx_IHuhSq3AJ5eI5OnqOPBNLWSHKh2a30DoXe8/edit?usp=sharing"",""กระบี่!J60"")"),0)</f>
        <v>0</v>
      </c>
      <c r="K130" s="231"/>
      <c r="L130" s="176"/>
      <c r="M130" s="176"/>
      <c r="N130" s="176"/>
      <c r="O130" s="189"/>
      <c r="P130" s="189"/>
    </row>
    <row r="131" spans="1:16" ht="21.75" customHeight="1" x14ac:dyDescent="0.35">
      <c r="A131" s="183"/>
      <c r="B131" s="184"/>
      <c r="C131" s="184"/>
      <c r="D131" s="201"/>
      <c r="E131" s="202" t="s">
        <v>48</v>
      </c>
      <c r="F131" s="203"/>
      <c r="G131" s="204"/>
      <c r="H131" s="194"/>
      <c r="I131" s="195"/>
      <c r="J131" s="195">
        <f ca="1">IFERROR(__xludf.DUMMYFUNCTION("IMPORTRANGE(""https://docs.google.com/spreadsheets/d/1IYY_tgx_IHuhSq3AJ5eI5OnqOPBNLWSHKh2a30DoXe8/edit?usp=sharing"",""กระบี่!J61"")"),0)</f>
        <v>0</v>
      </c>
      <c r="K131" s="231"/>
      <c r="L131" s="176"/>
      <c r="M131" s="176"/>
      <c r="N131" s="176"/>
      <c r="O131" s="189"/>
      <c r="P131" s="189"/>
    </row>
    <row r="132" spans="1:16" ht="21.75" customHeight="1" x14ac:dyDescent="0.35">
      <c r="A132" s="183"/>
      <c r="B132" s="184"/>
      <c r="C132" s="184"/>
      <c r="D132" s="201"/>
      <c r="E132" s="206"/>
      <c r="F132" s="202" t="s">
        <v>70</v>
      </c>
      <c r="G132" s="204"/>
      <c r="H132" s="188" t="s">
        <v>37</v>
      </c>
      <c r="I132" s="195">
        <f ca="1">IFERROR(__xludf.DUMMYFUNCTION("IMPORTRANGE(""https://docs.google.com/spreadsheets/d/1IYY_tgx_IHuhSq3AJ5eI5OnqOPBNLWSHKh2a30DoXe8/edit?usp=sharing"",""กระบี่!I62"")"),0)</f>
        <v>0</v>
      </c>
      <c r="J132" s="211">
        <f ca="1">IFERROR(__xludf.DUMMYFUNCTION("IMPORTRANGE(""https://docs.google.com/spreadsheets/d/1IYY_tgx_IHuhSq3AJ5eI5OnqOPBNLWSHKh2a30DoXe8/edit?usp=sharing"",""กระบี่!J62"")"),0)</f>
        <v>0</v>
      </c>
      <c r="K132" s="231">
        <f t="shared" ref="K132:K133" ca="1" si="63">IF(I132&gt;0,J132*100/I132,0)</f>
        <v>0</v>
      </c>
      <c r="L132" s="176"/>
      <c r="M132" s="176"/>
      <c r="N132" s="176"/>
      <c r="O132" s="189"/>
      <c r="P132" s="189"/>
    </row>
    <row r="133" spans="1:16" ht="21.75" customHeight="1" x14ac:dyDescent="0.35">
      <c r="A133" s="183"/>
      <c r="B133" s="184"/>
      <c r="C133" s="184"/>
      <c r="D133" s="201"/>
      <c r="E133" s="206"/>
      <c r="F133" s="202" t="s">
        <v>71</v>
      </c>
      <c r="G133" s="204"/>
      <c r="H133" s="188" t="s">
        <v>37</v>
      </c>
      <c r="I133" s="195">
        <f ca="1">IFERROR(__xludf.DUMMYFUNCTION("IMPORTRANGE(""https://docs.google.com/spreadsheets/d/1IYY_tgx_IHuhSq3AJ5eI5OnqOPBNLWSHKh2a30DoXe8/edit?usp=sharing"",""กระบี่!I63"")"),0)</f>
        <v>0</v>
      </c>
      <c r="J133" s="211">
        <f ca="1">IFERROR(__xludf.DUMMYFUNCTION("IMPORTRANGE(""https://docs.google.com/spreadsheets/d/1IYY_tgx_IHuhSq3AJ5eI5OnqOPBNLWSHKh2a30DoXe8/edit?usp=sharing"",""กระบี่!J63"")"),0)</f>
        <v>0</v>
      </c>
      <c r="K133" s="231">
        <f t="shared" ca="1" si="63"/>
        <v>0</v>
      </c>
      <c r="L133" s="176"/>
      <c r="M133" s="176"/>
      <c r="N133" s="176"/>
      <c r="O133" s="189"/>
      <c r="P133" s="189"/>
    </row>
    <row r="134" spans="1:16" ht="21.75" customHeight="1" x14ac:dyDescent="0.35">
      <c r="A134" s="183"/>
      <c r="B134" s="184"/>
      <c r="C134" s="184"/>
      <c r="D134" s="201"/>
      <c r="E134" s="202" t="s">
        <v>54</v>
      </c>
      <c r="F134" s="203"/>
      <c r="G134" s="204"/>
      <c r="H134" s="194"/>
      <c r="I134" s="195"/>
      <c r="J134" s="195">
        <f ca="1">IFERROR(__xludf.DUMMYFUNCTION("IMPORTRANGE(""https://docs.google.com/spreadsheets/d/1IYY_tgx_IHuhSq3AJ5eI5OnqOPBNLWSHKh2a30DoXe8/edit?usp=sharing"",""กระบี่!J64"")"),0)</f>
        <v>0</v>
      </c>
      <c r="K134" s="231"/>
      <c r="L134" s="176"/>
      <c r="M134" s="176"/>
      <c r="N134" s="176"/>
      <c r="O134" s="189"/>
      <c r="P134" s="189"/>
    </row>
    <row r="135" spans="1:16" ht="21.75" customHeight="1" x14ac:dyDescent="0.35">
      <c r="A135" s="241"/>
      <c r="B135" s="242"/>
      <c r="C135" s="242"/>
      <c r="D135" s="243">
        <v>3</v>
      </c>
      <c r="E135" s="244" t="s">
        <v>55</v>
      </c>
      <c r="F135" s="245"/>
      <c r="G135" s="246"/>
      <c r="H135" s="247"/>
      <c r="I135" s="248"/>
      <c r="J135" s="249">
        <f ca="1">IFERROR(__xludf.DUMMYFUNCTION("IMPORTRANGE(""https://docs.google.com/spreadsheets/d/1IYY_tgx_IHuhSq3AJ5eI5OnqOPBNLWSHKh2a30DoXe8/edit?usp=sharing"",""กระบี่!J65"")"),0)</f>
        <v>0</v>
      </c>
      <c r="K135" s="250"/>
      <c r="L135" s="251"/>
      <c r="M135" s="251"/>
      <c r="N135" s="251"/>
      <c r="O135" s="252"/>
      <c r="P135" s="252"/>
    </row>
    <row r="136" spans="1:16" ht="21.75" customHeight="1" x14ac:dyDescent="0.35">
      <c r="A136" s="253" t="s">
        <v>72</v>
      </c>
      <c r="B136" s="254"/>
      <c r="C136" s="254"/>
      <c r="D136" s="254"/>
      <c r="E136" s="255"/>
      <c r="F136" s="255"/>
      <c r="G136" s="256"/>
      <c r="H136" s="257"/>
      <c r="I136" s="258"/>
      <c r="J136" s="258"/>
      <c r="K136" s="259"/>
      <c r="L136" s="260"/>
      <c r="M136" s="260"/>
      <c r="N136" s="260"/>
      <c r="O136" s="260"/>
      <c r="P136" s="260"/>
    </row>
    <row r="137" spans="1:16" ht="21.75" customHeight="1" x14ac:dyDescent="0.35">
      <c r="A137" s="261" t="s">
        <v>73</v>
      </c>
      <c r="B137" s="262"/>
      <c r="C137" s="262"/>
      <c r="D137" s="263"/>
      <c r="E137" s="263"/>
      <c r="F137" s="263"/>
      <c r="G137" s="264"/>
      <c r="H137" s="265"/>
      <c r="I137" s="266"/>
      <c r="J137" s="266"/>
      <c r="K137" s="267"/>
      <c r="L137" s="267"/>
      <c r="M137" s="267"/>
      <c r="N137" s="267"/>
      <c r="O137" s="268"/>
      <c r="P137" s="268"/>
    </row>
    <row r="138" spans="1:16" ht="21.75" customHeight="1" x14ac:dyDescent="0.35">
      <c r="A138" s="269"/>
      <c r="B138" s="270" t="s">
        <v>74</v>
      </c>
      <c r="C138" s="271"/>
      <c r="D138" s="270"/>
      <c r="E138" s="270"/>
      <c r="F138" s="270"/>
      <c r="G138" s="272"/>
      <c r="H138" s="273" t="s">
        <v>37</v>
      </c>
      <c r="I138" s="274">
        <f ca="1">IFERROR(__xludf.DUMMYFUNCTION("IMPORTRANGE(""https://docs.google.com/spreadsheets/d/1IYY_tgx_IHuhSq3AJ5eI5OnqOPBNLWSHKh2a30DoXe8/edit?usp=sharing"",""กระบี่!I68"")"),15)</f>
        <v>15</v>
      </c>
      <c r="J138" s="274">
        <f ca="1">IFERROR(__xludf.DUMMYFUNCTION("IMPORTRANGE(""https://docs.google.com/spreadsheets/d/1IYY_tgx_IHuhSq3AJ5eI5OnqOPBNLWSHKh2a30DoXe8/edit?usp=sharing"",""กระบี่!J68"")"),15)</f>
        <v>15</v>
      </c>
      <c r="K138" s="275">
        <f ca="1">IF(I138&gt;0,J138*100/I138,0)</f>
        <v>100</v>
      </c>
      <c r="L138" s="276"/>
      <c r="M138" s="276"/>
      <c r="N138" s="276"/>
      <c r="O138" s="275"/>
      <c r="P138" s="275"/>
    </row>
    <row r="139" spans="1:16" ht="21.75" customHeight="1" x14ac:dyDescent="0.35">
      <c r="A139" s="269"/>
      <c r="B139" s="270" t="s">
        <v>75</v>
      </c>
      <c r="C139" s="271"/>
      <c r="D139" s="270"/>
      <c r="E139" s="270"/>
      <c r="F139" s="270"/>
      <c r="G139" s="272"/>
      <c r="H139" s="273"/>
      <c r="I139" s="274"/>
      <c r="J139" s="274"/>
      <c r="K139" s="275"/>
      <c r="L139" s="276"/>
      <c r="M139" s="276"/>
      <c r="N139" s="276"/>
      <c r="O139" s="275"/>
      <c r="P139" s="275"/>
    </row>
    <row r="140" spans="1:16" ht="21.75" customHeight="1" x14ac:dyDescent="0.45">
      <c r="A140" s="150"/>
      <c r="B140" s="151"/>
      <c r="C140" s="152" t="s">
        <v>16</v>
      </c>
      <c r="D140" s="552" t="s">
        <v>17</v>
      </c>
      <c r="E140" s="543"/>
      <c r="F140" s="543"/>
      <c r="G140" s="543"/>
      <c r="H140" s="153" t="s">
        <v>12</v>
      </c>
      <c r="I140" s="168"/>
      <c r="J140" s="168"/>
      <c r="K140" s="169"/>
      <c r="L140" s="156">
        <f t="shared" ref="L140:N140" ca="1" si="64">L141+L142</f>
        <v>70000</v>
      </c>
      <c r="M140" s="156">
        <f t="shared" ca="1" si="64"/>
        <v>54750</v>
      </c>
      <c r="N140" s="156">
        <f t="shared" ca="1" si="64"/>
        <v>42462</v>
      </c>
      <c r="O140" s="155">
        <f t="shared" ref="O140:O142" ca="1" si="65">IF(L140&gt;0,N140*100/L140,0)</f>
        <v>60.66</v>
      </c>
      <c r="P140" s="155">
        <f t="shared" ref="P140:P142" ca="1" si="66">IF(M140&gt;0,N140*100/M140,0)</f>
        <v>77.556164383561651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8"/>
      <c r="J141" s="168"/>
      <c r="K141" s="169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8"/>
      <c r="J142" s="168"/>
      <c r="K142" s="169"/>
      <c r="L142" s="161">
        <f t="shared" ref="L142:N142" ca="1" si="68">L144+L148</f>
        <v>70000</v>
      </c>
      <c r="M142" s="161">
        <f t="shared" ca="1" si="68"/>
        <v>54750</v>
      </c>
      <c r="N142" s="161">
        <f t="shared" ca="1" si="68"/>
        <v>42462</v>
      </c>
      <c r="O142" s="160">
        <f t="shared" ca="1" si="65"/>
        <v>60.66</v>
      </c>
      <c r="P142" s="160">
        <f t="shared" ca="1" si="66"/>
        <v>77.556164383561651</v>
      </c>
    </row>
    <row r="143" spans="1:16" ht="21.75" customHeight="1" x14ac:dyDescent="0.35">
      <c r="A143" s="162"/>
      <c r="B143" s="163"/>
      <c r="C143" s="163" t="s">
        <v>16</v>
      </c>
      <c r="D143" s="164" t="s">
        <v>38</v>
      </c>
      <c r="E143" s="165"/>
      <c r="F143" s="165"/>
      <c r="G143" s="166" t="s">
        <v>39</v>
      </c>
      <c r="H143" s="167" t="s">
        <v>12</v>
      </c>
      <c r="I143" s="168" t="s">
        <v>40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 x14ac:dyDescent="0.35">
      <c r="A144" s="162"/>
      <c r="B144" s="163"/>
      <c r="C144" s="163"/>
      <c r="D144" s="172"/>
      <c r="E144" s="165"/>
      <c r="F144" s="165" t="s">
        <v>40</v>
      </c>
      <c r="G144" s="166" t="s">
        <v>41</v>
      </c>
      <c r="H144" s="167" t="s">
        <v>12</v>
      </c>
      <c r="I144" s="168"/>
      <c r="J144" s="168"/>
      <c r="K144" s="169"/>
      <c r="L144" s="173">
        <f ca="1">L145+L146</f>
        <v>70000</v>
      </c>
      <c r="M144" s="174">
        <f ca="1">IFERROR(__xludf.DUMMYFUNCTION("IMPORTRANGE(""https://docs.google.com/spreadsheets/d/1Yj_ptqi66GCucihVvJfMjLAmec39IyEx_6qawtMGysU/edit?usp=sharing"",""สบก!BJ81"")"),54750)</f>
        <v>54750</v>
      </c>
      <c r="N144" s="175">
        <f ca="1">IFERROR(__xludf.DUMMYFUNCTION("IMPORTRANGE(""https://docs.google.com/spreadsheets/d/1Yj_ptqi66GCucihVvJfMjLAmec39IyEx_6qawtMGysU/edit?usp=sharing"",""สบก!BK81"")"),42462)</f>
        <v>42462</v>
      </c>
      <c r="O144" s="176">
        <f ca="1">IF(L144&gt;0,N144*100/L144,0)</f>
        <v>60.66</v>
      </c>
      <c r="P144" s="176">
        <f ca="1">IF(M144&gt;0,N144*100/M144,0)</f>
        <v>77.556164383561651</v>
      </c>
    </row>
    <row r="145" spans="1:16" ht="21.75" customHeight="1" x14ac:dyDescent="0.35">
      <c r="A145" s="162"/>
      <c r="B145" s="163"/>
      <c r="C145" s="163"/>
      <c r="D145" s="172"/>
      <c r="E145" s="165"/>
      <c r="F145" s="165"/>
      <c r="G145" s="177" t="s">
        <v>42</v>
      </c>
      <c r="H145" s="167" t="s">
        <v>12</v>
      </c>
      <c r="I145" s="168"/>
      <c r="J145" s="168"/>
      <c r="K145" s="169"/>
      <c r="L145" s="174">
        <f ca="1">IFERROR(__xludf.DUMMYFUNCTION("IMPORTRANGE(""https://docs.google.com/spreadsheets/d/1Yj_ptqi66GCucihVvJfMjLAmec39IyEx_6qawtMGysU/edit?usp=sharing"",""สบก!BF81"")"),0)</f>
        <v>0</v>
      </c>
      <c r="M145" s="173"/>
      <c r="N145" s="173"/>
      <c r="O145" s="176"/>
      <c r="P145" s="176"/>
    </row>
    <row r="146" spans="1:16" ht="21.75" customHeight="1" x14ac:dyDescent="0.35">
      <c r="A146" s="162"/>
      <c r="B146" s="163"/>
      <c r="C146" s="163"/>
      <c r="D146" s="172"/>
      <c r="E146" s="165"/>
      <c r="F146" s="165"/>
      <c r="G146" s="177" t="s">
        <v>43</v>
      </c>
      <c r="H146" s="167" t="s">
        <v>12</v>
      </c>
      <c r="I146" s="168"/>
      <c r="J146" s="168"/>
      <c r="K146" s="169"/>
      <c r="L146" s="174">
        <f ca="1">IFERROR(__xludf.DUMMYFUNCTION("IMPORTRANGE(""https://docs.google.com/spreadsheets/d/1Yj_ptqi66GCucihVvJfMjLAmec39IyEx_6qawtMGysU/edit?usp=sharing"",""สบก!BG81"")"),70000)</f>
        <v>70000</v>
      </c>
      <c r="M146" s="173"/>
      <c r="N146" s="173"/>
      <c r="O146" s="176"/>
      <c r="P146" s="176"/>
    </row>
    <row r="147" spans="1:16" ht="21.75" customHeight="1" x14ac:dyDescent="0.45">
      <c r="A147" s="178"/>
      <c r="B147" s="81"/>
      <c r="C147" s="82" t="s">
        <v>16</v>
      </c>
      <c r="D147" s="549" t="s">
        <v>23</v>
      </c>
      <c r="E147" s="545"/>
      <c r="F147" s="89"/>
      <c r="G147" s="83" t="s">
        <v>18</v>
      </c>
      <c r="H147" s="179" t="s">
        <v>12</v>
      </c>
      <c r="I147" s="195"/>
      <c r="J147" s="195"/>
      <c r="K147" s="231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80"/>
      <c r="B148" s="95"/>
      <c r="C148" s="95"/>
      <c r="D148" s="181"/>
      <c r="E148" s="96"/>
      <c r="F148" s="96"/>
      <c r="G148" s="97" t="s">
        <v>19</v>
      </c>
      <c r="H148" s="182" t="s">
        <v>12</v>
      </c>
      <c r="I148" s="195"/>
      <c r="J148" s="195"/>
      <c r="K148" s="231"/>
      <c r="L148" s="91">
        <f ca="1">IFERROR(__xludf.DUMMYFUNCTION("IMPORTRANGE(""https://docs.google.com/spreadsheets/d/1Yj_ptqi66GCucihVvJfMjLAmec39IyEx_6qawtMGysU/edit?usp=sharing"",""สบก!BH81"")"),0)</f>
        <v>0</v>
      </c>
      <c r="M148" s="101"/>
      <c r="N148" s="91">
        <f ca="1">IFERROR(__xludf.DUMMYFUNCTION("IMPORTRANGE(""https://docs.google.com/spreadsheets/d/1Yj_ptqi66GCucihVvJfMjLAmec39IyEx_6qawtMGysU/edit?usp=sharing"",""สบก!BL81"")"),0)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7"/>
      <c r="B149" s="278"/>
      <c r="C149" s="279" t="s">
        <v>76</v>
      </c>
      <c r="D149" s="279"/>
      <c r="E149" s="279"/>
      <c r="F149" s="279"/>
      <c r="G149" s="280"/>
      <c r="H149" s="281" t="s">
        <v>77</v>
      </c>
      <c r="I149" s="282">
        <f ca="1">IFERROR(__xludf.DUMMYFUNCTION("IMPORTRANGE(""https://docs.google.com/spreadsheets/d/1IYY_tgx_IHuhSq3AJ5eI5OnqOPBNLWSHKh2a30DoXe8/edit?usp=sharing"",""กระบี่!I74"")"),4)</f>
        <v>4</v>
      </c>
      <c r="J149" s="282">
        <f ca="1">IFERROR(__xludf.DUMMYFUNCTION("IMPORTRANGE(""https://docs.google.com/spreadsheets/d/1IYY_tgx_IHuhSq3AJ5eI5OnqOPBNLWSHKh2a30DoXe8/edit?usp=sharing"",""กระบี่!J74"")"),2)</f>
        <v>2</v>
      </c>
      <c r="K149" s="283">
        <f ca="1">IF(I149&gt;0,J149*100/I149,0)</f>
        <v>50</v>
      </c>
      <c r="L149" s="284"/>
      <c r="M149" s="284"/>
      <c r="N149" s="284"/>
      <c r="O149" s="284"/>
      <c r="P149" s="284"/>
    </row>
    <row r="150" spans="1:16" ht="21.75" customHeight="1" x14ac:dyDescent="0.35">
      <c r="A150" s="162"/>
      <c r="B150" s="163"/>
      <c r="C150" s="163" t="s">
        <v>16</v>
      </c>
      <c r="D150" s="164" t="s">
        <v>38</v>
      </c>
      <c r="E150" s="165"/>
      <c r="F150" s="165"/>
      <c r="G150" s="166" t="s">
        <v>39</v>
      </c>
      <c r="H150" s="167" t="s">
        <v>12</v>
      </c>
      <c r="I150" s="168" t="s">
        <v>40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 x14ac:dyDescent="0.35">
      <c r="A151" s="162"/>
      <c r="B151" s="163"/>
      <c r="C151" s="163"/>
      <c r="D151" s="172"/>
      <c r="E151" s="165"/>
      <c r="F151" s="165" t="s">
        <v>40</v>
      </c>
      <c r="G151" s="166" t="s">
        <v>41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 x14ac:dyDescent="0.35">
      <c r="A152" s="162"/>
      <c r="B152" s="163"/>
      <c r="C152" s="163"/>
      <c r="D152" s="172"/>
      <c r="E152" s="165"/>
      <c r="F152" s="165"/>
      <c r="G152" s="177" t="s">
        <v>43</v>
      </c>
      <c r="H152" s="167" t="s">
        <v>12</v>
      </c>
      <c r="I152" s="168"/>
      <c r="J152" s="168"/>
      <c r="K152" s="169"/>
      <c r="L152" s="176"/>
      <c r="M152" s="176"/>
      <c r="N152" s="173"/>
      <c r="O152" s="176"/>
      <c r="P152" s="176"/>
    </row>
    <row r="153" spans="1:16" ht="21.75" customHeight="1" x14ac:dyDescent="0.35">
      <c r="A153" s="183"/>
      <c r="B153" s="184"/>
      <c r="C153" s="163" t="s">
        <v>16</v>
      </c>
      <c r="D153" s="185" t="s">
        <v>44</v>
      </c>
      <c r="E153" s="186"/>
      <c r="F153" s="186"/>
      <c r="G153" s="187"/>
      <c r="H153" s="188"/>
      <c r="I153" s="168"/>
      <c r="J153" s="168"/>
      <c r="K153" s="169"/>
      <c r="L153" s="189"/>
      <c r="M153" s="189"/>
      <c r="N153" s="189"/>
      <c r="O153" s="189"/>
      <c r="P153" s="189"/>
    </row>
    <row r="154" spans="1:16" ht="21.75" customHeight="1" x14ac:dyDescent="0.35">
      <c r="A154" s="183"/>
      <c r="B154" s="184"/>
      <c r="C154" s="184"/>
      <c r="D154" s="190">
        <v>1</v>
      </c>
      <c r="E154" s="191" t="s">
        <v>45</v>
      </c>
      <c r="F154" s="192"/>
      <c r="G154" s="193"/>
      <c r="H154" s="194"/>
      <c r="I154" s="195"/>
      <c r="J154" s="196">
        <f ca="1">IFERROR(__xludf.DUMMYFUNCTION("IMPORTRANGE(""https://docs.google.com/spreadsheets/d/1IYY_tgx_IHuhSq3AJ5eI5OnqOPBNLWSHKh2a30DoXe8/edit?usp=sharing"",""กระบี่!J79"")"),0)</f>
        <v>0</v>
      </c>
      <c r="K154" s="169"/>
      <c r="L154" s="189"/>
      <c r="M154" s="189"/>
      <c r="N154" s="189"/>
      <c r="O154" s="189"/>
      <c r="P154" s="189"/>
    </row>
    <row r="155" spans="1:16" ht="21.75" customHeight="1" x14ac:dyDescent="0.35">
      <c r="A155" s="183"/>
      <c r="B155" s="184"/>
      <c r="C155" s="184"/>
      <c r="D155" s="197">
        <v>2</v>
      </c>
      <c r="E155" s="198" t="s">
        <v>46</v>
      </c>
      <c r="F155" s="199"/>
      <c r="G155" s="200"/>
      <c r="H155" s="194"/>
      <c r="I155" s="195"/>
      <c r="J155" s="205">
        <f ca="1">IFERROR(__xludf.DUMMYFUNCTION("IMPORTRANGE(""https://docs.google.com/spreadsheets/d/1IYY_tgx_IHuhSq3AJ5eI5OnqOPBNLWSHKh2a30DoXe8/edit?usp=sharing"",""กระบี่!J80"")"),1)</f>
        <v>1</v>
      </c>
      <c r="K155" s="169"/>
      <c r="L155" s="189"/>
      <c r="M155" s="189"/>
      <c r="N155" s="189"/>
      <c r="O155" s="189"/>
      <c r="P155" s="189"/>
    </row>
    <row r="156" spans="1:16" ht="21.75" customHeight="1" x14ac:dyDescent="0.35">
      <c r="A156" s="183"/>
      <c r="B156" s="184"/>
      <c r="C156" s="184"/>
      <c r="D156" s="201"/>
      <c r="E156" s="202" t="s">
        <v>47</v>
      </c>
      <c r="F156" s="203"/>
      <c r="G156" s="204"/>
      <c r="H156" s="194"/>
      <c r="I156" s="195"/>
      <c r="J156" s="205">
        <f ca="1">IFERROR(__xludf.DUMMYFUNCTION("IMPORTRANGE(""https://docs.google.com/spreadsheets/d/1IYY_tgx_IHuhSq3AJ5eI5OnqOPBNLWSHKh2a30DoXe8/edit?usp=sharing"",""กระบี่!J81"")"),1)</f>
        <v>1</v>
      </c>
      <c r="K156" s="169"/>
      <c r="L156" s="189"/>
      <c r="M156" s="189"/>
      <c r="N156" s="189"/>
      <c r="O156" s="189"/>
      <c r="P156" s="189"/>
    </row>
    <row r="157" spans="1:16" ht="21.75" customHeight="1" x14ac:dyDescent="0.35">
      <c r="A157" s="183"/>
      <c r="B157" s="184"/>
      <c r="C157" s="184"/>
      <c r="D157" s="201"/>
      <c r="E157" s="202" t="s">
        <v>48</v>
      </c>
      <c r="F157" s="203"/>
      <c r="G157" s="204"/>
      <c r="H157" s="194"/>
      <c r="I157" s="195"/>
      <c r="J157" s="205">
        <f ca="1">IFERROR(__xludf.DUMMYFUNCTION("IMPORTRANGE(""https://docs.google.com/spreadsheets/d/1IYY_tgx_IHuhSq3AJ5eI5OnqOPBNLWSHKh2a30DoXe8/edit?usp=sharing"",""กระบี่!J82"")"),1)</f>
        <v>1</v>
      </c>
      <c r="K157" s="169"/>
      <c r="L157" s="189"/>
      <c r="M157" s="189"/>
      <c r="N157" s="189"/>
      <c r="O157" s="189"/>
      <c r="P157" s="189"/>
    </row>
    <row r="158" spans="1:16" ht="21.75" customHeight="1" x14ac:dyDescent="0.35">
      <c r="A158" s="183"/>
      <c r="B158" s="184"/>
      <c r="C158" s="184"/>
      <c r="D158" s="201"/>
      <c r="E158" s="206"/>
      <c r="F158" s="202" t="s">
        <v>78</v>
      </c>
      <c r="G158" s="204"/>
      <c r="H158" s="188" t="s">
        <v>77</v>
      </c>
      <c r="I158" s="195">
        <f ca="1">IFERROR(__xludf.DUMMYFUNCTION("IMPORTRANGE(""https://docs.google.com/spreadsheets/d/1IYY_tgx_IHuhSq3AJ5eI5OnqOPBNLWSHKh2a30DoXe8/edit?usp=sharing"",""กระบี่!I83"")"),4)</f>
        <v>4</v>
      </c>
      <c r="J158" s="196">
        <f ca="1">IFERROR(__xludf.DUMMYFUNCTION("IMPORTRANGE(""https://docs.google.com/spreadsheets/d/1IYY_tgx_IHuhSq3AJ5eI5OnqOPBNLWSHKh2a30DoXe8/edit?usp=sharing"",""กระบี่!J83"")"),2)</f>
        <v>2</v>
      </c>
      <c r="K158" s="169">
        <f ca="1">IF(I158&gt;0,J158*100/I158,0)</f>
        <v>50</v>
      </c>
      <c r="L158" s="189"/>
      <c r="M158" s="189"/>
      <c r="N158" s="189"/>
      <c r="O158" s="189"/>
      <c r="P158" s="189"/>
    </row>
    <row r="159" spans="1:16" ht="21.75" customHeight="1" x14ac:dyDescent="0.35">
      <c r="A159" s="183"/>
      <c r="B159" s="184"/>
      <c r="C159" s="184"/>
      <c r="D159" s="201"/>
      <c r="E159" s="203"/>
      <c r="F159" s="285" t="s">
        <v>79</v>
      </c>
      <c r="G159" s="204"/>
      <c r="H159" s="286" t="s">
        <v>37</v>
      </c>
      <c r="I159" s="195"/>
      <c r="J159" s="211">
        <f ca="1">IFERROR(__xludf.DUMMYFUNCTION("IMPORTRANGE(""https://docs.google.com/spreadsheets/d/1IYY_tgx_IHuhSq3AJ5eI5OnqOPBNLWSHKh2a30DoXe8/edit?usp=sharing"",""กระบี่!J84"")"),22)</f>
        <v>22</v>
      </c>
      <c r="K159" s="169"/>
      <c r="L159" s="189"/>
      <c r="M159" s="189"/>
      <c r="N159" s="189"/>
      <c r="O159" s="189"/>
      <c r="P159" s="189"/>
    </row>
    <row r="160" spans="1:16" ht="21.75" customHeight="1" x14ac:dyDescent="0.45">
      <c r="A160" s="183"/>
      <c r="B160" s="184"/>
      <c r="C160" s="184"/>
      <c r="D160" s="201"/>
      <c r="E160" s="203"/>
      <c r="F160" s="203"/>
      <c r="G160" s="287" t="s">
        <v>80</v>
      </c>
      <c r="H160" s="286" t="s">
        <v>37</v>
      </c>
      <c r="I160" s="195"/>
      <c r="J160" s="288">
        <f ca="1">IFERROR(__xludf.DUMMYFUNCTION("IMPORTRANGE(""https://docs.google.com/spreadsheets/d/1IYY_tgx_IHuhSq3AJ5eI5OnqOPBNLWSHKh2a30DoXe8/edit?usp=sharing"",""กระบี่!J85"")"),22)</f>
        <v>22</v>
      </c>
      <c r="K160" s="169"/>
      <c r="L160" s="189"/>
      <c r="M160" s="189"/>
      <c r="N160" s="189"/>
      <c r="O160" s="189"/>
      <c r="P160" s="189"/>
    </row>
    <row r="161" spans="1:16" ht="21.75" customHeight="1" x14ac:dyDescent="0.45">
      <c r="A161" s="183"/>
      <c r="B161" s="184"/>
      <c r="C161" s="184"/>
      <c r="D161" s="201"/>
      <c r="E161" s="203"/>
      <c r="F161" s="203"/>
      <c r="G161" s="287" t="s">
        <v>81</v>
      </c>
      <c r="H161" s="286" t="s">
        <v>37</v>
      </c>
      <c r="I161" s="195"/>
      <c r="J161" s="288">
        <f ca="1">IFERROR(__xludf.DUMMYFUNCTION("IMPORTRANGE(""https://docs.google.com/spreadsheets/d/1IYY_tgx_IHuhSq3AJ5eI5OnqOPBNLWSHKh2a30DoXe8/edit?usp=sharing"",""กระบี่!J86"")"),0)</f>
        <v>0</v>
      </c>
      <c r="K161" s="169"/>
      <c r="L161" s="189"/>
      <c r="M161" s="189"/>
      <c r="N161" s="189"/>
      <c r="O161" s="189"/>
      <c r="P161" s="189"/>
    </row>
    <row r="162" spans="1:16" ht="21.75" customHeight="1" x14ac:dyDescent="0.35">
      <c r="A162" s="183"/>
      <c r="B162" s="184"/>
      <c r="C162" s="184"/>
      <c r="D162" s="201"/>
      <c r="E162" s="202" t="s">
        <v>54</v>
      </c>
      <c r="F162" s="203"/>
      <c r="G162" s="204"/>
      <c r="H162" s="194"/>
      <c r="I162" s="195"/>
      <c r="J162" s="205">
        <f ca="1">IFERROR(__xludf.DUMMYFUNCTION("IMPORTRANGE(""https://docs.google.com/spreadsheets/d/1IYY_tgx_IHuhSq3AJ5eI5OnqOPBNLWSHKh2a30DoXe8/edit?usp=sharing"",""กระบี่!J87"")"),0)</f>
        <v>0</v>
      </c>
      <c r="K162" s="169"/>
      <c r="L162" s="189"/>
      <c r="M162" s="189"/>
      <c r="N162" s="189"/>
      <c r="O162" s="189"/>
      <c r="P162" s="189"/>
    </row>
    <row r="163" spans="1:16" ht="21.75" customHeight="1" x14ac:dyDescent="0.35">
      <c r="A163" s="183"/>
      <c r="B163" s="184"/>
      <c r="C163" s="184"/>
      <c r="D163" s="213">
        <v>3</v>
      </c>
      <c r="E163" s="214" t="s">
        <v>55</v>
      </c>
      <c r="F163" s="215"/>
      <c r="G163" s="216"/>
      <c r="H163" s="194"/>
      <c r="I163" s="195"/>
      <c r="J163" s="217">
        <f ca="1">IFERROR(__xludf.DUMMYFUNCTION("IMPORTRANGE(""https://docs.google.com/spreadsheets/d/1IYY_tgx_IHuhSq3AJ5eI5OnqOPBNLWSHKh2a30DoXe8/edit?usp=sharing"",""กระบี่!J88"")"),0)</f>
        <v>0</v>
      </c>
      <c r="K163" s="169"/>
      <c r="L163" s="189"/>
      <c r="M163" s="189"/>
      <c r="N163" s="189"/>
      <c r="O163" s="189"/>
      <c r="P163" s="189"/>
    </row>
    <row r="164" spans="1:16" ht="21.75" customHeight="1" x14ac:dyDescent="0.35">
      <c r="A164" s="277"/>
      <c r="B164" s="278"/>
      <c r="C164" s="279" t="s">
        <v>82</v>
      </c>
      <c r="D164" s="279"/>
      <c r="E164" s="279"/>
      <c r="F164" s="279"/>
      <c r="G164" s="280"/>
      <c r="H164" s="289" t="s">
        <v>83</v>
      </c>
      <c r="I164" s="290">
        <f ca="1">IFERROR(__xludf.DUMMYFUNCTION("IMPORTRANGE(""https://docs.google.com/spreadsheets/d/1IYY_tgx_IHuhSq3AJ5eI5OnqOPBNLWSHKh2a30DoXe8/edit?usp=sharing"",""กระบี่!I89"")"),2)</f>
        <v>2</v>
      </c>
      <c r="J164" s="290">
        <f ca="1">IFERROR(__xludf.DUMMYFUNCTION("IMPORTRANGE(""https://docs.google.com/spreadsheets/d/1IYY_tgx_IHuhSq3AJ5eI5OnqOPBNLWSHKh2a30DoXe8/edit?usp=sharing"",""กระบี่!J89"")"),2)</f>
        <v>2</v>
      </c>
      <c r="K164" s="291">
        <f ca="1">IF(I164&gt;0,J164*100/I164,0)</f>
        <v>100</v>
      </c>
      <c r="L164" s="284"/>
      <c r="M164" s="284"/>
      <c r="N164" s="284"/>
      <c r="O164" s="284"/>
      <c r="P164" s="284"/>
    </row>
    <row r="165" spans="1:16" ht="21.75" customHeight="1" x14ac:dyDescent="0.35">
      <c r="A165" s="162"/>
      <c r="B165" s="163"/>
      <c r="C165" s="163" t="s">
        <v>16</v>
      </c>
      <c r="D165" s="164" t="s">
        <v>38</v>
      </c>
      <c r="E165" s="165"/>
      <c r="F165" s="165"/>
      <c r="G165" s="166" t="s">
        <v>39</v>
      </c>
      <c r="H165" s="167" t="s">
        <v>12</v>
      </c>
      <c r="I165" s="168" t="s">
        <v>40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 x14ac:dyDescent="0.35">
      <c r="A166" s="162"/>
      <c r="B166" s="163"/>
      <c r="C166" s="163"/>
      <c r="D166" s="172"/>
      <c r="E166" s="165"/>
      <c r="F166" s="165" t="s">
        <v>40</v>
      </c>
      <c r="G166" s="166" t="s">
        <v>41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 x14ac:dyDescent="0.35">
      <c r="A167" s="162"/>
      <c r="B167" s="163"/>
      <c r="C167" s="163"/>
      <c r="D167" s="172"/>
      <c r="E167" s="165"/>
      <c r="F167" s="165"/>
      <c r="G167" s="177" t="s">
        <v>43</v>
      </c>
      <c r="H167" s="167" t="s">
        <v>12</v>
      </c>
      <c r="I167" s="168"/>
      <c r="J167" s="168"/>
      <c r="K167" s="169"/>
      <c r="L167" s="176"/>
      <c r="M167" s="176"/>
      <c r="N167" s="173"/>
      <c r="O167" s="176"/>
      <c r="P167" s="176"/>
    </row>
    <row r="168" spans="1:16" ht="21.75" customHeight="1" x14ac:dyDescent="0.35">
      <c r="A168" s="183"/>
      <c r="B168" s="184"/>
      <c r="C168" s="163" t="s">
        <v>16</v>
      </c>
      <c r="D168" s="185" t="s">
        <v>44</v>
      </c>
      <c r="E168" s="186"/>
      <c r="F168" s="186"/>
      <c r="G168" s="187"/>
      <c r="H168" s="188"/>
      <c r="I168" s="168"/>
      <c r="J168" s="168"/>
      <c r="K168" s="169"/>
      <c r="L168" s="189"/>
      <c r="M168" s="189"/>
      <c r="N168" s="189"/>
      <c r="O168" s="189"/>
      <c r="P168" s="189"/>
    </row>
    <row r="169" spans="1:16" ht="21.75" customHeight="1" x14ac:dyDescent="0.35">
      <c r="A169" s="183"/>
      <c r="B169" s="184"/>
      <c r="C169" s="184"/>
      <c r="D169" s="190">
        <v>1</v>
      </c>
      <c r="E169" s="191" t="s">
        <v>45</v>
      </c>
      <c r="F169" s="192"/>
      <c r="G169" s="193"/>
      <c r="H169" s="194"/>
      <c r="I169" s="195"/>
      <c r="J169" s="196">
        <f ca="1">IFERROR(__xludf.DUMMYFUNCTION("IMPORTRANGE(""https://docs.google.com/spreadsheets/d/1IYY_tgx_IHuhSq3AJ5eI5OnqOPBNLWSHKh2a30DoXe8/edit?usp=sharing"",""กระบี่!J94"")"),0)</f>
        <v>0</v>
      </c>
      <c r="K169" s="169"/>
      <c r="L169" s="189"/>
      <c r="M169" s="189"/>
      <c r="N169" s="189"/>
      <c r="O169" s="189"/>
      <c r="P169" s="189"/>
    </row>
    <row r="170" spans="1:16" ht="21.75" customHeight="1" x14ac:dyDescent="0.35">
      <c r="A170" s="183"/>
      <c r="B170" s="184"/>
      <c r="C170" s="184"/>
      <c r="D170" s="197">
        <v>2</v>
      </c>
      <c r="E170" s="198" t="s">
        <v>46</v>
      </c>
      <c r="F170" s="199"/>
      <c r="G170" s="200"/>
      <c r="H170" s="194"/>
      <c r="I170" s="195"/>
      <c r="J170" s="205">
        <f ca="1">IFERROR(__xludf.DUMMYFUNCTION("IMPORTRANGE(""https://docs.google.com/spreadsheets/d/1IYY_tgx_IHuhSq3AJ5eI5OnqOPBNLWSHKh2a30DoXe8/edit?usp=sharing"",""กระบี่!J95"")"),1)</f>
        <v>1</v>
      </c>
      <c r="K170" s="169"/>
      <c r="L170" s="189"/>
      <c r="M170" s="189"/>
      <c r="N170" s="189"/>
      <c r="O170" s="189"/>
      <c r="P170" s="189"/>
    </row>
    <row r="171" spans="1:16" ht="21.75" customHeight="1" x14ac:dyDescent="0.35">
      <c r="A171" s="183"/>
      <c r="B171" s="184"/>
      <c r="C171" s="184"/>
      <c r="D171" s="201"/>
      <c r="E171" s="202" t="s">
        <v>47</v>
      </c>
      <c r="F171" s="203"/>
      <c r="G171" s="204"/>
      <c r="H171" s="194"/>
      <c r="I171" s="195"/>
      <c r="J171" s="205">
        <f ca="1">IFERROR(__xludf.DUMMYFUNCTION("IMPORTRANGE(""https://docs.google.com/spreadsheets/d/1IYY_tgx_IHuhSq3AJ5eI5OnqOPBNLWSHKh2a30DoXe8/edit?usp=sharing"",""กระบี่!J96"")"),1)</f>
        <v>1</v>
      </c>
      <c r="K171" s="169"/>
      <c r="L171" s="189"/>
      <c r="M171" s="189"/>
      <c r="N171" s="189"/>
      <c r="O171" s="189"/>
      <c r="P171" s="189"/>
    </row>
    <row r="172" spans="1:16" ht="21.75" customHeight="1" x14ac:dyDescent="0.35">
      <c r="A172" s="183"/>
      <c r="B172" s="184"/>
      <c r="C172" s="184"/>
      <c r="D172" s="201"/>
      <c r="E172" s="202" t="s">
        <v>48</v>
      </c>
      <c r="F172" s="203"/>
      <c r="G172" s="204"/>
      <c r="H172" s="194"/>
      <c r="I172" s="195"/>
      <c r="J172" s="205">
        <f ca="1">IFERROR(__xludf.DUMMYFUNCTION("IMPORTRANGE(""https://docs.google.com/spreadsheets/d/1IYY_tgx_IHuhSq3AJ5eI5OnqOPBNLWSHKh2a30DoXe8/edit?usp=sharing"",""กระบี่!J97"")"),1)</f>
        <v>1</v>
      </c>
      <c r="K172" s="169"/>
      <c r="L172" s="189"/>
      <c r="M172" s="189"/>
      <c r="N172" s="189"/>
      <c r="O172" s="189"/>
      <c r="P172" s="189"/>
    </row>
    <row r="173" spans="1:16" ht="21.75" customHeight="1" x14ac:dyDescent="0.35">
      <c r="A173" s="183"/>
      <c r="B173" s="184"/>
      <c r="C173" s="184"/>
      <c r="D173" s="201"/>
      <c r="E173" s="206"/>
      <c r="F173" s="212" t="s">
        <v>84</v>
      </c>
      <c r="G173" s="204"/>
      <c r="H173" s="188" t="s">
        <v>83</v>
      </c>
      <c r="I173" s="195">
        <f ca="1">IFERROR(__xludf.DUMMYFUNCTION("IMPORTRANGE(""https://docs.google.com/spreadsheets/d/1IYY_tgx_IHuhSq3AJ5eI5OnqOPBNLWSHKh2a30DoXe8/edit?usp=sharing"",""กระบี่!I98"")"),2)</f>
        <v>2</v>
      </c>
      <c r="J173" s="196">
        <f ca="1">IFERROR(__xludf.DUMMYFUNCTION("IMPORTRANGE(""https://docs.google.com/spreadsheets/d/1IYY_tgx_IHuhSq3AJ5eI5OnqOPBNLWSHKh2a30DoXe8/edit?usp=sharing"",""กระบี่!J98"")"),2)</f>
        <v>2</v>
      </c>
      <c r="K173" s="169">
        <f ca="1">IF(I173&gt;0,J173*100/I173,0)</f>
        <v>100</v>
      </c>
      <c r="L173" s="176"/>
      <c r="M173" s="176"/>
      <c r="N173" s="173"/>
      <c r="O173" s="176"/>
      <c r="P173" s="176"/>
    </row>
    <row r="174" spans="1:16" ht="21.75" customHeight="1" x14ac:dyDescent="0.35">
      <c r="A174" s="183"/>
      <c r="B174" s="184"/>
      <c r="C174" s="184"/>
      <c r="D174" s="201"/>
      <c r="E174" s="202" t="s">
        <v>54</v>
      </c>
      <c r="F174" s="203"/>
      <c r="G174" s="204"/>
      <c r="H174" s="194"/>
      <c r="I174" s="195"/>
      <c r="J174" s="205">
        <f ca="1">IFERROR(__xludf.DUMMYFUNCTION("IMPORTRANGE(""https://docs.google.com/spreadsheets/d/1IYY_tgx_IHuhSq3AJ5eI5OnqOPBNLWSHKh2a30DoXe8/edit?usp=sharing"",""กระบี่!J99"")"),0)</f>
        <v>0</v>
      </c>
      <c r="K174" s="169"/>
      <c r="L174" s="189"/>
      <c r="M174" s="189"/>
      <c r="N174" s="189"/>
      <c r="O174" s="189"/>
      <c r="P174" s="189"/>
    </row>
    <row r="175" spans="1:16" ht="21.75" customHeight="1" x14ac:dyDescent="0.35">
      <c r="A175" s="183"/>
      <c r="B175" s="184"/>
      <c r="C175" s="184"/>
      <c r="D175" s="213">
        <v>3</v>
      </c>
      <c r="E175" s="214" t="s">
        <v>55</v>
      </c>
      <c r="F175" s="215"/>
      <c r="G175" s="216"/>
      <c r="H175" s="194"/>
      <c r="I175" s="195"/>
      <c r="J175" s="217">
        <f ca="1">IFERROR(__xludf.DUMMYFUNCTION("IMPORTRANGE(""https://docs.google.com/spreadsheets/d/1IYY_tgx_IHuhSq3AJ5eI5OnqOPBNLWSHKh2a30DoXe8/edit?usp=sharing"",""กระบี่!J100"")"),0)</f>
        <v>0</v>
      </c>
      <c r="K175" s="169"/>
      <c r="L175" s="189"/>
      <c r="M175" s="189"/>
      <c r="N175" s="189"/>
      <c r="O175" s="189"/>
      <c r="P175" s="189"/>
    </row>
    <row r="176" spans="1:16" ht="21.75" customHeight="1" x14ac:dyDescent="0.35">
      <c r="A176" s="277"/>
      <c r="B176" s="278"/>
      <c r="C176" s="279" t="s">
        <v>85</v>
      </c>
      <c r="D176" s="279"/>
      <c r="E176" s="279"/>
      <c r="F176" s="279"/>
      <c r="G176" s="280"/>
      <c r="H176" s="289" t="s">
        <v>83</v>
      </c>
      <c r="I176" s="290">
        <f ca="1">IFERROR(__xludf.DUMMYFUNCTION("IMPORTRANGE(""https://docs.google.com/spreadsheets/d/1IYY_tgx_IHuhSq3AJ5eI5OnqOPBNLWSHKh2a30DoXe8/edit?usp=sharing"",""กระบี่!I101"")"),0)</f>
        <v>0</v>
      </c>
      <c r="J176" s="290">
        <f ca="1">IFERROR(__xludf.DUMMYFUNCTION("IMPORTRANGE(""https://docs.google.com/spreadsheets/d/1IYY_tgx_IHuhSq3AJ5eI5OnqOPBNLWSHKh2a30DoXe8/edit?usp=sharing"",""กระบี่!J101"")"),0)</f>
        <v>0</v>
      </c>
      <c r="K176" s="291">
        <f ca="1">IF(I176&gt;0,J176*100/I176,0)</f>
        <v>0</v>
      </c>
      <c r="L176" s="284"/>
      <c r="M176" s="284"/>
      <c r="N176" s="284"/>
      <c r="O176" s="284"/>
      <c r="P176" s="284"/>
    </row>
    <row r="177" spans="1:16" ht="21.75" customHeight="1" x14ac:dyDescent="0.35">
      <c r="A177" s="162"/>
      <c r="B177" s="163"/>
      <c r="C177" s="163" t="s">
        <v>16</v>
      </c>
      <c r="D177" s="164" t="s">
        <v>38</v>
      </c>
      <c r="E177" s="165"/>
      <c r="F177" s="165"/>
      <c r="G177" s="166" t="s">
        <v>39</v>
      </c>
      <c r="H177" s="167" t="s">
        <v>12</v>
      </c>
      <c r="I177" s="168" t="s">
        <v>40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 x14ac:dyDescent="0.35">
      <c r="A178" s="162"/>
      <c r="B178" s="163"/>
      <c r="C178" s="163"/>
      <c r="D178" s="172"/>
      <c r="E178" s="165"/>
      <c r="F178" s="165" t="s">
        <v>40</v>
      </c>
      <c r="G178" s="166" t="s">
        <v>41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 x14ac:dyDescent="0.35">
      <c r="A179" s="162"/>
      <c r="B179" s="163"/>
      <c r="C179" s="163"/>
      <c r="D179" s="172"/>
      <c r="E179" s="165"/>
      <c r="F179" s="165"/>
      <c r="G179" s="177" t="s">
        <v>43</v>
      </c>
      <c r="H179" s="167" t="s">
        <v>12</v>
      </c>
      <c r="I179" s="168"/>
      <c r="J179" s="195"/>
      <c r="K179" s="231"/>
      <c r="L179" s="176"/>
      <c r="M179" s="176"/>
      <c r="N179" s="173"/>
      <c r="O179" s="176"/>
      <c r="P179" s="176"/>
    </row>
    <row r="180" spans="1:16" ht="21.75" customHeight="1" x14ac:dyDescent="0.35">
      <c r="A180" s="183"/>
      <c r="B180" s="184"/>
      <c r="C180" s="163" t="s">
        <v>16</v>
      </c>
      <c r="D180" s="185" t="s">
        <v>44</v>
      </c>
      <c r="E180" s="186"/>
      <c r="F180" s="186"/>
      <c r="G180" s="187"/>
      <c r="H180" s="188"/>
      <c r="I180" s="168"/>
      <c r="J180" s="195"/>
      <c r="K180" s="231"/>
      <c r="L180" s="176"/>
      <c r="M180" s="176"/>
      <c r="N180" s="176"/>
      <c r="O180" s="189"/>
      <c r="P180" s="189"/>
    </row>
    <row r="181" spans="1:16" ht="21.75" customHeight="1" x14ac:dyDescent="0.35">
      <c r="A181" s="183"/>
      <c r="B181" s="184"/>
      <c r="C181" s="184"/>
      <c r="D181" s="190">
        <v>1</v>
      </c>
      <c r="E181" s="191" t="s">
        <v>45</v>
      </c>
      <c r="F181" s="192"/>
      <c r="G181" s="193"/>
      <c r="H181" s="194"/>
      <c r="I181" s="195"/>
      <c r="J181" s="195">
        <f ca="1">IFERROR(__xludf.DUMMYFUNCTION("IMPORTRANGE(""https://docs.google.com/spreadsheets/d/1IYY_tgx_IHuhSq3AJ5eI5OnqOPBNLWSHKh2a30DoXe8/edit?usp=sharing"",""กระบี่!J106"")"),0)</f>
        <v>0</v>
      </c>
      <c r="K181" s="231"/>
      <c r="L181" s="176"/>
      <c r="M181" s="176"/>
      <c r="N181" s="176"/>
      <c r="O181" s="189"/>
      <c r="P181" s="189"/>
    </row>
    <row r="182" spans="1:16" ht="21.75" customHeight="1" x14ac:dyDescent="0.35">
      <c r="A182" s="183"/>
      <c r="B182" s="184"/>
      <c r="C182" s="184"/>
      <c r="D182" s="197">
        <v>2</v>
      </c>
      <c r="E182" s="198" t="s">
        <v>46</v>
      </c>
      <c r="F182" s="199"/>
      <c r="G182" s="200"/>
      <c r="H182" s="194"/>
      <c r="I182" s="195"/>
      <c r="J182" s="195">
        <f ca="1">IFERROR(__xludf.DUMMYFUNCTION("IMPORTRANGE(""https://docs.google.com/spreadsheets/d/1IYY_tgx_IHuhSq3AJ5eI5OnqOPBNLWSHKh2a30DoXe8/edit?usp=sharing"",""กระบี่!J107"")"),0)</f>
        <v>0</v>
      </c>
      <c r="K182" s="231"/>
      <c r="L182" s="176"/>
      <c r="M182" s="176"/>
      <c r="N182" s="176"/>
      <c r="O182" s="189"/>
      <c r="P182" s="189"/>
    </row>
    <row r="183" spans="1:16" ht="21.75" customHeight="1" x14ac:dyDescent="0.35">
      <c r="A183" s="183"/>
      <c r="B183" s="184"/>
      <c r="C183" s="184"/>
      <c r="D183" s="201"/>
      <c r="E183" s="202" t="s">
        <v>47</v>
      </c>
      <c r="F183" s="203"/>
      <c r="G183" s="204"/>
      <c r="H183" s="194"/>
      <c r="I183" s="195"/>
      <c r="J183" s="195">
        <f ca="1">IFERROR(__xludf.DUMMYFUNCTION("IMPORTRANGE(""https://docs.google.com/spreadsheets/d/1IYY_tgx_IHuhSq3AJ5eI5OnqOPBNLWSHKh2a30DoXe8/edit?usp=sharing"",""กระบี่!J108"")"),0)</f>
        <v>0</v>
      </c>
      <c r="K183" s="231"/>
      <c r="L183" s="176"/>
      <c r="M183" s="176"/>
      <c r="N183" s="176"/>
      <c r="O183" s="189"/>
      <c r="P183" s="189"/>
    </row>
    <row r="184" spans="1:16" ht="21.75" customHeight="1" x14ac:dyDescent="0.35">
      <c r="A184" s="183"/>
      <c r="B184" s="184"/>
      <c r="C184" s="184"/>
      <c r="D184" s="201"/>
      <c r="E184" s="202" t="s">
        <v>48</v>
      </c>
      <c r="F184" s="203"/>
      <c r="G184" s="204"/>
      <c r="H184" s="194"/>
      <c r="I184" s="195"/>
      <c r="J184" s="195">
        <f ca="1">IFERROR(__xludf.DUMMYFUNCTION("IMPORTRANGE(""https://docs.google.com/spreadsheets/d/1IYY_tgx_IHuhSq3AJ5eI5OnqOPBNLWSHKh2a30DoXe8/edit?usp=sharing"",""กระบี่!J109"")"),0)</f>
        <v>0</v>
      </c>
      <c r="K184" s="231"/>
      <c r="L184" s="176"/>
      <c r="M184" s="176"/>
      <c r="N184" s="176"/>
      <c r="O184" s="189"/>
      <c r="P184" s="189"/>
    </row>
    <row r="185" spans="1:16" ht="21.75" customHeight="1" x14ac:dyDescent="0.35">
      <c r="A185" s="183"/>
      <c r="B185" s="184"/>
      <c r="C185" s="184"/>
      <c r="D185" s="201"/>
      <c r="E185" s="206"/>
      <c r="F185" s="202" t="s">
        <v>86</v>
      </c>
      <c r="G185" s="204"/>
      <c r="H185" s="188" t="s">
        <v>83</v>
      </c>
      <c r="I185" s="195">
        <f ca="1">IFERROR(__xludf.DUMMYFUNCTION("IMPORTRANGE(""https://docs.google.com/spreadsheets/d/1IYY_tgx_IHuhSq3AJ5eI5OnqOPBNLWSHKh2a30DoXe8/edit?usp=sharing"",""กระบี่!I110"")"),0)</f>
        <v>0</v>
      </c>
      <c r="J185" s="211">
        <f ca="1">IFERROR(__xludf.DUMMYFUNCTION("IMPORTRANGE(""https://docs.google.com/spreadsheets/d/1IYY_tgx_IHuhSq3AJ5eI5OnqOPBNLWSHKh2a30DoXe8/edit?usp=sharing"",""กระบี่!J110"")"),0)</f>
        <v>0</v>
      </c>
      <c r="K185" s="231">
        <f t="shared" ref="K185:K186" ca="1" si="69">IF(I185&gt;0,J185*100/I185,0)</f>
        <v>0</v>
      </c>
      <c r="L185" s="176"/>
      <c r="M185" s="176"/>
      <c r="N185" s="173"/>
      <c r="O185" s="176"/>
      <c r="P185" s="176"/>
    </row>
    <row r="186" spans="1:16" ht="21.75" customHeight="1" x14ac:dyDescent="0.35">
      <c r="A186" s="183"/>
      <c r="B186" s="184"/>
      <c r="C186" s="184"/>
      <c r="D186" s="201"/>
      <c r="E186" s="206"/>
      <c r="F186" s="202" t="s">
        <v>87</v>
      </c>
      <c r="G186" s="204"/>
      <c r="H186" s="188" t="s">
        <v>83</v>
      </c>
      <c r="I186" s="195">
        <f ca="1">IFERROR(__xludf.DUMMYFUNCTION("IMPORTRANGE(""https://docs.google.com/spreadsheets/d/1IYY_tgx_IHuhSq3AJ5eI5OnqOPBNLWSHKh2a30DoXe8/edit?usp=sharing"",""กระบี่!I111"")"),0)</f>
        <v>0</v>
      </c>
      <c r="J186" s="211">
        <f ca="1">IFERROR(__xludf.DUMMYFUNCTION("IMPORTRANGE(""https://docs.google.com/spreadsheets/d/1IYY_tgx_IHuhSq3AJ5eI5OnqOPBNLWSHKh2a30DoXe8/edit?usp=sharing"",""กระบี่!J111"")"),0)</f>
        <v>0</v>
      </c>
      <c r="K186" s="231">
        <f t="shared" ca="1" si="69"/>
        <v>0</v>
      </c>
      <c r="L186" s="176"/>
      <c r="M186" s="176"/>
      <c r="N186" s="173"/>
      <c r="O186" s="176"/>
      <c r="P186" s="176"/>
    </row>
    <row r="187" spans="1:16" ht="21.75" customHeight="1" x14ac:dyDescent="0.35">
      <c r="A187" s="183"/>
      <c r="B187" s="184"/>
      <c r="C187" s="184"/>
      <c r="D187" s="201"/>
      <c r="E187" s="202" t="s">
        <v>54</v>
      </c>
      <c r="F187" s="203"/>
      <c r="G187" s="204"/>
      <c r="H187" s="194"/>
      <c r="I187" s="195"/>
      <c r="J187" s="195">
        <f ca="1">IFERROR(__xludf.DUMMYFUNCTION("IMPORTRANGE(""https://docs.google.com/spreadsheets/d/1IYY_tgx_IHuhSq3AJ5eI5OnqOPBNLWSHKh2a30DoXe8/edit?usp=sharing"",""กระบี่!J112"")"),0)</f>
        <v>0</v>
      </c>
      <c r="K187" s="231"/>
      <c r="L187" s="176"/>
      <c r="M187" s="176"/>
      <c r="N187" s="176"/>
      <c r="O187" s="189"/>
      <c r="P187" s="189"/>
    </row>
    <row r="188" spans="1:16" ht="21.75" customHeight="1" x14ac:dyDescent="0.35">
      <c r="A188" s="183"/>
      <c r="B188" s="184"/>
      <c r="C188" s="184"/>
      <c r="D188" s="213">
        <v>3</v>
      </c>
      <c r="E188" s="214" t="s">
        <v>55</v>
      </c>
      <c r="F188" s="215"/>
      <c r="G188" s="216"/>
      <c r="H188" s="194"/>
      <c r="I188" s="195"/>
      <c r="J188" s="234">
        <f ca="1">IFERROR(__xludf.DUMMYFUNCTION("IMPORTRANGE(""https://docs.google.com/spreadsheets/d/1IYY_tgx_IHuhSq3AJ5eI5OnqOPBNLWSHKh2a30DoXe8/edit?usp=sharing"",""กระบี่!J113"")"),0)</f>
        <v>0</v>
      </c>
      <c r="K188" s="231"/>
      <c r="L188" s="176"/>
      <c r="M188" s="176"/>
      <c r="N188" s="176"/>
      <c r="O188" s="189"/>
      <c r="P188" s="189"/>
    </row>
    <row r="189" spans="1:16" ht="21.75" customHeight="1" x14ac:dyDescent="0.35">
      <c r="A189" s="277"/>
      <c r="B189" s="278"/>
      <c r="C189" s="279" t="s">
        <v>88</v>
      </c>
      <c r="D189" s="279"/>
      <c r="E189" s="279"/>
      <c r="F189" s="279"/>
      <c r="G189" s="280"/>
      <c r="H189" s="292" t="s">
        <v>89</v>
      </c>
      <c r="I189" s="290">
        <f ca="1">IFERROR(__xludf.DUMMYFUNCTION("IMPORTRANGE(""https://docs.google.com/spreadsheets/d/1IYY_tgx_IHuhSq3AJ5eI5OnqOPBNLWSHKh2a30DoXe8/edit?usp=sharing"",""กระบี่!I114"")"),50000)</f>
        <v>50000</v>
      </c>
      <c r="J189" s="290">
        <f ca="1">IFERROR(__xludf.DUMMYFUNCTION("IMPORTRANGE(""https://docs.google.com/spreadsheets/d/1IYY_tgx_IHuhSq3AJ5eI5OnqOPBNLWSHKh2a30DoXe8/edit?usp=sharing"",""กระบี่!J114"")"),0)</f>
        <v>0</v>
      </c>
      <c r="K189" s="291">
        <f ca="1">IF(I189&gt;0,J189*100/I189,0)</f>
        <v>0</v>
      </c>
      <c r="L189" s="284"/>
      <c r="M189" s="284"/>
      <c r="N189" s="284"/>
      <c r="O189" s="284"/>
      <c r="P189" s="284"/>
    </row>
    <row r="190" spans="1:16" ht="21.75" customHeight="1" x14ac:dyDescent="0.35">
      <c r="A190" s="162"/>
      <c r="B190" s="163"/>
      <c r="C190" s="163" t="s">
        <v>16</v>
      </c>
      <c r="D190" s="164" t="s">
        <v>38</v>
      </c>
      <c r="E190" s="165"/>
      <c r="F190" s="165"/>
      <c r="G190" s="166" t="s">
        <v>39</v>
      </c>
      <c r="H190" s="167" t="s">
        <v>12</v>
      </c>
      <c r="I190" s="168" t="s">
        <v>40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 x14ac:dyDescent="0.35">
      <c r="A191" s="162"/>
      <c r="B191" s="163"/>
      <c r="C191" s="163"/>
      <c r="D191" s="172"/>
      <c r="E191" s="165"/>
      <c r="F191" s="165" t="s">
        <v>40</v>
      </c>
      <c r="G191" s="166" t="s">
        <v>41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 x14ac:dyDescent="0.35">
      <c r="A192" s="162"/>
      <c r="B192" s="163"/>
      <c r="C192" s="163"/>
      <c r="D192" s="172"/>
      <c r="E192" s="165"/>
      <c r="F192" s="165"/>
      <c r="G192" s="177" t="s">
        <v>43</v>
      </c>
      <c r="H192" s="167" t="s">
        <v>12</v>
      </c>
      <c r="I192" s="168"/>
      <c r="J192" s="168"/>
      <c r="K192" s="169"/>
      <c r="L192" s="176"/>
      <c r="M192" s="176"/>
      <c r="N192" s="173"/>
      <c r="O192" s="176"/>
      <c r="P192" s="176"/>
    </row>
    <row r="193" spans="1:16" ht="21.75" customHeight="1" x14ac:dyDescent="0.35">
      <c r="A193" s="183"/>
      <c r="B193" s="184"/>
      <c r="C193" s="163" t="s">
        <v>16</v>
      </c>
      <c r="D193" s="185" t="s">
        <v>44</v>
      </c>
      <c r="E193" s="186"/>
      <c r="F193" s="186"/>
      <c r="G193" s="187"/>
      <c r="H193" s="188"/>
      <c r="I193" s="168"/>
      <c r="J193" s="168"/>
      <c r="K193" s="169"/>
      <c r="L193" s="189"/>
      <c r="M193" s="189"/>
      <c r="N193" s="189"/>
      <c r="O193" s="189"/>
      <c r="P193" s="189"/>
    </row>
    <row r="194" spans="1:16" ht="21.75" customHeight="1" x14ac:dyDescent="0.35">
      <c r="A194" s="183"/>
      <c r="B194" s="184"/>
      <c r="C194" s="184"/>
      <c r="D194" s="190">
        <v>1</v>
      </c>
      <c r="E194" s="191" t="s">
        <v>45</v>
      </c>
      <c r="F194" s="192"/>
      <c r="G194" s="193"/>
      <c r="H194" s="194"/>
      <c r="I194" s="195"/>
      <c r="J194" s="205">
        <f ca="1">IFERROR(__xludf.DUMMYFUNCTION("IMPORTRANGE(""https://docs.google.com/spreadsheets/d/1IYY_tgx_IHuhSq3AJ5eI5OnqOPBNLWSHKh2a30DoXe8/edit?usp=sharing"",""กระบี่!J119"")"),0)</f>
        <v>0</v>
      </c>
      <c r="K194" s="169"/>
      <c r="L194" s="189"/>
      <c r="M194" s="189"/>
      <c r="N194" s="189"/>
      <c r="O194" s="189"/>
      <c r="P194" s="189"/>
    </row>
    <row r="195" spans="1:16" ht="21.75" customHeight="1" x14ac:dyDescent="0.35">
      <c r="A195" s="183"/>
      <c r="B195" s="184"/>
      <c r="C195" s="184"/>
      <c r="D195" s="197">
        <v>2</v>
      </c>
      <c r="E195" s="198" t="s">
        <v>46</v>
      </c>
      <c r="F195" s="199"/>
      <c r="G195" s="200"/>
      <c r="H195" s="194"/>
      <c r="I195" s="195"/>
      <c r="J195" s="196">
        <f ca="1">IFERROR(__xludf.DUMMYFUNCTION("IMPORTRANGE(""https://docs.google.com/spreadsheets/d/1IYY_tgx_IHuhSq3AJ5eI5OnqOPBNLWSHKh2a30DoXe8/edit?usp=sharing"",""กระบี่!J120"")"),1)</f>
        <v>1</v>
      </c>
      <c r="K195" s="169"/>
      <c r="L195" s="189"/>
      <c r="M195" s="189"/>
      <c r="N195" s="189"/>
      <c r="O195" s="189"/>
      <c r="P195" s="189"/>
    </row>
    <row r="196" spans="1:16" ht="21.75" customHeight="1" x14ac:dyDescent="0.35">
      <c r="A196" s="183"/>
      <c r="B196" s="184"/>
      <c r="C196" s="184"/>
      <c r="D196" s="201"/>
      <c r="E196" s="202" t="s">
        <v>47</v>
      </c>
      <c r="F196" s="203"/>
      <c r="G196" s="204"/>
      <c r="H196" s="194"/>
      <c r="I196" s="195"/>
      <c r="J196" s="196">
        <f ca="1">IFERROR(__xludf.DUMMYFUNCTION("IMPORTRANGE(""https://docs.google.com/spreadsheets/d/1IYY_tgx_IHuhSq3AJ5eI5OnqOPBNLWSHKh2a30DoXe8/edit?usp=sharing"",""กระบี่!J121"")"),1)</f>
        <v>1</v>
      </c>
      <c r="K196" s="169"/>
      <c r="L196" s="189"/>
      <c r="M196" s="189"/>
      <c r="N196" s="189"/>
      <c r="O196" s="189"/>
      <c r="P196" s="189"/>
    </row>
    <row r="197" spans="1:16" ht="21.75" customHeight="1" x14ac:dyDescent="0.35">
      <c r="A197" s="183"/>
      <c r="B197" s="184"/>
      <c r="C197" s="184"/>
      <c r="D197" s="201"/>
      <c r="E197" s="202" t="s">
        <v>48</v>
      </c>
      <c r="F197" s="203"/>
      <c r="G197" s="204"/>
      <c r="H197" s="194"/>
      <c r="I197" s="195"/>
      <c r="J197" s="205">
        <f ca="1">IFERROR(__xludf.DUMMYFUNCTION("IMPORTRANGE(""https://docs.google.com/spreadsheets/d/1IYY_tgx_IHuhSq3AJ5eI5OnqOPBNLWSHKh2a30DoXe8/edit?usp=sharing"",""กระบี่!J122"")"),1)</f>
        <v>1</v>
      </c>
      <c r="K197" s="169"/>
      <c r="L197" s="189"/>
      <c r="M197" s="189"/>
      <c r="N197" s="189"/>
      <c r="O197" s="189"/>
      <c r="P197" s="189"/>
    </row>
    <row r="198" spans="1:16" ht="21.75" customHeight="1" x14ac:dyDescent="0.35">
      <c r="A198" s="183"/>
      <c r="B198" s="184"/>
      <c r="C198" s="184"/>
      <c r="D198" s="201"/>
      <c r="E198" s="203"/>
      <c r="F198" s="203" t="s">
        <v>90</v>
      </c>
      <c r="G198" s="204"/>
      <c r="H198" s="188"/>
      <c r="I198" s="195"/>
      <c r="J198" s="195"/>
      <c r="K198" s="169"/>
      <c r="L198" s="189"/>
      <c r="M198" s="189"/>
      <c r="N198" s="189"/>
      <c r="O198" s="189"/>
      <c r="P198" s="189"/>
    </row>
    <row r="199" spans="1:16" ht="21.75" customHeight="1" x14ac:dyDescent="0.35">
      <c r="A199" s="183"/>
      <c r="B199" s="184"/>
      <c r="C199" s="184"/>
      <c r="D199" s="201"/>
      <c r="E199" s="206"/>
      <c r="F199" s="203"/>
      <c r="G199" s="202" t="s">
        <v>91</v>
      </c>
      <c r="H199" s="188" t="s">
        <v>89</v>
      </c>
      <c r="I199" s="195">
        <f ca="1">IFERROR(__xludf.DUMMYFUNCTION("IMPORTRANGE(""https://docs.google.com/spreadsheets/d/1IYY_tgx_IHuhSq3AJ5eI5OnqOPBNLWSHKh2a30DoXe8/edit?usp=sharing"",""กระบี่!I124"")"),50000)</f>
        <v>50000</v>
      </c>
      <c r="J199" s="196">
        <f ca="1">IFERROR(__xludf.DUMMYFUNCTION("IMPORTRANGE(""https://docs.google.com/spreadsheets/d/1IYY_tgx_IHuhSq3AJ5eI5OnqOPBNLWSHKh2a30DoXe8/edit?usp=sharing"",""กระบี่!J124"")"),50000)</f>
        <v>50000</v>
      </c>
      <c r="K199" s="169">
        <f t="shared" ref="K199:K201" ca="1" si="70">IF(I199&gt;0,J199*100/I199,0)</f>
        <v>100</v>
      </c>
      <c r="L199" s="189"/>
      <c r="M199" s="189"/>
      <c r="N199" s="189"/>
      <c r="O199" s="189"/>
      <c r="P199" s="189"/>
    </row>
    <row r="200" spans="1:16" ht="21.75" customHeight="1" x14ac:dyDescent="0.35">
      <c r="A200" s="183"/>
      <c r="B200" s="184"/>
      <c r="C200" s="184"/>
      <c r="D200" s="201"/>
      <c r="E200" s="206"/>
      <c r="F200" s="203"/>
      <c r="G200" s="202" t="s">
        <v>92</v>
      </c>
      <c r="H200" s="188" t="s">
        <v>89</v>
      </c>
      <c r="I200" s="195">
        <f ca="1">IFERROR(__xludf.DUMMYFUNCTION("IMPORTRANGE(""https://docs.google.com/spreadsheets/d/1IYY_tgx_IHuhSq3AJ5eI5OnqOPBNLWSHKh2a30DoXe8/edit?usp=sharing"",""กระบี่!I125"")"),50000)</f>
        <v>50000</v>
      </c>
      <c r="J200" s="196">
        <f ca="1">IFERROR(__xludf.DUMMYFUNCTION("IMPORTRANGE(""https://docs.google.com/spreadsheets/d/1IYY_tgx_IHuhSq3AJ5eI5OnqOPBNLWSHKh2a30DoXe8/edit?usp=sharing"",""กระบี่!J125"")"),0)</f>
        <v>0</v>
      </c>
      <c r="K200" s="169">
        <f t="shared" ca="1" si="70"/>
        <v>0</v>
      </c>
      <c r="L200" s="176"/>
      <c r="M200" s="176"/>
      <c r="N200" s="173"/>
      <c r="O200" s="176"/>
      <c r="P200" s="176"/>
    </row>
    <row r="201" spans="1:16" ht="21.75" customHeight="1" x14ac:dyDescent="0.35">
      <c r="A201" s="183"/>
      <c r="B201" s="184"/>
      <c r="C201" s="184"/>
      <c r="D201" s="201"/>
      <c r="E201" s="206"/>
      <c r="F201" s="203" t="s">
        <v>93</v>
      </c>
      <c r="G201" s="204"/>
      <c r="H201" s="188" t="s">
        <v>37</v>
      </c>
      <c r="I201" s="195">
        <f ca="1">IFERROR(__xludf.DUMMYFUNCTION("IMPORTRANGE(""https://docs.google.com/spreadsheets/d/1IYY_tgx_IHuhSq3AJ5eI5OnqOPBNLWSHKh2a30DoXe8/edit?usp=sharing"",""กระบี่!I126"")"),15)</f>
        <v>15</v>
      </c>
      <c r="J201" s="196">
        <f ca="1">IFERROR(__xludf.DUMMYFUNCTION("IMPORTRANGE(""https://docs.google.com/spreadsheets/d/1IYY_tgx_IHuhSq3AJ5eI5OnqOPBNLWSHKh2a30DoXe8/edit?usp=sharing"",""กระบี่!J126"")"),15)</f>
        <v>15</v>
      </c>
      <c r="K201" s="169">
        <f t="shared" ca="1" si="70"/>
        <v>100</v>
      </c>
      <c r="L201" s="176"/>
      <c r="M201" s="176"/>
      <c r="N201" s="173"/>
      <c r="O201" s="176"/>
      <c r="P201" s="176"/>
    </row>
    <row r="202" spans="1:16" ht="21.75" customHeight="1" x14ac:dyDescent="0.35">
      <c r="A202" s="183"/>
      <c r="B202" s="184"/>
      <c r="C202" s="184"/>
      <c r="D202" s="201"/>
      <c r="E202" s="202" t="s">
        <v>54</v>
      </c>
      <c r="F202" s="203"/>
      <c r="G202" s="204"/>
      <c r="H202" s="194"/>
      <c r="I202" s="195"/>
      <c r="J202" s="205">
        <f ca="1">IFERROR(__xludf.DUMMYFUNCTION("IMPORTRANGE(""https://docs.google.com/spreadsheets/d/1IYY_tgx_IHuhSq3AJ5eI5OnqOPBNLWSHKh2a30DoXe8/edit?usp=sharing"",""กระบี่!J127"")"),0)</f>
        <v>0</v>
      </c>
      <c r="K202" s="169"/>
      <c r="L202" s="189"/>
      <c r="M202" s="189"/>
      <c r="N202" s="189"/>
      <c r="O202" s="189"/>
      <c r="P202" s="189"/>
    </row>
    <row r="203" spans="1:16" ht="21.75" customHeight="1" x14ac:dyDescent="0.35">
      <c r="A203" s="241"/>
      <c r="B203" s="242"/>
      <c r="C203" s="242"/>
      <c r="D203" s="243">
        <v>3</v>
      </c>
      <c r="E203" s="244" t="s">
        <v>55</v>
      </c>
      <c r="F203" s="245"/>
      <c r="G203" s="246"/>
      <c r="H203" s="247"/>
      <c r="I203" s="248"/>
      <c r="J203" s="293">
        <f ca="1">IFERROR(__xludf.DUMMYFUNCTION("IMPORTRANGE(""https://docs.google.com/spreadsheets/d/1IYY_tgx_IHuhSq3AJ5eI5OnqOPBNLWSHKh2a30DoXe8/edit?usp=sharing"",""กระบี่!J128"")"),0)</f>
        <v>0</v>
      </c>
      <c r="K203" s="294"/>
      <c r="L203" s="252"/>
      <c r="M203" s="252"/>
      <c r="N203" s="252"/>
      <c r="O203" s="252"/>
      <c r="P203" s="252"/>
    </row>
    <row r="204" spans="1:16" ht="21.75" customHeight="1" x14ac:dyDescent="0.35">
      <c r="A204" s="277"/>
      <c r="B204" s="278"/>
      <c r="C204" s="295" t="s">
        <v>94</v>
      </c>
      <c r="D204" s="279"/>
      <c r="E204" s="279"/>
      <c r="F204" s="279"/>
      <c r="G204" s="280"/>
      <c r="H204" s="292" t="s">
        <v>37</v>
      </c>
      <c r="I204" s="290">
        <f ca="1">IFERROR(__xludf.DUMMYFUNCTION("IMPORTRANGE(""https://docs.google.com/spreadsheets/d/1IYY_tgx_IHuhSq3AJ5eI5OnqOPBNLWSHKh2a30DoXe8/edit?usp=sharing"",""กระบี่!I129"")"),0)</f>
        <v>0</v>
      </c>
      <c r="J204" s="290">
        <f ca="1">IFERROR(__xludf.DUMMYFUNCTION("IMPORTRANGE(""https://docs.google.com/spreadsheets/d/1IYY_tgx_IHuhSq3AJ5eI5OnqOPBNLWSHKh2a30DoXe8/edit?usp=sharing"",""กระบี่!J129"")"),0)</f>
        <v>0</v>
      </c>
      <c r="K204" s="291">
        <f ca="1">IF(I204&gt;0,J204*100/I204,0)</f>
        <v>0</v>
      </c>
      <c r="L204" s="284"/>
      <c r="M204" s="284"/>
      <c r="N204" s="284"/>
      <c r="O204" s="284"/>
      <c r="P204" s="284"/>
    </row>
    <row r="205" spans="1:16" ht="21.75" customHeight="1" x14ac:dyDescent="0.35">
      <c r="A205" s="162"/>
      <c r="B205" s="163"/>
      <c r="C205" s="163" t="s">
        <v>16</v>
      </c>
      <c r="D205" s="164" t="s">
        <v>38</v>
      </c>
      <c r="E205" s="165"/>
      <c r="F205" s="165"/>
      <c r="G205" s="166" t="s">
        <v>39</v>
      </c>
      <c r="H205" s="167" t="s">
        <v>12</v>
      </c>
      <c r="I205" s="168" t="s">
        <v>40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 x14ac:dyDescent="0.35">
      <c r="A206" s="162"/>
      <c r="B206" s="163"/>
      <c r="C206" s="163"/>
      <c r="D206" s="172"/>
      <c r="E206" s="165"/>
      <c r="F206" s="165" t="s">
        <v>40</v>
      </c>
      <c r="G206" s="166" t="s">
        <v>41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 x14ac:dyDescent="0.35">
      <c r="A207" s="162"/>
      <c r="B207" s="163"/>
      <c r="C207" s="163"/>
      <c r="D207" s="172"/>
      <c r="E207" s="165"/>
      <c r="F207" s="165"/>
      <c r="G207" s="177" t="s">
        <v>43</v>
      </c>
      <c r="H207" s="167" t="s">
        <v>12</v>
      </c>
      <c r="I207" s="168"/>
      <c r="J207" s="195"/>
      <c r="K207" s="231"/>
      <c r="L207" s="176"/>
      <c r="M207" s="176"/>
      <c r="N207" s="173"/>
      <c r="O207" s="176"/>
      <c r="P207" s="176"/>
    </row>
    <row r="208" spans="1:16" ht="21.75" customHeight="1" x14ac:dyDescent="0.35">
      <c r="A208" s="183"/>
      <c r="B208" s="184"/>
      <c r="C208" s="163" t="s">
        <v>16</v>
      </c>
      <c r="D208" s="185" t="s">
        <v>44</v>
      </c>
      <c r="E208" s="186"/>
      <c r="F208" s="186"/>
      <c r="G208" s="187"/>
      <c r="H208" s="188"/>
      <c r="I208" s="168"/>
      <c r="J208" s="195"/>
      <c r="K208" s="231"/>
      <c r="L208" s="176"/>
      <c r="M208" s="176"/>
      <c r="N208" s="176"/>
      <c r="O208" s="189"/>
      <c r="P208" s="189"/>
    </row>
    <row r="209" spans="1:16" ht="21.75" customHeight="1" x14ac:dyDescent="0.35">
      <c r="A209" s="183"/>
      <c r="B209" s="184"/>
      <c r="C209" s="184"/>
      <c r="D209" s="190">
        <v>1</v>
      </c>
      <c r="E209" s="191" t="s">
        <v>45</v>
      </c>
      <c r="F209" s="192"/>
      <c r="G209" s="193"/>
      <c r="H209" s="194"/>
      <c r="I209" s="195"/>
      <c r="J209" s="195">
        <f ca="1">IFERROR(__xludf.DUMMYFUNCTION("IMPORTRANGE(""https://docs.google.com/spreadsheets/d/1IYY_tgx_IHuhSq3AJ5eI5OnqOPBNLWSHKh2a30DoXe8/edit?usp=sharing"",""กระบี่!J134"")"),0)</f>
        <v>0</v>
      </c>
      <c r="K209" s="231"/>
      <c r="L209" s="176"/>
      <c r="M209" s="176"/>
      <c r="N209" s="176"/>
      <c r="O209" s="189"/>
      <c r="P209" s="189"/>
    </row>
    <row r="210" spans="1:16" ht="21.75" customHeight="1" x14ac:dyDescent="0.35">
      <c r="A210" s="183"/>
      <c r="B210" s="184"/>
      <c r="C210" s="184"/>
      <c r="D210" s="197">
        <v>2</v>
      </c>
      <c r="E210" s="198" t="s">
        <v>46</v>
      </c>
      <c r="F210" s="199"/>
      <c r="G210" s="200"/>
      <c r="H210" s="194"/>
      <c r="I210" s="195"/>
      <c r="J210" s="195">
        <f ca="1">IFERROR(__xludf.DUMMYFUNCTION("IMPORTRANGE(""https://docs.google.com/spreadsheets/d/1IYY_tgx_IHuhSq3AJ5eI5OnqOPBNLWSHKh2a30DoXe8/edit?usp=sharing"",""กระบี่!J135"")"),0)</f>
        <v>0</v>
      </c>
      <c r="K210" s="231"/>
      <c r="L210" s="176"/>
      <c r="M210" s="176"/>
      <c r="N210" s="176"/>
      <c r="O210" s="189"/>
      <c r="P210" s="189"/>
    </row>
    <row r="211" spans="1:16" ht="21.75" customHeight="1" x14ac:dyDescent="0.35">
      <c r="A211" s="183"/>
      <c r="B211" s="184"/>
      <c r="C211" s="184"/>
      <c r="D211" s="201"/>
      <c r="E211" s="202" t="s">
        <v>47</v>
      </c>
      <c r="F211" s="203"/>
      <c r="G211" s="204"/>
      <c r="H211" s="194"/>
      <c r="I211" s="195"/>
      <c r="J211" s="195">
        <f ca="1">IFERROR(__xludf.DUMMYFUNCTION("IMPORTRANGE(""https://docs.google.com/spreadsheets/d/1IYY_tgx_IHuhSq3AJ5eI5OnqOPBNLWSHKh2a30DoXe8/edit?usp=sharing"",""กระบี่!J136"")"),0)</f>
        <v>0</v>
      </c>
      <c r="K211" s="231"/>
      <c r="L211" s="176"/>
      <c r="M211" s="176"/>
      <c r="N211" s="176"/>
      <c r="O211" s="189"/>
      <c r="P211" s="189"/>
    </row>
    <row r="212" spans="1:16" ht="21.75" customHeight="1" x14ac:dyDescent="0.35">
      <c r="A212" s="183"/>
      <c r="B212" s="184"/>
      <c r="C212" s="184"/>
      <c r="D212" s="201"/>
      <c r="E212" s="202" t="s">
        <v>48</v>
      </c>
      <c r="F212" s="203"/>
      <c r="G212" s="204"/>
      <c r="H212" s="194"/>
      <c r="I212" s="195"/>
      <c r="J212" s="195">
        <f ca="1">IFERROR(__xludf.DUMMYFUNCTION("IMPORTRANGE(""https://docs.google.com/spreadsheets/d/1IYY_tgx_IHuhSq3AJ5eI5OnqOPBNLWSHKh2a30DoXe8/edit?usp=sharing"",""กระบี่!J137"")"),0)</f>
        <v>0</v>
      </c>
      <c r="K212" s="231"/>
      <c r="L212" s="176"/>
      <c r="M212" s="176"/>
      <c r="N212" s="176"/>
      <c r="O212" s="189"/>
      <c r="P212" s="189"/>
    </row>
    <row r="213" spans="1:16" ht="21.75" customHeight="1" x14ac:dyDescent="0.35">
      <c r="A213" s="183"/>
      <c r="B213" s="184"/>
      <c r="C213" s="184"/>
      <c r="D213" s="201"/>
      <c r="E213" s="206"/>
      <c r="F213" s="203" t="s">
        <v>95</v>
      </c>
      <c r="G213" s="204"/>
      <c r="H213" s="188" t="s">
        <v>37</v>
      </c>
      <c r="I213" s="195">
        <f ca="1">IFERROR(__xludf.DUMMYFUNCTION("IMPORTRANGE(""https://docs.google.com/spreadsheets/d/1IYY_tgx_IHuhSq3AJ5eI5OnqOPBNLWSHKh2a30DoXe8/edit?usp=sharing"",""กระบี่!I138"")"),0)</f>
        <v>0</v>
      </c>
      <c r="J213" s="211">
        <f ca="1">IFERROR(__xludf.DUMMYFUNCTION("IMPORTRANGE(""https://docs.google.com/spreadsheets/d/1IYY_tgx_IHuhSq3AJ5eI5OnqOPBNLWSHKh2a30DoXe8/edit?usp=sharing"",""กระบี่!J138"")"),0)</f>
        <v>0</v>
      </c>
      <c r="K213" s="231">
        <f ca="1">IF(I213&gt;0,J213*100/I213,0)</f>
        <v>0</v>
      </c>
      <c r="L213" s="176"/>
      <c r="M213" s="176"/>
      <c r="N213" s="173"/>
      <c r="O213" s="176"/>
      <c r="P213" s="176"/>
    </row>
    <row r="214" spans="1:16" ht="21.75" customHeight="1" x14ac:dyDescent="0.35">
      <c r="A214" s="183"/>
      <c r="B214" s="184"/>
      <c r="C214" s="184"/>
      <c r="D214" s="201"/>
      <c r="E214" s="206"/>
      <c r="F214" s="202" t="s">
        <v>53</v>
      </c>
      <c r="G214" s="204"/>
      <c r="H214" s="188"/>
      <c r="I214" s="195"/>
      <c r="J214" s="195"/>
      <c r="K214" s="231"/>
      <c r="L214" s="176"/>
      <c r="M214" s="176"/>
      <c r="N214" s="176"/>
      <c r="O214" s="189"/>
      <c r="P214" s="189"/>
    </row>
    <row r="215" spans="1:16" ht="21.75" customHeight="1" x14ac:dyDescent="0.35">
      <c r="A215" s="183"/>
      <c r="B215" s="184"/>
      <c r="C215" s="184"/>
      <c r="D215" s="201"/>
      <c r="E215" s="206"/>
      <c r="F215" s="203"/>
      <c r="G215" s="233" t="s">
        <v>96</v>
      </c>
      <c r="H215" s="188" t="s">
        <v>37</v>
      </c>
      <c r="I215" s="195">
        <f ca="1">IFERROR(__xludf.DUMMYFUNCTION("IMPORTRANGE(""https://docs.google.com/spreadsheets/d/1IYY_tgx_IHuhSq3AJ5eI5OnqOPBNLWSHKh2a30DoXe8/edit?usp=sharing"",""กระบี่!I140"")"),0)</f>
        <v>0</v>
      </c>
      <c r="J215" s="211">
        <f ca="1">IFERROR(__xludf.DUMMYFUNCTION("IMPORTRANGE(""https://docs.google.com/spreadsheets/d/1IYY_tgx_IHuhSq3AJ5eI5OnqOPBNLWSHKh2a30DoXe8/edit?usp=sharing"",""กระบี่!J140"")"),0)</f>
        <v>0</v>
      </c>
      <c r="K215" s="231">
        <f t="shared" ref="K215:K216" ca="1" si="71">IF(I215&gt;0,J215*100/I215,0)</f>
        <v>0</v>
      </c>
      <c r="L215" s="176"/>
      <c r="M215" s="176"/>
      <c r="N215" s="173"/>
      <c r="O215" s="176"/>
      <c r="P215" s="176"/>
    </row>
    <row r="216" spans="1:16" ht="21.75" customHeight="1" x14ac:dyDescent="0.35">
      <c r="A216" s="183"/>
      <c r="B216" s="184"/>
      <c r="C216" s="184"/>
      <c r="D216" s="201"/>
      <c r="E216" s="206"/>
      <c r="F216" s="203"/>
      <c r="G216" s="233" t="s">
        <v>97</v>
      </c>
      <c r="H216" s="188" t="s">
        <v>59</v>
      </c>
      <c r="I216" s="195">
        <f ca="1">IFERROR(__xludf.DUMMYFUNCTION("IMPORTRANGE(""https://docs.google.com/spreadsheets/d/1IYY_tgx_IHuhSq3AJ5eI5OnqOPBNLWSHKh2a30DoXe8/edit?usp=sharing"",""กระบี่!I141"")"),0)</f>
        <v>0</v>
      </c>
      <c r="J216" s="211">
        <f ca="1">IFERROR(__xludf.DUMMYFUNCTION("IMPORTRANGE(""https://docs.google.com/spreadsheets/d/1IYY_tgx_IHuhSq3AJ5eI5OnqOPBNLWSHKh2a30DoXe8/edit?usp=sharing"",""กระบี่!J141"")"),0)</f>
        <v>0</v>
      </c>
      <c r="K216" s="231">
        <f t="shared" ca="1" si="71"/>
        <v>0</v>
      </c>
      <c r="L216" s="176"/>
      <c r="M216" s="176"/>
      <c r="N216" s="173"/>
      <c r="O216" s="176"/>
      <c r="P216" s="176"/>
    </row>
    <row r="217" spans="1:16" ht="21.75" customHeight="1" x14ac:dyDescent="0.35">
      <c r="A217" s="183"/>
      <c r="B217" s="184"/>
      <c r="C217" s="184"/>
      <c r="D217" s="201"/>
      <c r="E217" s="202" t="s">
        <v>54</v>
      </c>
      <c r="F217" s="203"/>
      <c r="G217" s="204"/>
      <c r="H217" s="194"/>
      <c r="I217" s="195"/>
      <c r="J217" s="195">
        <f ca="1">IFERROR(__xludf.DUMMYFUNCTION("IMPORTRANGE(""https://docs.google.com/spreadsheets/d/1IYY_tgx_IHuhSq3AJ5eI5OnqOPBNLWSHKh2a30DoXe8/edit?usp=sharing"",""กระบี่!J142"")"),0)</f>
        <v>0</v>
      </c>
      <c r="K217" s="231"/>
      <c r="L217" s="176"/>
      <c r="M217" s="176"/>
      <c r="N217" s="176"/>
      <c r="O217" s="189"/>
      <c r="P217" s="189"/>
    </row>
    <row r="218" spans="1:16" ht="21.75" customHeight="1" x14ac:dyDescent="0.35">
      <c r="A218" s="241"/>
      <c r="B218" s="242"/>
      <c r="C218" s="242"/>
      <c r="D218" s="243">
        <v>3</v>
      </c>
      <c r="E218" s="244" t="s">
        <v>55</v>
      </c>
      <c r="F218" s="245"/>
      <c r="G218" s="246"/>
      <c r="H218" s="247"/>
      <c r="I218" s="248"/>
      <c r="J218" s="249">
        <f ca="1">IFERROR(__xludf.DUMMYFUNCTION("IMPORTRANGE(""https://docs.google.com/spreadsheets/d/1IYY_tgx_IHuhSq3AJ5eI5OnqOPBNLWSHKh2a30DoXe8/edit?usp=sharing"",""กระบี่!J143"")"),0)</f>
        <v>0</v>
      </c>
      <c r="K218" s="250"/>
      <c r="L218" s="251"/>
      <c r="M218" s="251"/>
      <c r="N218" s="251"/>
      <c r="O218" s="252"/>
      <c r="P218" s="252"/>
    </row>
    <row r="219" spans="1:16" ht="21.75" customHeight="1" x14ac:dyDescent="0.35">
      <c r="A219" s="269"/>
      <c r="B219" s="270" t="s">
        <v>98</v>
      </c>
      <c r="C219" s="271"/>
      <c r="D219" s="270"/>
      <c r="E219" s="270"/>
      <c r="F219" s="270"/>
      <c r="G219" s="272"/>
      <c r="H219" s="273" t="s">
        <v>37</v>
      </c>
      <c r="I219" s="274">
        <f ca="1">IFERROR(__xludf.DUMMYFUNCTION("IMPORTRANGE(""https://docs.google.com/spreadsheets/d/1IYY_tgx_IHuhSq3AJ5eI5OnqOPBNLWSHKh2a30DoXe8/edit?usp=sharing"",""กระบี่!I144"")"),13)</f>
        <v>13</v>
      </c>
      <c r="J219" s="274">
        <f ca="1">IFERROR(__xludf.DUMMYFUNCTION("IMPORTRANGE(""https://docs.google.com/spreadsheets/d/1IYY_tgx_IHuhSq3AJ5eI5OnqOPBNLWSHKh2a30DoXe8/edit?usp=sharing"",""กระบี่!J144"")"),13)</f>
        <v>13</v>
      </c>
      <c r="K219" s="275">
        <f ca="1">IF(I219&gt;0,J219*100/I219,0)</f>
        <v>100</v>
      </c>
      <c r="L219" s="276"/>
      <c r="M219" s="276"/>
      <c r="N219" s="276"/>
      <c r="O219" s="275"/>
      <c r="P219" s="275"/>
    </row>
    <row r="220" spans="1:16" ht="21.75" customHeight="1" x14ac:dyDescent="0.45">
      <c r="A220" s="150"/>
      <c r="B220" s="151"/>
      <c r="C220" s="152" t="s">
        <v>16</v>
      </c>
      <c r="D220" s="552" t="s">
        <v>17</v>
      </c>
      <c r="E220" s="543"/>
      <c r="F220" s="543"/>
      <c r="G220" s="543"/>
      <c r="H220" s="153" t="s">
        <v>12</v>
      </c>
      <c r="I220" s="168"/>
      <c r="J220" s="168"/>
      <c r="K220" s="169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8"/>
      <c r="J221" s="168"/>
      <c r="K221" s="169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8"/>
      <c r="J222" s="168"/>
      <c r="K222" s="169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5">
      <c r="A223" s="162"/>
      <c r="B223" s="163"/>
      <c r="C223" s="163" t="s">
        <v>16</v>
      </c>
      <c r="D223" s="164" t="s">
        <v>38</v>
      </c>
      <c r="E223" s="165"/>
      <c r="F223" s="165"/>
      <c r="G223" s="166" t="s">
        <v>39</v>
      </c>
      <c r="H223" s="167" t="s">
        <v>12</v>
      </c>
      <c r="I223" s="168" t="s">
        <v>40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 x14ac:dyDescent="0.35">
      <c r="A224" s="162"/>
      <c r="B224" s="163"/>
      <c r="C224" s="163"/>
      <c r="D224" s="172"/>
      <c r="E224" s="165"/>
      <c r="F224" s="165" t="s">
        <v>40</v>
      </c>
      <c r="G224" s="166" t="s">
        <v>41</v>
      </c>
      <c r="H224" s="167" t="s">
        <v>12</v>
      </c>
      <c r="I224" s="168"/>
      <c r="J224" s="168"/>
      <c r="K224" s="169"/>
      <c r="L224" s="173">
        <f ca="1">L225+L226</f>
        <v>19295</v>
      </c>
      <c r="M224" s="174">
        <f ca="1">IFERROR(__xludf.DUMMYFUNCTION("IMPORTRANGE(""https://docs.google.com/spreadsheets/d/1Yj_ptqi66GCucihVvJfMjLAmec39IyEx_6qawtMGysU/edit?usp=sharing"",""สบก!BS81"")"),19295)</f>
        <v>19295</v>
      </c>
      <c r="N224" s="175">
        <f ca="1">IFERROR(__xludf.DUMMYFUNCTION("IMPORTRANGE(""https://docs.google.com/spreadsheets/d/1Yj_ptqi66GCucihVvJfMjLAmec39IyEx_6qawtMGysU/edit?usp=sharing"",""สบก!BT81"")"),19295)</f>
        <v>19295</v>
      </c>
      <c r="O224" s="176">
        <f ca="1">IF(L224&gt;0,N224*100/L224,0)</f>
        <v>100</v>
      </c>
      <c r="P224" s="176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2"/>
      <c r="E225" s="165"/>
      <c r="F225" s="165"/>
      <c r="G225" s="177" t="s">
        <v>42</v>
      </c>
      <c r="H225" s="167" t="s">
        <v>12</v>
      </c>
      <c r="I225" s="168"/>
      <c r="J225" s="168"/>
      <c r="K225" s="169"/>
      <c r="L225" s="174">
        <f ca="1">IFERROR(__xludf.DUMMYFUNCTION("IMPORTRANGE(""https://docs.google.com/spreadsheets/d/1Yj_ptqi66GCucihVvJfMjLAmec39IyEx_6qawtMGysU/edit?usp=sharing"",""สบก!BO81"")"),0)</f>
        <v>0</v>
      </c>
      <c r="M225" s="173"/>
      <c r="N225" s="173"/>
      <c r="O225" s="176"/>
      <c r="P225" s="176"/>
    </row>
    <row r="226" spans="1:16" ht="21.75" customHeight="1" x14ac:dyDescent="0.35">
      <c r="A226" s="162"/>
      <c r="B226" s="163"/>
      <c r="C226" s="163"/>
      <c r="D226" s="172"/>
      <c r="E226" s="165"/>
      <c r="F226" s="165"/>
      <c r="G226" s="177" t="s">
        <v>43</v>
      </c>
      <c r="H226" s="167" t="s">
        <v>12</v>
      </c>
      <c r="I226" s="168"/>
      <c r="J226" s="168"/>
      <c r="K226" s="169"/>
      <c r="L226" s="174">
        <f ca="1">IFERROR(__xludf.DUMMYFUNCTION("IMPORTRANGE(""https://docs.google.com/spreadsheets/d/1Yj_ptqi66GCucihVvJfMjLAmec39IyEx_6qawtMGysU/edit?usp=sharing"",""สบก!BP81"")"),19295)</f>
        <v>19295</v>
      </c>
      <c r="M226" s="173"/>
      <c r="N226" s="173"/>
      <c r="O226" s="176"/>
      <c r="P226" s="176"/>
    </row>
    <row r="227" spans="1:16" ht="21.75" customHeight="1" x14ac:dyDescent="0.45">
      <c r="A227" s="178"/>
      <c r="B227" s="81"/>
      <c r="C227" s="82" t="s">
        <v>16</v>
      </c>
      <c r="D227" s="549" t="s">
        <v>23</v>
      </c>
      <c r="E227" s="545"/>
      <c r="F227" s="89"/>
      <c r="G227" s="83" t="s">
        <v>18</v>
      </c>
      <c r="H227" s="179" t="s">
        <v>12</v>
      </c>
      <c r="I227" s="208"/>
      <c r="J227" s="208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80"/>
      <c r="B228" s="95"/>
      <c r="C228" s="95"/>
      <c r="D228" s="181"/>
      <c r="E228" s="96"/>
      <c r="F228" s="96"/>
      <c r="G228" s="97" t="s">
        <v>19</v>
      </c>
      <c r="H228" s="182" t="s">
        <v>12</v>
      </c>
      <c r="I228" s="208"/>
      <c r="J228" s="208"/>
      <c r="K228" s="296"/>
      <c r="L228" s="91">
        <f ca="1">IFERROR(__xludf.DUMMYFUNCTION("IMPORTRANGE(""https://docs.google.com/spreadsheets/d/1Yj_ptqi66GCucihVvJfMjLAmec39IyEx_6qawtMGysU/edit?usp=sharing"",""สบก!BQ81"")"),0)</f>
        <v>0</v>
      </c>
      <c r="M228" s="101"/>
      <c r="N228" s="91">
        <f ca="1">IFERROR(__xludf.DUMMYFUNCTION("IMPORTRANGE(""https://docs.google.com/spreadsheets/d/1Yj_ptqi66GCucihVvJfMjLAmec39IyEx_6qawtMGysU/edit?usp=sharing"",""สบก!BU81"")"),0)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3"/>
      <c r="B229" s="297"/>
      <c r="C229" s="271" t="s">
        <v>99</v>
      </c>
      <c r="D229" s="270"/>
      <c r="E229" s="270"/>
      <c r="F229" s="270"/>
      <c r="G229" s="272"/>
      <c r="H229" s="273" t="s">
        <v>37</v>
      </c>
      <c r="I229" s="274">
        <f ca="1">IFERROR(__xludf.DUMMYFUNCTION("IMPORTRANGE(""https://docs.google.com/spreadsheets/d/1IYY_tgx_IHuhSq3AJ5eI5OnqOPBNLWSHKh2a30DoXe8/edit?usp=sharing"",""กระบี่!I149"")"),13)</f>
        <v>13</v>
      </c>
      <c r="J229" s="274">
        <f ca="1">IFERROR(__xludf.DUMMYFUNCTION("IMPORTRANGE(""https://docs.google.com/spreadsheets/d/1IYY_tgx_IHuhSq3AJ5eI5OnqOPBNLWSHKh2a30DoXe8/edit?usp=sharing"",""กระบี่!J149"")"),13)</f>
        <v>13</v>
      </c>
      <c r="K229" s="275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3"/>
      <c r="B230" s="184"/>
      <c r="C230" s="163" t="s">
        <v>16</v>
      </c>
      <c r="D230" s="185" t="s">
        <v>44</v>
      </c>
      <c r="E230" s="186"/>
      <c r="F230" s="186"/>
      <c r="G230" s="187"/>
      <c r="H230" s="188"/>
      <c r="I230" s="168"/>
      <c r="J230" s="168"/>
      <c r="K230" s="169"/>
      <c r="L230" s="189"/>
      <c r="M230" s="189"/>
      <c r="N230" s="189"/>
      <c r="O230" s="189"/>
      <c r="P230" s="189"/>
    </row>
    <row r="231" spans="1:16" ht="21.75" customHeight="1" x14ac:dyDescent="0.35">
      <c r="A231" s="183"/>
      <c r="B231" s="184"/>
      <c r="C231" s="184"/>
      <c r="D231" s="190">
        <v>1</v>
      </c>
      <c r="E231" s="191" t="s">
        <v>45</v>
      </c>
      <c r="F231" s="192"/>
      <c r="G231" s="193"/>
      <c r="H231" s="194"/>
      <c r="I231" s="195"/>
      <c r="J231" s="205">
        <f ca="1">IFERROR(__xludf.DUMMYFUNCTION("IMPORTRANGE(""https://docs.google.com/spreadsheets/d/1IYY_tgx_IHuhSq3AJ5eI5OnqOPBNLWSHKh2a30DoXe8/edit?usp=sharing"",""กระบี่!J151"")"),0)</f>
        <v>0</v>
      </c>
      <c r="K231" s="169"/>
      <c r="L231" s="189"/>
      <c r="M231" s="189"/>
      <c r="N231" s="189"/>
      <c r="O231" s="189"/>
      <c r="P231" s="189"/>
    </row>
    <row r="232" spans="1:16" ht="21.75" customHeight="1" x14ac:dyDescent="0.35">
      <c r="A232" s="183"/>
      <c r="B232" s="184"/>
      <c r="C232" s="184"/>
      <c r="D232" s="197">
        <v>2</v>
      </c>
      <c r="E232" s="198" t="s">
        <v>46</v>
      </c>
      <c r="F232" s="199"/>
      <c r="G232" s="200"/>
      <c r="H232" s="194"/>
      <c r="I232" s="195"/>
      <c r="J232" s="196">
        <f ca="1">IFERROR(__xludf.DUMMYFUNCTION("IMPORTRANGE(""https://docs.google.com/spreadsheets/d/1IYY_tgx_IHuhSq3AJ5eI5OnqOPBNLWSHKh2a30DoXe8/edit?usp=sharing"",""กระบี่!J152"")"),1)</f>
        <v>1</v>
      </c>
      <c r="K232" s="169"/>
      <c r="L232" s="189" t="s">
        <v>40</v>
      </c>
      <c r="M232" s="189"/>
      <c r="N232" s="189" t="s">
        <v>40</v>
      </c>
      <c r="O232" s="189"/>
      <c r="P232" s="189"/>
    </row>
    <row r="233" spans="1:16" ht="21.75" customHeight="1" x14ac:dyDescent="0.35">
      <c r="A233" s="183"/>
      <c r="B233" s="184"/>
      <c r="C233" s="184"/>
      <c r="D233" s="201"/>
      <c r="E233" s="202" t="s">
        <v>47</v>
      </c>
      <c r="F233" s="203"/>
      <c r="G233" s="204"/>
      <c r="H233" s="194"/>
      <c r="I233" s="195"/>
      <c r="J233" s="196">
        <f ca="1">IFERROR(__xludf.DUMMYFUNCTION("IMPORTRANGE(""https://docs.google.com/spreadsheets/d/1IYY_tgx_IHuhSq3AJ5eI5OnqOPBNLWSHKh2a30DoXe8/edit?usp=sharing"",""กระบี่!J153"")"),1)</f>
        <v>1</v>
      </c>
      <c r="K233" s="169"/>
      <c r="L233" s="189"/>
      <c r="M233" s="189"/>
      <c r="N233" s="189"/>
      <c r="O233" s="189"/>
      <c r="P233" s="189"/>
    </row>
    <row r="234" spans="1:16" ht="21.75" customHeight="1" x14ac:dyDescent="0.35">
      <c r="A234" s="183"/>
      <c r="B234" s="184"/>
      <c r="C234" s="184"/>
      <c r="D234" s="201"/>
      <c r="E234" s="202" t="s">
        <v>48</v>
      </c>
      <c r="F234" s="203"/>
      <c r="G234" s="204"/>
      <c r="H234" s="194"/>
      <c r="I234" s="195"/>
      <c r="J234" s="205">
        <f ca="1">IFERROR(__xludf.DUMMYFUNCTION("IMPORTRANGE(""https://docs.google.com/spreadsheets/d/1IYY_tgx_IHuhSq3AJ5eI5OnqOPBNLWSHKh2a30DoXe8/edit?usp=sharing"",""กระบี่!J154"")"),1)</f>
        <v>1</v>
      </c>
      <c r="K234" s="169"/>
      <c r="L234" s="189"/>
      <c r="M234" s="189"/>
      <c r="N234" s="189"/>
      <c r="O234" s="189"/>
      <c r="P234" s="189"/>
    </row>
    <row r="235" spans="1:16" ht="21.75" customHeight="1" x14ac:dyDescent="0.35">
      <c r="A235" s="183"/>
      <c r="B235" s="184"/>
      <c r="C235" s="184"/>
      <c r="D235" s="201"/>
      <c r="E235" s="206"/>
      <c r="F235" s="203"/>
      <c r="G235" s="299" t="s">
        <v>70</v>
      </c>
      <c r="H235" s="194" t="s">
        <v>37</v>
      </c>
      <c r="I235" s="195">
        <f ca="1">IFERROR(__xludf.DUMMYFUNCTION("IMPORTRANGE(""https://docs.google.com/spreadsheets/d/1IYY_tgx_IHuhSq3AJ5eI5OnqOPBNLWSHKh2a30DoXe8/edit?usp=sharing"",""กระบี่!I155"")"),13)</f>
        <v>13</v>
      </c>
      <c r="J235" s="196">
        <f ca="1">IFERROR(__xludf.DUMMYFUNCTION("IMPORTRANGE(""https://docs.google.com/spreadsheets/d/1IYY_tgx_IHuhSq3AJ5eI5OnqOPBNLWSHKh2a30DoXe8/edit?usp=sharing"",""กระบี่!J155"")"),13)</f>
        <v>13</v>
      </c>
      <c r="K235" s="169">
        <f ca="1">IF(I235&gt;0,J235*100/I235,0)</f>
        <v>100</v>
      </c>
      <c r="L235" s="189"/>
      <c r="M235" s="189"/>
      <c r="N235" s="189"/>
      <c r="O235" s="189"/>
      <c r="P235" s="189"/>
    </row>
    <row r="236" spans="1:16" ht="21.75" customHeight="1" x14ac:dyDescent="0.35">
      <c r="A236" s="183"/>
      <c r="B236" s="184"/>
      <c r="C236" s="184"/>
      <c r="D236" s="201"/>
      <c r="E236" s="202" t="s">
        <v>54</v>
      </c>
      <c r="F236" s="203"/>
      <c r="G236" s="204"/>
      <c r="H236" s="194"/>
      <c r="I236" s="195"/>
      <c r="J236" s="205">
        <f ca="1">IFERROR(__xludf.DUMMYFUNCTION("IMPORTRANGE(""https://docs.google.com/spreadsheets/d/1IYY_tgx_IHuhSq3AJ5eI5OnqOPBNLWSHKh2a30DoXe8/edit?usp=sharing"",""กระบี่!J156"")"),0)</f>
        <v>0</v>
      </c>
      <c r="K236" s="169"/>
      <c r="L236" s="189"/>
      <c r="M236" s="189"/>
      <c r="N236" s="189"/>
      <c r="O236" s="189"/>
      <c r="P236" s="189"/>
    </row>
    <row r="237" spans="1:16" ht="21.75" customHeight="1" x14ac:dyDescent="0.35">
      <c r="A237" s="183"/>
      <c r="B237" s="184"/>
      <c r="C237" s="184"/>
      <c r="D237" s="213">
        <v>3</v>
      </c>
      <c r="E237" s="214" t="s">
        <v>55</v>
      </c>
      <c r="F237" s="215"/>
      <c r="G237" s="216"/>
      <c r="H237" s="194"/>
      <c r="I237" s="195"/>
      <c r="J237" s="217">
        <f ca="1">IFERROR(__xludf.DUMMYFUNCTION("IMPORTRANGE(""https://docs.google.com/spreadsheets/d/1IYY_tgx_IHuhSq3AJ5eI5OnqOPBNLWSHKh2a30DoXe8/edit?usp=sharing"",""กระบี่!J157"")"),0)</f>
        <v>0</v>
      </c>
      <c r="K237" s="169"/>
      <c r="L237" s="189"/>
      <c r="M237" s="189"/>
      <c r="N237" s="189"/>
      <c r="O237" s="189"/>
      <c r="P237" s="189"/>
    </row>
    <row r="238" spans="1:16" ht="21.75" customHeight="1" x14ac:dyDescent="0.35">
      <c r="A238" s="183"/>
      <c r="B238" s="184"/>
      <c r="C238" s="271" t="s">
        <v>100</v>
      </c>
      <c r="D238" s="300"/>
      <c r="E238" s="270"/>
      <c r="F238" s="270"/>
      <c r="G238" s="272"/>
      <c r="H238" s="273" t="s">
        <v>37</v>
      </c>
      <c r="I238" s="274">
        <f ca="1">IFERROR(__xludf.DUMMYFUNCTION("IMPORTRANGE(""https://docs.google.com/spreadsheets/d/1IYY_tgx_IHuhSq3AJ5eI5OnqOPBNLWSHKh2a30DoXe8/edit?usp=sharing"",""กระบี่!I158"")"),0)</f>
        <v>0</v>
      </c>
      <c r="J238" s="274">
        <f ca="1">IFERROR(__xludf.DUMMYFUNCTION("IMPORTRANGE(""https://docs.google.com/spreadsheets/d/1IYY_tgx_IHuhSq3AJ5eI5OnqOPBNLWSHKh2a30DoXe8/edit?usp=sharing"",""กระบี่!J158"")"),0)</f>
        <v>0</v>
      </c>
      <c r="K238" s="275">
        <f ca="1">IF(I238&gt;0,J238*100/I238,0)</f>
        <v>0</v>
      </c>
      <c r="L238" s="189"/>
      <c r="M238" s="189"/>
      <c r="N238" s="189"/>
      <c r="O238" s="189"/>
      <c r="P238" s="189"/>
    </row>
    <row r="239" spans="1:16" ht="21.75" customHeight="1" x14ac:dyDescent="0.35">
      <c r="A239" s="183"/>
      <c r="B239" s="184"/>
      <c r="C239" s="163" t="s">
        <v>16</v>
      </c>
      <c r="D239" s="185" t="s">
        <v>44</v>
      </c>
      <c r="E239" s="186"/>
      <c r="F239" s="186"/>
      <c r="G239" s="187"/>
      <c r="H239" s="188"/>
      <c r="I239" s="168"/>
      <c r="J239" s="168"/>
      <c r="K239" s="169"/>
      <c r="L239" s="189"/>
      <c r="M239" s="189"/>
      <c r="N239" s="189"/>
      <c r="O239" s="189"/>
      <c r="P239" s="189"/>
    </row>
    <row r="240" spans="1:16" ht="21.75" customHeight="1" x14ac:dyDescent="0.35">
      <c r="A240" s="183"/>
      <c r="B240" s="184"/>
      <c r="C240" s="184"/>
      <c r="D240" s="190">
        <v>1</v>
      </c>
      <c r="E240" s="191" t="s">
        <v>45</v>
      </c>
      <c r="F240" s="192"/>
      <c r="G240" s="193"/>
      <c r="H240" s="194"/>
      <c r="I240" s="195"/>
      <c r="J240" s="195" t="str">
        <f ca="1">IFERROR(__xludf.DUMMYFUNCTION("IMPORTRANGE(""https://docs.google.com/spreadsheets/d/1IYY_tgx_IHuhSq3AJ5eI5OnqOPBNLWSHKh2a30DoXe8/edit?usp=sharing"",""กระบี่!J159"")"),"")</f>
        <v/>
      </c>
      <c r="K240" s="169"/>
      <c r="L240" s="189"/>
      <c r="M240" s="189"/>
      <c r="N240" s="189"/>
      <c r="O240" s="189"/>
      <c r="P240" s="189"/>
    </row>
    <row r="241" spans="1:16" ht="21.75" customHeight="1" x14ac:dyDescent="0.35">
      <c r="A241" s="183"/>
      <c r="B241" s="184"/>
      <c r="C241" s="184"/>
      <c r="D241" s="197">
        <v>2</v>
      </c>
      <c r="E241" s="198" t="s">
        <v>46</v>
      </c>
      <c r="F241" s="199"/>
      <c r="G241" s="200"/>
      <c r="H241" s="194"/>
      <c r="I241" s="195"/>
      <c r="J241" s="195">
        <f ca="1">IFERROR(__xludf.DUMMYFUNCTION("IMPORTRANGE(""https://docs.google.com/spreadsheets/d/1IYY_tgx_IHuhSq3AJ5eI5OnqOPBNLWSHKh2a30DoXe8/edit?usp=sharing"",""กระบี่!J161"")"),0)</f>
        <v>0</v>
      </c>
      <c r="K241" s="169"/>
      <c r="L241" s="189" t="s">
        <v>40</v>
      </c>
      <c r="M241" s="189"/>
      <c r="N241" s="189" t="s">
        <v>40</v>
      </c>
      <c r="O241" s="189"/>
      <c r="P241" s="189"/>
    </row>
    <row r="242" spans="1:16" ht="21.75" customHeight="1" x14ac:dyDescent="0.35">
      <c r="A242" s="183"/>
      <c r="B242" s="184"/>
      <c r="C242" s="184"/>
      <c r="D242" s="201"/>
      <c r="E242" s="202" t="s">
        <v>47</v>
      </c>
      <c r="F242" s="203"/>
      <c r="G242" s="204"/>
      <c r="H242" s="194"/>
      <c r="I242" s="195"/>
      <c r="J242" s="195">
        <f ca="1">IFERROR(__xludf.DUMMYFUNCTION("IMPORTRANGE(""https://docs.google.com/spreadsheets/d/1IYY_tgx_IHuhSq3AJ5eI5OnqOPBNLWSHKh2a30DoXe8/edit?usp=sharing"",""กระบี่!J162"")"),0)</f>
        <v>0</v>
      </c>
      <c r="K242" s="169"/>
      <c r="L242" s="189"/>
      <c r="M242" s="189"/>
      <c r="N242" s="189"/>
      <c r="O242" s="189"/>
      <c r="P242" s="189"/>
    </row>
    <row r="243" spans="1:16" ht="21.75" customHeight="1" x14ac:dyDescent="0.35">
      <c r="A243" s="183"/>
      <c r="B243" s="184"/>
      <c r="C243" s="184"/>
      <c r="D243" s="201"/>
      <c r="E243" s="202" t="s">
        <v>48</v>
      </c>
      <c r="F243" s="203"/>
      <c r="G243" s="204"/>
      <c r="H243" s="194"/>
      <c r="I243" s="195"/>
      <c r="J243" s="195">
        <f ca="1">IFERROR(__xludf.DUMMYFUNCTION("IMPORTRANGE(""https://docs.google.com/spreadsheets/d/1IYY_tgx_IHuhSq3AJ5eI5OnqOPBNLWSHKh2a30DoXe8/edit?usp=sharing"",""กระบี่!J163"")"),0)</f>
        <v>0</v>
      </c>
      <c r="K243" s="169"/>
      <c r="L243" s="189"/>
      <c r="M243" s="189"/>
      <c r="N243" s="189"/>
      <c r="O243" s="189"/>
      <c r="P243" s="189"/>
    </row>
    <row r="244" spans="1:16" ht="21.75" customHeight="1" x14ac:dyDescent="0.35">
      <c r="A244" s="183"/>
      <c r="B244" s="184"/>
      <c r="C244" s="184"/>
      <c r="D244" s="201"/>
      <c r="E244" s="203"/>
      <c r="F244" s="202" t="s">
        <v>101</v>
      </c>
      <c r="G244" s="203"/>
      <c r="H244" s="194" t="s">
        <v>37</v>
      </c>
      <c r="I244" s="211">
        <f ca="1">IFERROR(__xludf.DUMMYFUNCTION("IMPORTRANGE(""https://docs.google.com/spreadsheets/d/1IYY_tgx_IHuhSq3AJ5eI5OnqOPBNLWSHKh2a30DoXe8/edit?usp=sharing"",""กระบี่!I164"")"),0)</f>
        <v>0</v>
      </c>
      <c r="J244" s="195">
        <f ca="1">IFERROR(__xludf.DUMMYFUNCTION("IMPORTRANGE(""https://docs.google.com/spreadsheets/d/1IYY_tgx_IHuhSq3AJ5eI5OnqOPBNLWSHKh2a30DoXe8/edit?usp=sharing"",""กระบี่!J164"")"),0)</f>
        <v>0</v>
      </c>
      <c r="K244" s="169">
        <f ca="1">IF(I244&gt;0,J244*100/I244,0)</f>
        <v>0</v>
      </c>
      <c r="L244" s="189"/>
      <c r="M244" s="189"/>
      <c r="N244" s="189"/>
      <c r="O244" s="189"/>
      <c r="P244" s="189"/>
    </row>
    <row r="245" spans="1:16" ht="21.75" customHeight="1" x14ac:dyDescent="0.35">
      <c r="A245" s="183"/>
      <c r="B245" s="184"/>
      <c r="C245" s="184"/>
      <c r="D245" s="201"/>
      <c r="E245" s="202" t="s">
        <v>54</v>
      </c>
      <c r="F245" s="203"/>
      <c r="G245" s="204"/>
      <c r="H245" s="194"/>
      <c r="I245" s="195"/>
      <c r="J245" s="195">
        <f ca="1">IFERROR(__xludf.DUMMYFUNCTION("IMPORTRANGE(""https://docs.google.com/spreadsheets/d/1IYY_tgx_IHuhSq3AJ5eI5OnqOPBNLWSHKh2a30DoXe8/edit?usp=sharing"",""กระบี่!J165"")"),0)</f>
        <v>0</v>
      </c>
      <c r="K245" s="169"/>
      <c r="L245" s="189"/>
      <c r="M245" s="189"/>
      <c r="N245" s="189"/>
      <c r="O245" s="189"/>
      <c r="P245" s="189"/>
    </row>
    <row r="246" spans="1:16" ht="21.75" customHeight="1" x14ac:dyDescent="0.35">
      <c r="A246" s="241"/>
      <c r="B246" s="242"/>
      <c r="C246" s="242"/>
      <c r="D246" s="243">
        <v>3</v>
      </c>
      <c r="E246" s="244" t="s">
        <v>55</v>
      </c>
      <c r="F246" s="245"/>
      <c r="G246" s="246"/>
      <c r="H246" s="247"/>
      <c r="I246" s="248"/>
      <c r="J246" s="249">
        <f ca="1">IFERROR(__xludf.DUMMYFUNCTION("IMPORTRANGE(""https://docs.google.com/spreadsheets/d/1IYY_tgx_IHuhSq3AJ5eI5OnqOPBNLWSHKh2a30DoXe8/edit?usp=sharing"",""กระบี่!J166"")"),0)</f>
        <v>0</v>
      </c>
      <c r="K246" s="294"/>
      <c r="L246" s="252"/>
      <c r="M246" s="252"/>
      <c r="N246" s="252"/>
      <c r="O246" s="252"/>
      <c r="P246" s="252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IFERROR(__xludf.DUMMYFUNCTION("IMPORTRANGE(""https://docs.google.com/spreadsheets/d/1IYY_tgx_IHuhSq3AJ5eI5OnqOPBNLWSHKh2a30DoXe8/edit?usp=sharing"",""กระบี่!I169"")"),0)</f>
        <v>0</v>
      </c>
      <c r="J249" s="322">
        <f ca="1">IFERROR(__xludf.DUMMYFUNCTION("IMPORTRANGE(""https://docs.google.com/spreadsheets/d/1IYY_tgx_IHuhSq3AJ5eI5OnqOPBNLWSHKh2a30DoXe8/edit?usp=sharing"",""กระบี่!J169"")"),0)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52" t="s">
        <v>17</v>
      </c>
      <c r="E250" s="543"/>
      <c r="F250" s="543"/>
      <c r="G250" s="543"/>
      <c r="H250" s="153" t="s">
        <v>12</v>
      </c>
      <c r="I250" s="168"/>
      <c r="J250" s="168"/>
      <c r="K250" s="169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8"/>
      <c r="J251" s="168"/>
      <c r="K251" s="169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8"/>
      <c r="J252" s="168"/>
      <c r="K252" s="169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5">
      <c r="A253" s="162"/>
      <c r="B253" s="163"/>
      <c r="C253" s="163" t="s">
        <v>16</v>
      </c>
      <c r="D253" s="164" t="s">
        <v>38</v>
      </c>
      <c r="E253" s="165"/>
      <c r="F253" s="165"/>
      <c r="G253" s="166" t="s">
        <v>39</v>
      </c>
      <c r="H253" s="167" t="s">
        <v>12</v>
      </c>
      <c r="I253" s="168" t="s">
        <v>40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 x14ac:dyDescent="0.35">
      <c r="A254" s="162"/>
      <c r="B254" s="163"/>
      <c r="C254" s="163"/>
      <c r="D254" s="172"/>
      <c r="E254" s="165"/>
      <c r="F254" s="165" t="s">
        <v>40</v>
      </c>
      <c r="G254" s="166" t="s">
        <v>41</v>
      </c>
      <c r="H254" s="167" t="s">
        <v>12</v>
      </c>
      <c r="I254" s="168"/>
      <c r="J254" s="168"/>
      <c r="K254" s="169"/>
      <c r="L254" s="173">
        <f ca="1">L255+L256</f>
        <v>0</v>
      </c>
      <c r="M254" s="174">
        <f ca="1">IFERROR(__xludf.DUMMYFUNCTION("IMPORTRANGE(""https://docs.google.com/spreadsheets/d/1Yj_ptqi66GCucihVvJfMjLAmec39IyEx_6qawtMGysU/edit?usp=sharing"",""สบก!CB81"")"),0)</f>
        <v>0</v>
      </c>
      <c r="N254" s="175">
        <f ca="1">IFERROR(__xludf.DUMMYFUNCTION("IMPORTRANGE(""https://docs.google.com/spreadsheets/d/1Yj_ptqi66GCucihVvJfMjLAmec39IyEx_6qawtMGysU/edit?usp=sharing"",""สบก!CC81"")"),0)</f>
        <v>0</v>
      </c>
      <c r="O254" s="176">
        <f ca="1">IF(L254&gt;0,N254*100/L254,0)</f>
        <v>0</v>
      </c>
      <c r="P254" s="176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2"/>
      <c r="E255" s="165"/>
      <c r="F255" s="165"/>
      <c r="G255" s="177" t="s">
        <v>42</v>
      </c>
      <c r="H255" s="167" t="s">
        <v>12</v>
      </c>
      <c r="I255" s="168"/>
      <c r="J255" s="168"/>
      <c r="K255" s="169"/>
      <c r="L255" s="174">
        <f ca="1">IFERROR(__xludf.DUMMYFUNCTION("IMPORTRANGE(""https://docs.google.com/spreadsheets/d/1Yj_ptqi66GCucihVvJfMjLAmec39IyEx_6qawtMGysU/edit?usp=sharing"",""สบก!BX81"")"),0)</f>
        <v>0</v>
      </c>
      <c r="M255" s="173"/>
      <c r="N255" s="173"/>
      <c r="O255" s="176"/>
      <c r="P255" s="176"/>
    </row>
    <row r="256" spans="1:16" ht="21.75" customHeight="1" x14ac:dyDescent="0.35">
      <c r="A256" s="162"/>
      <c r="B256" s="163"/>
      <c r="C256" s="163"/>
      <c r="D256" s="172"/>
      <c r="E256" s="165"/>
      <c r="F256" s="165"/>
      <c r="G256" s="177" t="s">
        <v>43</v>
      </c>
      <c r="H256" s="167" t="s">
        <v>12</v>
      </c>
      <c r="I256" s="168"/>
      <c r="J256" s="168"/>
      <c r="K256" s="169"/>
      <c r="L256" s="174">
        <f ca="1">IFERROR(__xludf.DUMMYFUNCTION("IMPORTRANGE(""https://docs.google.com/spreadsheets/d/1Yj_ptqi66GCucihVvJfMjLAmec39IyEx_6qawtMGysU/edit?usp=sharing"",""สบก!BY81"")"),0)</f>
        <v>0</v>
      </c>
      <c r="M256" s="173"/>
      <c r="N256" s="173"/>
      <c r="O256" s="176"/>
      <c r="P256" s="176"/>
    </row>
    <row r="257" spans="1:16" ht="21.75" customHeight="1" x14ac:dyDescent="0.45">
      <c r="A257" s="178"/>
      <c r="B257" s="81"/>
      <c r="C257" s="82" t="s">
        <v>16</v>
      </c>
      <c r="D257" s="549" t="s">
        <v>23</v>
      </c>
      <c r="E257" s="545"/>
      <c r="F257" s="89"/>
      <c r="G257" s="83" t="s">
        <v>18</v>
      </c>
      <c r="H257" s="179" t="s">
        <v>12</v>
      </c>
      <c r="I257" s="168"/>
      <c r="J257" s="168"/>
      <c r="K257" s="169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80"/>
      <c r="B258" s="95"/>
      <c r="C258" s="95"/>
      <c r="D258" s="181"/>
      <c r="E258" s="96"/>
      <c r="F258" s="96"/>
      <c r="G258" s="97" t="s">
        <v>19</v>
      </c>
      <c r="H258" s="182" t="s">
        <v>12</v>
      </c>
      <c r="I258" s="168"/>
      <c r="J258" s="168"/>
      <c r="K258" s="169"/>
      <c r="L258" s="91">
        <f ca="1">IFERROR(__xludf.DUMMYFUNCTION("IMPORTRANGE(""https://docs.google.com/spreadsheets/d/1Yj_ptqi66GCucihVvJfMjLAmec39IyEx_6qawtMGysU/edit?usp=sharing"",""สบก!BZ81"")"),0)</f>
        <v>0</v>
      </c>
      <c r="M258" s="101"/>
      <c r="N258" s="91">
        <f ca="1">IFERROR(__xludf.DUMMYFUNCTION("IMPORTRANGE(""https://docs.google.com/spreadsheets/d/1Yj_ptqi66GCucihVvJfMjLAmec39IyEx_6qawtMGysU/edit?usp=sharing"",""สบก!CD81"")"),0)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3"/>
      <c r="B259" s="184"/>
      <c r="C259" s="163" t="s">
        <v>16</v>
      </c>
      <c r="D259" s="185" t="s">
        <v>44</v>
      </c>
      <c r="E259" s="186"/>
      <c r="F259" s="186"/>
      <c r="G259" s="187"/>
      <c r="H259" s="188"/>
      <c r="I259" s="168"/>
      <c r="J259" s="168"/>
      <c r="K259" s="169"/>
      <c r="L259" s="189"/>
      <c r="M259" s="189"/>
      <c r="N259" s="189"/>
      <c r="O259" s="189"/>
      <c r="P259" s="189"/>
    </row>
    <row r="260" spans="1:16" ht="21.75" customHeight="1" x14ac:dyDescent="0.35">
      <c r="A260" s="183"/>
      <c r="B260" s="184"/>
      <c r="C260" s="184"/>
      <c r="D260" s="190">
        <v>1</v>
      </c>
      <c r="E260" s="191" t="s">
        <v>45</v>
      </c>
      <c r="F260" s="192"/>
      <c r="G260" s="193"/>
      <c r="H260" s="194"/>
      <c r="I260" s="195"/>
      <c r="J260" s="196">
        <f ca="1">IFERROR(__xludf.DUMMYFUNCTION("IMPORTRANGE(""https://docs.google.com/spreadsheets/d/1IYY_tgx_IHuhSq3AJ5eI5OnqOPBNLWSHKh2a30DoXe8/edit?usp=sharing"",""กระบี่!J175"")"),0)</f>
        <v>0</v>
      </c>
      <c r="K260" s="169"/>
      <c r="L260" s="189"/>
      <c r="M260" s="189"/>
      <c r="N260" s="189"/>
      <c r="O260" s="189"/>
      <c r="P260" s="189"/>
    </row>
    <row r="261" spans="1:16" ht="21.75" customHeight="1" x14ac:dyDescent="0.35">
      <c r="A261" s="183"/>
      <c r="B261" s="184"/>
      <c r="C261" s="184"/>
      <c r="D261" s="197">
        <v>2</v>
      </c>
      <c r="E261" s="198" t="s">
        <v>46</v>
      </c>
      <c r="F261" s="199"/>
      <c r="G261" s="200"/>
      <c r="H261" s="194"/>
      <c r="I261" s="195"/>
      <c r="J261" s="205">
        <f ca="1">IFERROR(__xludf.DUMMYFUNCTION("IMPORTRANGE(""https://docs.google.com/spreadsheets/d/1IYY_tgx_IHuhSq3AJ5eI5OnqOPBNLWSHKh2a30DoXe8/edit?usp=sharing"",""กระบี่!J176"")"),0)</f>
        <v>0</v>
      </c>
      <c r="K261" s="169"/>
      <c r="L261" s="189" t="s">
        <v>40</v>
      </c>
      <c r="M261" s="189"/>
      <c r="N261" s="189" t="s">
        <v>40</v>
      </c>
      <c r="O261" s="189"/>
      <c r="P261" s="189"/>
    </row>
    <row r="262" spans="1:16" ht="21.75" customHeight="1" x14ac:dyDescent="0.35">
      <c r="A262" s="183"/>
      <c r="B262" s="184"/>
      <c r="C262" s="184"/>
      <c r="D262" s="201"/>
      <c r="E262" s="202" t="s">
        <v>47</v>
      </c>
      <c r="F262" s="203"/>
      <c r="G262" s="204"/>
      <c r="H262" s="194"/>
      <c r="I262" s="195"/>
      <c r="J262" s="205">
        <f ca="1">IFERROR(__xludf.DUMMYFUNCTION("IMPORTRANGE(""https://docs.google.com/spreadsheets/d/1IYY_tgx_IHuhSq3AJ5eI5OnqOPBNLWSHKh2a30DoXe8/edit?usp=sharing"",""กระบี่!J177"")"),0)</f>
        <v>0</v>
      </c>
      <c r="K262" s="169"/>
      <c r="L262" s="189"/>
      <c r="M262" s="189"/>
      <c r="N262" s="189"/>
      <c r="O262" s="189"/>
      <c r="P262" s="189"/>
    </row>
    <row r="263" spans="1:16" ht="21.75" customHeight="1" x14ac:dyDescent="0.35">
      <c r="A263" s="183"/>
      <c r="B263" s="184"/>
      <c r="C263" s="184"/>
      <c r="D263" s="201"/>
      <c r="E263" s="202" t="s">
        <v>48</v>
      </c>
      <c r="F263" s="203"/>
      <c r="G263" s="204"/>
      <c r="H263" s="194"/>
      <c r="I263" s="195"/>
      <c r="J263" s="205">
        <f ca="1">IFERROR(__xludf.DUMMYFUNCTION("IMPORTRANGE(""https://docs.google.com/spreadsheets/d/1IYY_tgx_IHuhSq3AJ5eI5OnqOPBNLWSHKh2a30DoXe8/edit?usp=sharing"",""กระบี่!J178"")"),0)</f>
        <v>0</v>
      </c>
      <c r="K263" s="169"/>
      <c r="L263" s="189"/>
      <c r="M263" s="189"/>
      <c r="N263" s="189"/>
      <c r="O263" s="189"/>
      <c r="P263" s="189"/>
    </row>
    <row r="264" spans="1:16" ht="21.75" customHeight="1" x14ac:dyDescent="0.35">
      <c r="A264" s="183"/>
      <c r="B264" s="184"/>
      <c r="C264" s="184"/>
      <c r="D264" s="201"/>
      <c r="E264" s="206"/>
      <c r="F264" s="202" t="s">
        <v>105</v>
      </c>
      <c r="G264" s="204"/>
      <c r="H264" s="188" t="s">
        <v>59</v>
      </c>
      <c r="I264" s="195">
        <f ca="1">IFERROR(__xludf.DUMMYFUNCTION("IMPORTRANGE(""https://docs.google.com/spreadsheets/d/1IYY_tgx_IHuhSq3AJ5eI5OnqOPBNLWSHKh2a30DoXe8/edit?usp=sharing"",""กระบี่!I179"")"),0)</f>
        <v>0</v>
      </c>
      <c r="J264" s="196">
        <f ca="1">IFERROR(__xludf.DUMMYFUNCTION("IMPORTRANGE(""https://docs.google.com/spreadsheets/d/1IYY_tgx_IHuhSq3AJ5eI5OnqOPBNLWSHKh2a30DoXe8/edit?usp=sharing"",""กระบี่!J179"")"),0)</f>
        <v>0</v>
      </c>
      <c r="K264" s="169">
        <f t="shared" ref="K264:K267" ca="1" si="82">IF(I264&gt;0,J264*100/I264,0)</f>
        <v>0</v>
      </c>
      <c r="L264" s="189"/>
      <c r="M264" s="189"/>
      <c r="N264" s="189"/>
      <c r="O264" s="189"/>
      <c r="P264" s="189"/>
    </row>
    <row r="265" spans="1:16" ht="21.75" customHeight="1" x14ac:dyDescent="0.35">
      <c r="A265" s="183"/>
      <c r="B265" s="184"/>
      <c r="C265" s="184"/>
      <c r="D265" s="201"/>
      <c r="E265" s="206"/>
      <c r="F265" s="202" t="s">
        <v>106</v>
      </c>
      <c r="G265" s="204"/>
      <c r="H265" s="188" t="s">
        <v>37</v>
      </c>
      <c r="I265" s="195">
        <f ca="1">IFERROR(__xludf.DUMMYFUNCTION("IMPORTRANGE(""https://docs.google.com/spreadsheets/d/1IYY_tgx_IHuhSq3AJ5eI5OnqOPBNLWSHKh2a30DoXe8/edit?usp=sharing"",""กระบี่!I180"")"),0)</f>
        <v>0</v>
      </c>
      <c r="J265" s="196">
        <f ca="1">IFERROR(__xludf.DUMMYFUNCTION("IMPORTRANGE(""https://docs.google.com/spreadsheets/d/1IYY_tgx_IHuhSq3AJ5eI5OnqOPBNLWSHKh2a30DoXe8/edit?usp=sharing"",""กระบี่!J180"")"),0)</f>
        <v>0</v>
      </c>
      <c r="K265" s="169">
        <f t="shared" ca="1" si="82"/>
        <v>0</v>
      </c>
      <c r="L265" s="189"/>
      <c r="M265" s="189"/>
      <c r="N265" s="189"/>
      <c r="O265" s="189"/>
      <c r="P265" s="189"/>
    </row>
    <row r="266" spans="1:16" ht="21.75" customHeight="1" x14ac:dyDescent="0.35">
      <c r="A266" s="183"/>
      <c r="B266" s="184"/>
      <c r="C266" s="184"/>
      <c r="D266" s="201"/>
      <c r="E266" s="206"/>
      <c r="F266" s="202" t="s">
        <v>107</v>
      </c>
      <c r="G266" s="204"/>
      <c r="H266" s="188" t="s">
        <v>37</v>
      </c>
      <c r="I266" s="195">
        <f ca="1">IFERROR(__xludf.DUMMYFUNCTION("IMPORTRANGE(""https://docs.google.com/spreadsheets/d/1IYY_tgx_IHuhSq3AJ5eI5OnqOPBNLWSHKh2a30DoXe8/edit?usp=sharing"",""กระบี่!I181"")"),0)</f>
        <v>0</v>
      </c>
      <c r="J266" s="196">
        <f ca="1">IFERROR(__xludf.DUMMYFUNCTION("IMPORTRANGE(""https://docs.google.com/spreadsheets/d/1IYY_tgx_IHuhSq3AJ5eI5OnqOPBNLWSHKh2a30DoXe8/edit?usp=sharing"",""กระบี่!J181"")"),0)</f>
        <v>0</v>
      </c>
      <c r="K266" s="169">
        <f t="shared" ca="1" si="82"/>
        <v>0</v>
      </c>
      <c r="L266" s="189"/>
      <c r="M266" s="189"/>
      <c r="N266" s="189"/>
      <c r="O266" s="189"/>
      <c r="P266" s="189"/>
    </row>
    <row r="267" spans="1:16" ht="21.75" customHeight="1" x14ac:dyDescent="0.35">
      <c r="A267" s="183"/>
      <c r="B267" s="184"/>
      <c r="C267" s="184"/>
      <c r="D267" s="201"/>
      <c r="E267" s="206"/>
      <c r="F267" s="202" t="s">
        <v>108</v>
      </c>
      <c r="G267" s="204"/>
      <c r="H267" s="188" t="s">
        <v>37</v>
      </c>
      <c r="I267" s="195">
        <f ca="1">IFERROR(__xludf.DUMMYFUNCTION("IMPORTRANGE(""https://docs.google.com/spreadsheets/d/1IYY_tgx_IHuhSq3AJ5eI5OnqOPBNLWSHKh2a30DoXe8/edit?usp=sharing"",""กระบี่!I182"")"),0)</f>
        <v>0</v>
      </c>
      <c r="J267" s="196">
        <f ca="1">IFERROR(__xludf.DUMMYFUNCTION("IMPORTRANGE(""https://docs.google.com/spreadsheets/d/1IYY_tgx_IHuhSq3AJ5eI5OnqOPBNLWSHKh2a30DoXe8/edit?usp=sharing"",""กระบี่!J182"")"),0)</f>
        <v>0</v>
      </c>
      <c r="K267" s="169">
        <f t="shared" ca="1" si="82"/>
        <v>0</v>
      </c>
      <c r="L267" s="189"/>
      <c r="M267" s="189"/>
      <c r="N267" s="189"/>
      <c r="O267" s="189"/>
      <c r="P267" s="189"/>
    </row>
    <row r="268" spans="1:16" ht="21.75" customHeight="1" x14ac:dyDescent="0.35">
      <c r="A268" s="183"/>
      <c r="B268" s="184"/>
      <c r="C268" s="184"/>
      <c r="D268" s="201"/>
      <c r="E268" s="202" t="s">
        <v>54</v>
      </c>
      <c r="F268" s="203"/>
      <c r="G268" s="204"/>
      <c r="H268" s="194"/>
      <c r="I268" s="195"/>
      <c r="J268" s="205">
        <f ca="1">IFERROR(__xludf.DUMMYFUNCTION("IMPORTRANGE(""https://docs.google.com/spreadsheets/d/1IYY_tgx_IHuhSq3AJ5eI5OnqOPBNLWSHKh2a30DoXe8/edit?usp=sharing"",""กระบี่!J183"")"),0)</f>
        <v>0</v>
      </c>
      <c r="K268" s="169"/>
      <c r="L268" s="189"/>
      <c r="M268" s="189"/>
      <c r="N268" s="189"/>
      <c r="O268" s="189"/>
      <c r="P268" s="189"/>
    </row>
    <row r="269" spans="1:16" ht="21.75" customHeight="1" x14ac:dyDescent="0.35">
      <c r="A269" s="241"/>
      <c r="B269" s="242"/>
      <c r="C269" s="242"/>
      <c r="D269" s="243">
        <v>3</v>
      </c>
      <c r="E269" s="244" t="s">
        <v>55</v>
      </c>
      <c r="F269" s="245"/>
      <c r="G269" s="246"/>
      <c r="H269" s="247"/>
      <c r="I269" s="248"/>
      <c r="J269" s="293">
        <f ca="1">IFERROR(__xludf.DUMMYFUNCTION("IMPORTRANGE(""https://docs.google.com/spreadsheets/d/1IYY_tgx_IHuhSq3AJ5eI5OnqOPBNLWSHKh2a30DoXe8/edit?usp=sharing"",""กระบี่!J184"")"),0)</f>
        <v>0</v>
      </c>
      <c r="K269" s="294"/>
      <c r="L269" s="252"/>
      <c r="M269" s="252"/>
      <c r="N269" s="252"/>
      <c r="O269" s="252"/>
      <c r="P269" s="252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IFERROR(__xludf.DUMMYFUNCTION("IMPORTRANGE(""https://docs.google.com/spreadsheets/d/1IYY_tgx_IHuhSq3AJ5eI5OnqOPBNLWSHKh2a30DoXe8/edit?usp=sharing"",""กระบี่!I185"")"),0)</f>
        <v>0</v>
      </c>
      <c r="J270" s="322">
        <f ca="1">IFERROR(__xludf.DUMMYFUNCTION("IMPORTRANGE(""https://docs.google.com/spreadsheets/d/1IYY_tgx_IHuhSq3AJ5eI5OnqOPBNLWSHKh2a30DoXe8/edit?usp=sharing"",""กระบี่!J185"")"),0)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52" t="s">
        <v>17</v>
      </c>
      <c r="E271" s="543"/>
      <c r="F271" s="543"/>
      <c r="G271" s="543"/>
      <c r="H271" s="153" t="s">
        <v>12</v>
      </c>
      <c r="I271" s="168"/>
      <c r="J271" s="168"/>
      <c r="K271" s="169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8"/>
      <c r="J272" s="168"/>
      <c r="K272" s="169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8"/>
      <c r="J273" s="168"/>
      <c r="K273" s="169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5">
      <c r="A274" s="162"/>
      <c r="B274" s="163"/>
      <c r="C274" s="163" t="s">
        <v>16</v>
      </c>
      <c r="D274" s="164" t="s">
        <v>38</v>
      </c>
      <c r="E274" s="165"/>
      <c r="F274" s="165"/>
      <c r="G274" s="166" t="s">
        <v>39</v>
      </c>
      <c r="H274" s="167" t="s">
        <v>12</v>
      </c>
      <c r="I274" s="168" t="s">
        <v>40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 x14ac:dyDescent="0.35">
      <c r="A275" s="162"/>
      <c r="B275" s="163"/>
      <c r="C275" s="163"/>
      <c r="D275" s="172"/>
      <c r="E275" s="165"/>
      <c r="F275" s="165" t="s">
        <v>40</v>
      </c>
      <c r="G275" s="166" t="s">
        <v>41</v>
      </c>
      <c r="H275" s="167" t="s">
        <v>12</v>
      </c>
      <c r="I275" s="168"/>
      <c r="J275" s="168"/>
      <c r="K275" s="169"/>
      <c r="L275" s="173">
        <f ca="1">L276+L277</f>
        <v>0</v>
      </c>
      <c r="M275" s="174">
        <f ca="1">IFERROR(__xludf.DUMMYFUNCTION("IMPORTRANGE(""https://docs.google.com/spreadsheets/d/1Yj_ptqi66GCucihVvJfMjLAmec39IyEx_6qawtMGysU/edit?usp=sharing"",""สบก!CK81"")"),0)</f>
        <v>0</v>
      </c>
      <c r="N275" s="175">
        <f ca="1">IFERROR(__xludf.DUMMYFUNCTION("IMPORTRANGE(""https://docs.google.com/spreadsheets/d/1Yj_ptqi66GCucihVvJfMjLAmec39IyEx_6qawtMGysU/edit?usp=sharing"",""สบก!CL81"")"),0)</f>
        <v>0</v>
      </c>
      <c r="O275" s="176">
        <f ca="1">IF(L275&gt;0,N275*100/L275,0)</f>
        <v>0</v>
      </c>
      <c r="P275" s="176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2"/>
      <c r="E276" s="165"/>
      <c r="F276" s="165"/>
      <c r="G276" s="177" t="s">
        <v>42</v>
      </c>
      <c r="H276" s="167" t="s">
        <v>12</v>
      </c>
      <c r="I276" s="168"/>
      <c r="J276" s="168"/>
      <c r="K276" s="169"/>
      <c r="L276" s="174">
        <f ca="1">IFERROR(__xludf.DUMMYFUNCTION("IMPORTRANGE(""https://docs.google.com/spreadsheets/d/1Yj_ptqi66GCucihVvJfMjLAmec39IyEx_6qawtMGysU/edit?usp=sharing"",""สบก!CG81"")"),0)</f>
        <v>0</v>
      </c>
      <c r="M276" s="173"/>
      <c r="N276" s="173"/>
      <c r="O276" s="176"/>
      <c r="P276" s="176"/>
    </row>
    <row r="277" spans="1:16" ht="21.75" customHeight="1" x14ac:dyDescent="0.35">
      <c r="A277" s="162"/>
      <c r="B277" s="163"/>
      <c r="C277" s="163"/>
      <c r="D277" s="172"/>
      <c r="E277" s="165"/>
      <c r="F277" s="165"/>
      <c r="G277" s="177" t="s">
        <v>43</v>
      </c>
      <c r="H277" s="167" t="s">
        <v>12</v>
      </c>
      <c r="I277" s="168"/>
      <c r="J277" s="168"/>
      <c r="K277" s="169"/>
      <c r="L277" s="174">
        <f ca="1">IFERROR(__xludf.DUMMYFUNCTION("IMPORTRANGE(""https://docs.google.com/spreadsheets/d/1Yj_ptqi66GCucihVvJfMjLAmec39IyEx_6qawtMGysU/edit?usp=sharing"",""สบก!CH81"")"),0)</f>
        <v>0</v>
      </c>
      <c r="M277" s="173"/>
      <c r="N277" s="173"/>
      <c r="O277" s="176"/>
      <c r="P277" s="176"/>
    </row>
    <row r="278" spans="1:16" ht="21.75" customHeight="1" x14ac:dyDescent="0.45">
      <c r="A278" s="178"/>
      <c r="B278" s="81"/>
      <c r="C278" s="82" t="s">
        <v>16</v>
      </c>
      <c r="D278" s="549" t="s">
        <v>23</v>
      </c>
      <c r="E278" s="545"/>
      <c r="F278" s="89"/>
      <c r="G278" s="83" t="s">
        <v>18</v>
      </c>
      <c r="H278" s="179" t="s">
        <v>12</v>
      </c>
      <c r="I278" s="168"/>
      <c r="J278" s="168"/>
      <c r="K278" s="169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80"/>
      <c r="B279" s="95"/>
      <c r="C279" s="95"/>
      <c r="D279" s="181"/>
      <c r="E279" s="96"/>
      <c r="F279" s="96"/>
      <c r="G279" s="97" t="s">
        <v>19</v>
      </c>
      <c r="H279" s="182" t="s">
        <v>12</v>
      </c>
      <c r="I279" s="168"/>
      <c r="J279" s="168"/>
      <c r="K279" s="169"/>
      <c r="L279" s="91">
        <f ca="1">IFERROR(__xludf.DUMMYFUNCTION("IMPORTRANGE(""https://docs.google.com/spreadsheets/d/1Yj_ptqi66GCucihVvJfMjLAmec39IyEx_6qawtMGysU/edit?usp=sharing"",""สบก!CI81"")"),0)</f>
        <v>0</v>
      </c>
      <c r="M279" s="101"/>
      <c r="N279" s="91">
        <f ca="1">IFERROR(__xludf.DUMMYFUNCTION("IMPORTRANGE(""https://docs.google.com/spreadsheets/d/1Yj_ptqi66GCucihVvJfMjLAmec39IyEx_6qawtMGysU/edit?usp=sharing"",""สบก!CM81"")"),0)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3"/>
      <c r="B280" s="184"/>
      <c r="C280" s="163" t="s">
        <v>16</v>
      </c>
      <c r="D280" s="185" t="s">
        <v>44</v>
      </c>
      <c r="E280" s="186"/>
      <c r="F280" s="186"/>
      <c r="G280" s="187"/>
      <c r="H280" s="188"/>
      <c r="I280" s="168"/>
      <c r="J280" s="168"/>
      <c r="K280" s="169"/>
      <c r="L280" s="189"/>
      <c r="M280" s="189"/>
      <c r="N280" s="189"/>
      <c r="O280" s="189"/>
      <c r="P280" s="189"/>
    </row>
    <row r="281" spans="1:16" ht="21.75" customHeight="1" x14ac:dyDescent="0.35">
      <c r="A281" s="183"/>
      <c r="B281" s="184"/>
      <c r="C281" s="184"/>
      <c r="D281" s="190">
        <v>1</v>
      </c>
      <c r="E281" s="191" t="s">
        <v>45</v>
      </c>
      <c r="F281" s="192"/>
      <c r="G281" s="193"/>
      <c r="H281" s="194"/>
      <c r="I281" s="195"/>
      <c r="J281" s="196">
        <f ca="1">IFERROR(__xludf.DUMMYFUNCTION("IMPORTRANGE(""https://docs.google.com/spreadsheets/d/1IYY_tgx_IHuhSq3AJ5eI5OnqOPBNLWSHKh2a30DoXe8/edit?usp=sharing"",""กระบี่!J191"")"),0)</f>
        <v>0</v>
      </c>
      <c r="K281" s="169"/>
      <c r="L281" s="189"/>
      <c r="M281" s="189"/>
      <c r="N281" s="189"/>
      <c r="O281" s="189"/>
      <c r="P281" s="189"/>
    </row>
    <row r="282" spans="1:16" ht="21.75" customHeight="1" x14ac:dyDescent="0.35">
      <c r="A282" s="183"/>
      <c r="B282" s="184"/>
      <c r="C282" s="184"/>
      <c r="D282" s="197">
        <v>2</v>
      </c>
      <c r="E282" s="198" t="s">
        <v>46</v>
      </c>
      <c r="F282" s="199"/>
      <c r="G282" s="200"/>
      <c r="H282" s="194"/>
      <c r="I282" s="195"/>
      <c r="J282" s="205">
        <f ca="1">IFERROR(__xludf.DUMMYFUNCTION("IMPORTRANGE(""https://docs.google.com/spreadsheets/d/1IYY_tgx_IHuhSq3AJ5eI5OnqOPBNLWSHKh2a30DoXe8/edit?usp=sharing"",""กระบี่!J192"")"),0)</f>
        <v>0</v>
      </c>
      <c r="K282" s="169"/>
      <c r="L282" s="189"/>
      <c r="M282" s="189"/>
      <c r="N282" s="189"/>
      <c r="O282" s="189"/>
      <c r="P282" s="189"/>
    </row>
    <row r="283" spans="1:16" ht="21.75" customHeight="1" x14ac:dyDescent="0.35">
      <c r="A283" s="183"/>
      <c r="B283" s="184"/>
      <c r="C283" s="184"/>
      <c r="D283" s="201"/>
      <c r="E283" s="202" t="s">
        <v>47</v>
      </c>
      <c r="F283" s="203"/>
      <c r="G283" s="204"/>
      <c r="H283" s="194"/>
      <c r="I283" s="195"/>
      <c r="J283" s="205">
        <f ca="1">IFERROR(__xludf.DUMMYFUNCTION("IMPORTRANGE(""https://docs.google.com/spreadsheets/d/1IYY_tgx_IHuhSq3AJ5eI5OnqOPBNLWSHKh2a30DoXe8/edit?usp=sharing"",""กระบี่!J193"")"),0)</f>
        <v>0</v>
      </c>
      <c r="K283" s="169"/>
      <c r="L283" s="189"/>
      <c r="M283" s="189"/>
      <c r="N283" s="189"/>
      <c r="O283" s="189"/>
      <c r="P283" s="189"/>
    </row>
    <row r="284" spans="1:16" ht="21.75" customHeight="1" x14ac:dyDescent="0.35">
      <c r="A284" s="183"/>
      <c r="B284" s="184"/>
      <c r="C284" s="184"/>
      <c r="D284" s="201"/>
      <c r="E284" s="202" t="s">
        <v>48</v>
      </c>
      <c r="F284" s="203"/>
      <c r="G284" s="204"/>
      <c r="H284" s="194"/>
      <c r="I284" s="195"/>
      <c r="J284" s="205">
        <f ca="1">IFERROR(__xludf.DUMMYFUNCTION("IMPORTRANGE(""https://docs.google.com/spreadsheets/d/1IYY_tgx_IHuhSq3AJ5eI5OnqOPBNLWSHKh2a30DoXe8/edit?usp=sharing"",""กระบี่!J194"")"),0)</f>
        <v>0</v>
      </c>
      <c r="K284" s="169"/>
      <c r="L284" s="189"/>
      <c r="M284" s="189"/>
      <c r="N284" s="189"/>
      <c r="O284" s="189"/>
      <c r="P284" s="189"/>
    </row>
    <row r="285" spans="1:16" ht="21.75" customHeight="1" x14ac:dyDescent="0.35">
      <c r="A285" s="183"/>
      <c r="B285" s="184"/>
      <c r="C285" s="184"/>
      <c r="D285" s="201"/>
      <c r="E285" s="203"/>
      <c r="F285" s="202" t="s">
        <v>110</v>
      </c>
      <c r="G285" s="204"/>
      <c r="H285" s="194" t="s">
        <v>37</v>
      </c>
      <c r="I285" s="195">
        <f ca="1">IFERROR(__xludf.DUMMYFUNCTION("IMPORTRANGE(""https://docs.google.com/spreadsheets/d/1IYY_tgx_IHuhSq3AJ5eI5OnqOPBNLWSHKh2a30DoXe8/edit?usp=sharing"",""กระบี่!I195"")"),0)</f>
        <v>0</v>
      </c>
      <c r="J285" s="196">
        <f ca="1">IFERROR(__xludf.DUMMYFUNCTION("IMPORTRANGE(""https://docs.google.com/spreadsheets/d/1IYY_tgx_IHuhSq3AJ5eI5OnqOPBNLWSHKh2a30DoXe8/edit?usp=sharing"",""กระบี่!J195"")"),0)</f>
        <v>0</v>
      </c>
      <c r="K285" s="169">
        <f ca="1">IF(I285&gt;0,J285*100/I285,0)</f>
        <v>0</v>
      </c>
      <c r="L285" s="189"/>
      <c r="M285" s="189"/>
      <c r="N285" s="189"/>
      <c r="O285" s="189"/>
      <c r="P285" s="189"/>
    </row>
    <row r="286" spans="1:16" ht="21.75" customHeight="1" x14ac:dyDescent="0.35">
      <c r="A286" s="183"/>
      <c r="B286" s="184"/>
      <c r="C286" s="184"/>
      <c r="D286" s="201"/>
      <c r="E286" s="202" t="s">
        <v>54</v>
      </c>
      <c r="F286" s="203"/>
      <c r="G286" s="204"/>
      <c r="H286" s="194"/>
      <c r="I286" s="195"/>
      <c r="J286" s="205">
        <f ca="1">IFERROR(__xludf.DUMMYFUNCTION("IMPORTRANGE(""https://docs.google.com/spreadsheets/d/1IYY_tgx_IHuhSq3AJ5eI5OnqOPBNLWSHKh2a30DoXe8/edit?usp=sharing"",""กระบี่!J196"")"),0)</f>
        <v>0</v>
      </c>
      <c r="K286" s="169"/>
      <c r="L286" s="189"/>
      <c r="M286" s="189"/>
      <c r="N286" s="189"/>
      <c r="O286" s="189"/>
      <c r="P286" s="189"/>
    </row>
    <row r="287" spans="1:16" ht="21.75" customHeight="1" x14ac:dyDescent="0.35">
      <c r="A287" s="183"/>
      <c r="B287" s="184"/>
      <c r="C287" s="184"/>
      <c r="D287" s="213">
        <v>3</v>
      </c>
      <c r="E287" s="214" t="s">
        <v>55</v>
      </c>
      <c r="F287" s="215"/>
      <c r="G287" s="216"/>
      <c r="H287" s="194"/>
      <c r="I287" s="195"/>
      <c r="J287" s="217">
        <f ca="1">IFERROR(__xludf.DUMMYFUNCTION("IMPORTRANGE(""https://docs.google.com/spreadsheets/d/1IYY_tgx_IHuhSq3AJ5eI5OnqOPBNLWSHKh2a30DoXe8/edit?usp=sharing"",""กระบี่!J197"")"),0)</f>
        <v>0</v>
      </c>
      <c r="K287" s="169"/>
      <c r="L287" s="189"/>
      <c r="M287" s="189"/>
      <c r="N287" s="189"/>
      <c r="O287" s="189"/>
      <c r="P287" s="189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IFERROR(__xludf.DUMMYFUNCTION("IMPORTRANGE(""https://docs.google.com/spreadsheets/d/1IYY_tgx_IHuhSq3AJ5eI5OnqOPBNLWSHKh2a30DoXe8/edit?usp=sharing"",""กระบี่!I199"")"),65)</f>
        <v>65</v>
      </c>
      <c r="J289" s="322">
        <f ca="1">IFERROR(__xludf.DUMMYFUNCTION("IMPORTRANGE(""https://docs.google.com/spreadsheets/d/1IYY_tgx_IHuhSq3AJ5eI5OnqOPBNLWSHKh2a30DoXe8/edit?usp=sharing"",""กระบี่!J199"")"),65)</f>
        <v>65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52" t="s">
        <v>17</v>
      </c>
      <c r="E290" s="543"/>
      <c r="F290" s="543"/>
      <c r="G290" s="543"/>
      <c r="H290" s="153" t="s">
        <v>12</v>
      </c>
      <c r="I290" s="195"/>
      <c r="J290" s="195"/>
      <c r="K290" s="231"/>
      <c r="L290" s="156">
        <f t="shared" ref="L290:N290" ca="1" si="88">L291+L292</f>
        <v>765740</v>
      </c>
      <c r="M290" s="156">
        <f t="shared" ca="1" si="88"/>
        <v>765740</v>
      </c>
      <c r="N290" s="156">
        <f t="shared" ca="1" si="88"/>
        <v>83572</v>
      </c>
      <c r="O290" s="155">
        <f t="shared" ref="O290:O292" ca="1" si="89">IF(L290&gt;0,N290*100/L290,0)</f>
        <v>10.913887220205291</v>
      </c>
      <c r="P290" s="155">
        <f t="shared" ref="P290:P292" ca="1" si="90">IF(M290&gt;0,N290*100/M290,0)</f>
        <v>10.913887220205291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5"/>
      <c r="J291" s="195"/>
      <c r="K291" s="231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5"/>
      <c r="J292" s="195"/>
      <c r="K292" s="231"/>
      <c r="L292" s="161">
        <f t="shared" ref="L292:N292" ca="1" si="92">L294+L298</f>
        <v>765740</v>
      </c>
      <c r="M292" s="161">
        <f t="shared" ca="1" si="92"/>
        <v>765740</v>
      </c>
      <c r="N292" s="161">
        <f t="shared" ca="1" si="92"/>
        <v>83572</v>
      </c>
      <c r="O292" s="160">
        <f t="shared" ca="1" si="89"/>
        <v>10.913887220205291</v>
      </c>
      <c r="P292" s="160">
        <f t="shared" ca="1" si="90"/>
        <v>10.913887220205291</v>
      </c>
    </row>
    <row r="293" spans="1:16" ht="21.75" customHeight="1" x14ac:dyDescent="0.35">
      <c r="A293" s="162"/>
      <c r="B293" s="163"/>
      <c r="C293" s="163" t="s">
        <v>16</v>
      </c>
      <c r="D293" s="164" t="s">
        <v>38</v>
      </c>
      <c r="E293" s="165"/>
      <c r="F293" s="165"/>
      <c r="G293" s="166" t="s">
        <v>39</v>
      </c>
      <c r="H293" s="167" t="s">
        <v>12</v>
      </c>
      <c r="I293" s="195" t="s">
        <v>40</v>
      </c>
      <c r="J293" s="195"/>
      <c r="K293" s="231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 x14ac:dyDescent="0.35">
      <c r="A294" s="162"/>
      <c r="B294" s="163"/>
      <c r="C294" s="163"/>
      <c r="D294" s="172"/>
      <c r="E294" s="165"/>
      <c r="F294" s="165" t="s">
        <v>40</v>
      </c>
      <c r="G294" s="166" t="s">
        <v>41</v>
      </c>
      <c r="H294" s="167" t="s">
        <v>12</v>
      </c>
      <c r="I294" s="195"/>
      <c r="J294" s="195"/>
      <c r="K294" s="231"/>
      <c r="L294" s="173">
        <f ca="1">L295+L296</f>
        <v>195740</v>
      </c>
      <c r="M294" s="174">
        <f ca="1">IFERROR(__xludf.DUMMYFUNCTION("IMPORTRANGE(""https://docs.google.com/spreadsheets/d/1Yj_ptqi66GCucihVvJfMjLAmec39IyEx_6qawtMGysU/edit?usp=sharing"",""สบก!CT81"")"),195740)</f>
        <v>195740</v>
      </c>
      <c r="N294" s="175">
        <f ca="1">IFERROR(__xludf.DUMMYFUNCTION("IMPORTRANGE(""https://docs.google.com/spreadsheets/d/1Yj_ptqi66GCucihVvJfMjLAmec39IyEx_6qawtMGysU/edit?usp=sharing"",""สบก!CU81"")"),83572)</f>
        <v>83572</v>
      </c>
      <c r="O294" s="176">
        <f ca="1">IF(L294&gt;0,N294*100/L294,0)</f>
        <v>42.695412281598038</v>
      </c>
      <c r="P294" s="176">
        <f ca="1">IF(M294&gt;0,N294*100/M294,0)</f>
        <v>42.695412281598038</v>
      </c>
    </row>
    <row r="295" spans="1:16" ht="21.75" customHeight="1" x14ac:dyDescent="0.35">
      <c r="A295" s="162"/>
      <c r="B295" s="163"/>
      <c r="C295" s="163"/>
      <c r="D295" s="172"/>
      <c r="E295" s="165"/>
      <c r="F295" s="165"/>
      <c r="G295" s="177" t="s">
        <v>42</v>
      </c>
      <c r="H295" s="167" t="s">
        <v>12</v>
      </c>
      <c r="I295" s="195"/>
      <c r="J295" s="195"/>
      <c r="K295" s="231"/>
      <c r="L295" s="174">
        <f ca="1">IFERROR(__xludf.DUMMYFUNCTION("IMPORTRANGE(""https://docs.google.com/spreadsheets/d/1Yj_ptqi66GCucihVvJfMjLAmec39IyEx_6qawtMGysU/edit?usp=sharing"",""สบก!CP81"")"),0)</f>
        <v>0</v>
      </c>
      <c r="M295" s="173"/>
      <c r="N295" s="173"/>
      <c r="O295" s="176"/>
      <c r="P295" s="176"/>
    </row>
    <row r="296" spans="1:16" ht="21.75" customHeight="1" x14ac:dyDescent="0.35">
      <c r="A296" s="162"/>
      <c r="B296" s="163"/>
      <c r="C296" s="163"/>
      <c r="D296" s="172"/>
      <c r="E296" s="165"/>
      <c r="F296" s="165"/>
      <c r="G296" s="177" t="s">
        <v>43</v>
      </c>
      <c r="H296" s="167" t="s">
        <v>12</v>
      </c>
      <c r="I296" s="195"/>
      <c r="J296" s="195"/>
      <c r="K296" s="231"/>
      <c r="L296" s="174">
        <f ca="1">IFERROR(__xludf.DUMMYFUNCTION("IMPORTRANGE(""https://docs.google.com/spreadsheets/d/1Yj_ptqi66GCucihVvJfMjLAmec39IyEx_6qawtMGysU/edit?usp=sharing"",""สบก!CQ81"")"),195740)</f>
        <v>195740</v>
      </c>
      <c r="M296" s="173"/>
      <c r="N296" s="173"/>
      <c r="O296" s="176"/>
      <c r="P296" s="176"/>
    </row>
    <row r="297" spans="1:16" ht="21.75" customHeight="1" x14ac:dyDescent="0.45">
      <c r="A297" s="178"/>
      <c r="B297" s="81"/>
      <c r="C297" s="82" t="s">
        <v>16</v>
      </c>
      <c r="D297" s="549" t="s">
        <v>23</v>
      </c>
      <c r="E297" s="545"/>
      <c r="F297" s="89"/>
      <c r="G297" s="83" t="s">
        <v>18</v>
      </c>
      <c r="H297" s="179" t="s">
        <v>12</v>
      </c>
      <c r="I297" s="195"/>
      <c r="J297" s="195"/>
      <c r="K297" s="231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80"/>
      <c r="B298" s="95"/>
      <c r="C298" s="95"/>
      <c r="D298" s="181"/>
      <c r="E298" s="96"/>
      <c r="F298" s="96"/>
      <c r="G298" s="97" t="s">
        <v>19</v>
      </c>
      <c r="H298" s="182" t="s">
        <v>12</v>
      </c>
      <c r="I298" s="195"/>
      <c r="J298" s="195"/>
      <c r="K298" s="231"/>
      <c r="L298" s="91">
        <f ca="1">IFERROR(__xludf.DUMMYFUNCTION("IMPORTRANGE(""https://docs.google.com/spreadsheets/d/1Yj_ptqi66GCucihVvJfMjLAmec39IyEx_6qawtMGysU/edit?usp=sharing"",""สบก!CR81"")"),570000)</f>
        <v>570000</v>
      </c>
      <c r="M298" s="101">
        <f ca="1">L298</f>
        <v>570000</v>
      </c>
      <c r="N298" s="91">
        <f ca="1">IFERROR(__xludf.DUMMYFUNCTION("IMPORTRANGE(""https://docs.google.com/spreadsheets/d/1Yj_ptqi66GCucihVvJfMjLAmec39IyEx_6qawtMGysU/edit?usp=sharing"",""สบก!CV81"")"),0)</f>
        <v>0</v>
      </c>
      <c r="O298" s="101">
        <f ca="1">IF(L298&gt;0,N298*100/L298,0)</f>
        <v>0</v>
      </c>
      <c r="P298" s="101">
        <f ca="1">IF(M298&gt;0,N298*100/M298,0)</f>
        <v>0</v>
      </c>
    </row>
    <row r="299" spans="1:16" ht="21.75" customHeight="1" x14ac:dyDescent="0.35">
      <c r="A299" s="183"/>
      <c r="B299" s="184"/>
      <c r="C299" s="163" t="s">
        <v>16</v>
      </c>
      <c r="D299" s="185" t="s">
        <v>44</v>
      </c>
      <c r="E299" s="186"/>
      <c r="F299" s="186"/>
      <c r="G299" s="187"/>
      <c r="H299" s="188"/>
      <c r="I299" s="195"/>
      <c r="J299" s="195"/>
      <c r="K299" s="231"/>
      <c r="L299" s="176"/>
      <c r="M299" s="176"/>
      <c r="N299" s="176"/>
      <c r="O299" s="189"/>
      <c r="P299" s="189"/>
    </row>
    <row r="300" spans="1:16" ht="21.75" customHeight="1" x14ac:dyDescent="0.35">
      <c r="A300" s="183"/>
      <c r="B300" s="184"/>
      <c r="C300" s="184"/>
      <c r="D300" s="190">
        <v>1</v>
      </c>
      <c r="E300" s="191" t="s">
        <v>45</v>
      </c>
      <c r="F300" s="192"/>
      <c r="G300" s="193"/>
      <c r="H300" s="194"/>
      <c r="I300" s="195"/>
      <c r="J300" s="195">
        <f ca="1">IFERROR(__xludf.DUMMYFUNCTION("IMPORTRANGE(""https://docs.google.com/spreadsheets/d/1IYY_tgx_IHuhSq3AJ5eI5OnqOPBNLWSHKh2a30DoXe8/edit?usp=sharing"",""กระบี่!J205"")"),0)</f>
        <v>0</v>
      </c>
      <c r="K300" s="231"/>
      <c r="L300" s="176"/>
      <c r="M300" s="176"/>
      <c r="N300" s="176"/>
      <c r="O300" s="189"/>
      <c r="P300" s="189"/>
    </row>
    <row r="301" spans="1:16" ht="21.75" customHeight="1" x14ac:dyDescent="0.35">
      <c r="A301" s="183"/>
      <c r="B301" s="184"/>
      <c r="C301" s="184"/>
      <c r="D301" s="197">
        <v>2</v>
      </c>
      <c r="E301" s="198" t="s">
        <v>46</v>
      </c>
      <c r="F301" s="199"/>
      <c r="G301" s="200"/>
      <c r="H301" s="194"/>
      <c r="I301" s="195"/>
      <c r="J301" s="195">
        <f ca="1">IFERROR(__xludf.DUMMYFUNCTION("IMPORTRANGE(""https://docs.google.com/spreadsheets/d/1IYY_tgx_IHuhSq3AJ5eI5OnqOPBNLWSHKh2a30DoXe8/edit?usp=sharing"",""กระบี่!J206"")"),1)</f>
        <v>1</v>
      </c>
      <c r="K301" s="231"/>
      <c r="L301" s="176" t="s">
        <v>40</v>
      </c>
      <c r="M301" s="176"/>
      <c r="N301" s="176" t="s">
        <v>40</v>
      </c>
      <c r="O301" s="189"/>
      <c r="P301" s="189"/>
    </row>
    <row r="302" spans="1:16" ht="21.75" customHeight="1" x14ac:dyDescent="0.35">
      <c r="A302" s="183"/>
      <c r="B302" s="184"/>
      <c r="C302" s="184"/>
      <c r="D302" s="201"/>
      <c r="E302" s="202" t="s">
        <v>47</v>
      </c>
      <c r="F302" s="203"/>
      <c r="G302" s="204"/>
      <c r="H302" s="194"/>
      <c r="I302" s="195"/>
      <c r="J302" s="195">
        <f ca="1">IFERROR(__xludf.DUMMYFUNCTION("IMPORTRANGE(""https://docs.google.com/spreadsheets/d/1IYY_tgx_IHuhSq3AJ5eI5OnqOPBNLWSHKh2a30DoXe8/edit?usp=sharing"",""กระบี่!J207"")"),1)</f>
        <v>1</v>
      </c>
      <c r="K302" s="231"/>
      <c r="L302" s="176"/>
      <c r="M302" s="176"/>
      <c r="N302" s="176"/>
      <c r="O302" s="189"/>
      <c r="P302" s="189"/>
    </row>
    <row r="303" spans="1:16" ht="21.75" customHeight="1" x14ac:dyDescent="0.35">
      <c r="A303" s="183"/>
      <c r="B303" s="184"/>
      <c r="C303" s="184"/>
      <c r="D303" s="201"/>
      <c r="E303" s="202" t="s">
        <v>48</v>
      </c>
      <c r="F303" s="203"/>
      <c r="G303" s="204"/>
      <c r="H303" s="194"/>
      <c r="I303" s="195"/>
      <c r="J303" s="195">
        <f ca="1">IFERROR(__xludf.DUMMYFUNCTION("IMPORTRANGE(""https://docs.google.com/spreadsheets/d/1IYY_tgx_IHuhSq3AJ5eI5OnqOPBNLWSHKh2a30DoXe8/edit?usp=sharing"",""กระบี่!J208"")"),1)</f>
        <v>1</v>
      </c>
      <c r="K303" s="231"/>
      <c r="L303" s="176"/>
      <c r="M303" s="176"/>
      <c r="N303" s="176"/>
      <c r="O303" s="189"/>
      <c r="P303" s="189"/>
    </row>
    <row r="304" spans="1:16" ht="21.75" customHeight="1" x14ac:dyDescent="0.35">
      <c r="A304" s="183"/>
      <c r="B304" s="184"/>
      <c r="C304" s="184"/>
      <c r="D304" s="201"/>
      <c r="E304" s="206"/>
      <c r="F304" s="202" t="s">
        <v>113</v>
      </c>
      <c r="G304" s="204"/>
      <c r="H304" s="188" t="s">
        <v>37</v>
      </c>
      <c r="I304" s="195">
        <f ca="1">IFERROR(__xludf.DUMMYFUNCTION("IMPORTRANGE(""https://docs.google.com/spreadsheets/d/1IYY_tgx_IHuhSq3AJ5eI5OnqOPBNLWSHKh2a30DoXe8/edit?usp=sharing"",""กระบี่!I209"")"),65)</f>
        <v>65</v>
      </c>
      <c r="J304" s="211">
        <f ca="1">IFERROR(__xludf.DUMMYFUNCTION("IMPORTRANGE(""https://docs.google.com/spreadsheets/d/1IYY_tgx_IHuhSq3AJ5eI5OnqOPBNLWSHKh2a30DoXe8/edit?usp=sharing"",""กระบี่!J209"")"),65)</f>
        <v>65</v>
      </c>
      <c r="K304" s="231">
        <f ca="1">IF(I304&gt;0,J304*100/I304,0)</f>
        <v>100</v>
      </c>
      <c r="L304" s="176"/>
      <c r="M304" s="176"/>
      <c r="N304" s="176"/>
      <c r="O304" s="189"/>
      <c r="P304" s="189"/>
    </row>
    <row r="305" spans="1:16" ht="21.75" customHeight="1" x14ac:dyDescent="0.35">
      <c r="A305" s="183"/>
      <c r="B305" s="184"/>
      <c r="C305" s="184"/>
      <c r="D305" s="201"/>
      <c r="E305" s="206"/>
      <c r="F305" s="202" t="s">
        <v>114</v>
      </c>
      <c r="G305" s="204"/>
      <c r="H305" s="188"/>
      <c r="I305" s="195"/>
      <c r="J305" s="195"/>
      <c r="K305" s="231"/>
      <c r="L305" s="176"/>
      <c r="M305" s="176"/>
      <c r="N305" s="176"/>
      <c r="O305" s="189"/>
      <c r="P305" s="189"/>
    </row>
    <row r="306" spans="1:16" ht="21.75" customHeight="1" x14ac:dyDescent="0.35">
      <c r="A306" s="183"/>
      <c r="B306" s="184"/>
      <c r="C306" s="184"/>
      <c r="D306" s="201"/>
      <c r="E306" s="206"/>
      <c r="F306" s="203" t="s">
        <v>53</v>
      </c>
      <c r="G306" s="204"/>
      <c r="H306" s="188" t="s">
        <v>37</v>
      </c>
      <c r="I306" s="195">
        <f ca="1">IFERROR(__xludf.DUMMYFUNCTION("IMPORTRANGE(""https://docs.google.com/spreadsheets/d/1IYY_tgx_IHuhSq3AJ5eI5OnqOPBNLWSHKh2a30DoXe8/edit?usp=sharing"",""กระบี่!I211"")"),65)</f>
        <v>65</v>
      </c>
      <c r="J306" s="211">
        <f ca="1">IFERROR(__xludf.DUMMYFUNCTION("IMPORTRANGE(""https://docs.google.com/spreadsheets/d/1IYY_tgx_IHuhSq3AJ5eI5OnqOPBNLWSHKh2a30DoXe8/edit?usp=sharing"",""กระบี่!J211"")"),0)</f>
        <v>0</v>
      </c>
      <c r="K306" s="231">
        <f ca="1">IF(I306&gt;0,J306*100/I306,0)</f>
        <v>0</v>
      </c>
      <c r="L306" s="176"/>
      <c r="M306" s="176"/>
      <c r="N306" s="176"/>
      <c r="O306" s="189"/>
      <c r="P306" s="189"/>
    </row>
    <row r="307" spans="1:16" ht="21.75" customHeight="1" x14ac:dyDescent="0.35">
      <c r="A307" s="183"/>
      <c r="B307" s="184"/>
      <c r="C307" s="184"/>
      <c r="D307" s="201"/>
      <c r="E307" s="202" t="s">
        <v>54</v>
      </c>
      <c r="F307" s="203"/>
      <c r="G307" s="204"/>
      <c r="H307" s="194"/>
      <c r="I307" s="195"/>
      <c r="J307" s="195">
        <f ca="1">IFERROR(__xludf.DUMMYFUNCTION("IMPORTRANGE(""https://docs.google.com/spreadsheets/d/1IYY_tgx_IHuhSq3AJ5eI5OnqOPBNLWSHKh2a30DoXe8/edit?usp=sharing"",""กระบี่!J212"")"),0)</f>
        <v>0</v>
      </c>
      <c r="K307" s="231"/>
      <c r="L307" s="176"/>
      <c r="M307" s="176"/>
      <c r="N307" s="176"/>
      <c r="O307" s="189"/>
      <c r="P307" s="189"/>
    </row>
    <row r="308" spans="1:16" ht="21.75" customHeight="1" x14ac:dyDescent="0.35">
      <c r="A308" s="183"/>
      <c r="B308" s="184"/>
      <c r="C308" s="184"/>
      <c r="D308" s="213">
        <v>3</v>
      </c>
      <c r="E308" s="214" t="s">
        <v>55</v>
      </c>
      <c r="F308" s="215"/>
      <c r="G308" s="216"/>
      <c r="H308" s="194"/>
      <c r="I308" s="195"/>
      <c r="J308" s="332">
        <f ca="1">IFERROR(__xludf.DUMMYFUNCTION("IMPORTRANGE(""https://docs.google.com/spreadsheets/d/1IYY_tgx_IHuhSq3AJ5eI5OnqOPBNLWSHKh2a30DoXe8/edit?usp=sharing"",""กระบี่!J213"")"),0)</f>
        <v>0</v>
      </c>
      <c r="K308" s="231"/>
      <c r="L308" s="176"/>
      <c r="M308" s="176"/>
      <c r="N308" s="176"/>
      <c r="O308" s="189"/>
      <c r="P308" s="189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IFERROR(__xludf.DUMMYFUNCTION("IMPORTRANGE(""https://docs.google.com/spreadsheets/d/1IYY_tgx_IHuhSq3AJ5eI5OnqOPBNLWSHKh2a30DoXe8/edit?usp=sharing"",""กระบี่!I214"")"),2)</f>
        <v>2</v>
      </c>
      <c r="J309" s="339">
        <f ca="1">IFERROR(__xludf.DUMMYFUNCTION("IMPORTRANGE(""https://docs.google.com/spreadsheets/d/1IYY_tgx_IHuhSq3AJ5eI5OnqOPBNLWSHKh2a30DoXe8/edit?usp=sharing"",""กระบี่!J214"")"),2)</f>
        <v>2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52" t="s">
        <v>17</v>
      </c>
      <c r="E310" s="543"/>
      <c r="F310" s="543"/>
      <c r="G310" s="543"/>
      <c r="H310" s="153" t="s">
        <v>12</v>
      </c>
      <c r="I310" s="342"/>
      <c r="J310" s="342"/>
      <c r="K310" s="343"/>
      <c r="L310" s="156">
        <f t="shared" ref="L310:N310" ca="1" si="93">L311+L312</f>
        <v>5143600</v>
      </c>
      <c r="M310" s="156">
        <f t="shared" ca="1" si="93"/>
        <v>5167800</v>
      </c>
      <c r="N310" s="156">
        <f t="shared" ca="1" si="93"/>
        <v>223898</v>
      </c>
      <c r="O310" s="155">
        <f t="shared" ref="O310:O312" ca="1" si="94">IF(L310&gt;0,N310*100/L310,0)</f>
        <v>4.3529434637219069</v>
      </c>
      <c r="P310" s="155">
        <f t="shared" ref="P310:P312" ca="1" si="95">IF(M310&gt;0,N310*100/M310,0)</f>
        <v>4.3325593095708035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5143600</v>
      </c>
      <c r="M312" s="161">
        <f t="shared" ca="1" si="97"/>
        <v>5167800</v>
      </c>
      <c r="N312" s="161">
        <f t="shared" ca="1" si="97"/>
        <v>223898</v>
      </c>
      <c r="O312" s="160">
        <f t="shared" ca="1" si="94"/>
        <v>4.3529434637219069</v>
      </c>
      <c r="P312" s="160">
        <f t="shared" ca="1" si="95"/>
        <v>4.3325593095708035</v>
      </c>
    </row>
    <row r="313" spans="1:16" ht="21.75" customHeight="1" x14ac:dyDescent="0.35">
      <c r="A313" s="162"/>
      <c r="B313" s="163"/>
      <c r="C313" s="163" t="s">
        <v>16</v>
      </c>
      <c r="D313" s="164" t="s">
        <v>38</v>
      </c>
      <c r="E313" s="165"/>
      <c r="F313" s="165"/>
      <c r="G313" s="166" t="s">
        <v>39</v>
      </c>
      <c r="H313" s="167" t="s">
        <v>12</v>
      </c>
      <c r="I313" s="168" t="s">
        <v>40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 x14ac:dyDescent="0.35">
      <c r="A314" s="162"/>
      <c r="B314" s="163"/>
      <c r="C314" s="163"/>
      <c r="D314" s="172"/>
      <c r="E314" s="165"/>
      <c r="F314" s="165" t="s">
        <v>40</v>
      </c>
      <c r="G314" s="166" t="s">
        <v>41</v>
      </c>
      <c r="H314" s="167" t="s">
        <v>12</v>
      </c>
      <c r="I314" s="168"/>
      <c r="J314" s="168"/>
      <c r="K314" s="169"/>
      <c r="L314" s="173">
        <f ca="1">L315+L316</f>
        <v>243600</v>
      </c>
      <c r="M314" s="174">
        <f ca="1">IFERROR(__xludf.DUMMYFUNCTION("IMPORTRANGE(""https://docs.google.com/spreadsheets/d/1Yj_ptqi66GCucihVvJfMjLAmec39IyEx_6qawtMGysU/edit?usp=sharing"",""สบก!DC81"")"),267800)</f>
        <v>267800</v>
      </c>
      <c r="N314" s="175">
        <f ca="1">IFERROR(__xludf.DUMMYFUNCTION("IMPORTRANGE(""https://docs.google.com/spreadsheets/d/1Yj_ptqi66GCucihVvJfMjLAmec39IyEx_6qawtMGysU/edit?usp=sharing"",""สบก!DD81"")"),223898)</f>
        <v>223898</v>
      </c>
      <c r="O314" s="176">
        <f ca="1">IF(L314&gt;0,N314*100/L314,0)</f>
        <v>91.912151067323478</v>
      </c>
      <c r="P314" s="176">
        <f ca="1">IF(M314&gt;0,N314*100/M314,0)</f>
        <v>83.606422703510077</v>
      </c>
    </row>
    <row r="315" spans="1:16" ht="21.75" customHeight="1" x14ac:dyDescent="0.35">
      <c r="A315" s="162"/>
      <c r="B315" s="163"/>
      <c r="C315" s="163"/>
      <c r="D315" s="172"/>
      <c r="E315" s="165"/>
      <c r="F315" s="165"/>
      <c r="G315" s="177" t="s">
        <v>42</v>
      </c>
      <c r="H315" s="167" t="s">
        <v>12</v>
      </c>
      <c r="I315" s="168"/>
      <c r="J315" s="168"/>
      <c r="K315" s="169"/>
      <c r="L315" s="174">
        <f ca="1">IFERROR(__xludf.DUMMYFUNCTION("IMPORTRANGE(""https://docs.google.com/spreadsheets/d/1Yj_ptqi66GCucihVvJfMjLAmec39IyEx_6qawtMGysU/edit?usp=sharing"",""สบก!CY81"")"),0)</f>
        <v>0</v>
      </c>
      <c r="M315" s="173"/>
      <c r="N315" s="173"/>
      <c r="O315" s="176"/>
      <c r="P315" s="176"/>
    </row>
    <row r="316" spans="1:16" ht="21.75" customHeight="1" x14ac:dyDescent="0.35">
      <c r="A316" s="162"/>
      <c r="B316" s="163"/>
      <c r="C316" s="163"/>
      <c r="D316" s="172"/>
      <c r="E316" s="165"/>
      <c r="F316" s="165"/>
      <c r="G316" s="177" t="s">
        <v>43</v>
      </c>
      <c r="H316" s="167" t="s">
        <v>12</v>
      </c>
      <c r="I316" s="168"/>
      <c r="J316" s="195"/>
      <c r="K316" s="231"/>
      <c r="L316" s="174">
        <f ca="1">IFERROR(__xludf.DUMMYFUNCTION("IMPORTRANGE(""https://docs.google.com/spreadsheets/d/1Yj_ptqi66GCucihVvJfMjLAmec39IyEx_6qawtMGysU/edit?usp=sharing"",""สบก!CZ81"")"),243600)</f>
        <v>243600</v>
      </c>
      <c r="M316" s="173"/>
      <c r="N316" s="173"/>
      <c r="O316" s="176"/>
      <c r="P316" s="176"/>
    </row>
    <row r="317" spans="1:16" ht="21.75" customHeight="1" x14ac:dyDescent="0.45">
      <c r="A317" s="178"/>
      <c r="B317" s="81"/>
      <c r="C317" s="82" t="s">
        <v>16</v>
      </c>
      <c r="D317" s="549" t="s">
        <v>23</v>
      </c>
      <c r="E317" s="545"/>
      <c r="F317" s="89"/>
      <c r="G317" s="83" t="s">
        <v>18</v>
      </c>
      <c r="H317" s="179" t="s">
        <v>12</v>
      </c>
      <c r="I317" s="168"/>
      <c r="J317" s="195"/>
      <c r="K317" s="231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80"/>
      <c r="B318" s="95"/>
      <c r="C318" s="95"/>
      <c r="D318" s="181"/>
      <c r="E318" s="96"/>
      <c r="F318" s="96"/>
      <c r="G318" s="97" t="s">
        <v>19</v>
      </c>
      <c r="H318" s="182" t="s">
        <v>12</v>
      </c>
      <c r="I318" s="168"/>
      <c r="J318" s="195"/>
      <c r="K318" s="231"/>
      <c r="L318" s="91">
        <f ca="1">IFERROR(__xludf.DUMMYFUNCTION("IMPORTRANGE(""https://docs.google.com/spreadsheets/d/1Yj_ptqi66GCucihVvJfMjLAmec39IyEx_6qawtMGysU/edit?usp=sharing"",""สบก!DA81"")"),4900000)</f>
        <v>4900000</v>
      </c>
      <c r="M318" s="101">
        <f ca="1">L318</f>
        <v>4900000</v>
      </c>
      <c r="N318" s="91">
        <f ca="1">IFERROR(__xludf.DUMMYFUNCTION("IMPORTRANGE(""https://docs.google.com/spreadsheets/d/1Yj_ptqi66GCucihVvJfMjLAmec39IyEx_6qawtMGysU/edit?usp=sharing"",""สบก!DE81"")"),0)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35">
      <c r="A319" s="183"/>
      <c r="B319" s="184"/>
      <c r="C319" s="163" t="s">
        <v>16</v>
      </c>
      <c r="D319" s="185" t="s">
        <v>44</v>
      </c>
      <c r="E319" s="186"/>
      <c r="F319" s="186"/>
      <c r="G319" s="187"/>
      <c r="H319" s="188"/>
      <c r="I319" s="168"/>
      <c r="J319" s="195"/>
      <c r="K319" s="231"/>
      <c r="L319" s="176"/>
      <c r="M319" s="176"/>
      <c r="N319" s="176"/>
      <c r="O319" s="189"/>
      <c r="P319" s="189"/>
    </row>
    <row r="320" spans="1:16" ht="21.75" customHeight="1" x14ac:dyDescent="0.35">
      <c r="A320" s="183"/>
      <c r="B320" s="184"/>
      <c r="C320" s="184"/>
      <c r="D320" s="190">
        <v>1</v>
      </c>
      <c r="E320" s="191" t="s">
        <v>45</v>
      </c>
      <c r="F320" s="192"/>
      <c r="G320" s="193"/>
      <c r="H320" s="194"/>
      <c r="I320" s="195"/>
      <c r="J320" s="195">
        <f ca="1">IFERROR(__xludf.DUMMYFUNCTION("IMPORTRANGE(""https://docs.google.com/spreadsheets/d/1IYY_tgx_IHuhSq3AJ5eI5OnqOPBNLWSHKh2a30DoXe8/edit?usp=sharing"",""กระบี่!J220"")"),0)</f>
        <v>0</v>
      </c>
      <c r="K320" s="231"/>
      <c r="L320" s="176"/>
      <c r="M320" s="176"/>
      <c r="N320" s="176"/>
      <c r="O320" s="189"/>
      <c r="P320" s="189"/>
    </row>
    <row r="321" spans="1:16" ht="21.75" customHeight="1" x14ac:dyDescent="0.35">
      <c r="A321" s="183"/>
      <c r="B321" s="184"/>
      <c r="C321" s="184"/>
      <c r="D321" s="197">
        <v>2</v>
      </c>
      <c r="E321" s="198" t="s">
        <v>46</v>
      </c>
      <c r="F321" s="199"/>
      <c r="G321" s="200"/>
      <c r="H321" s="194"/>
      <c r="I321" s="195"/>
      <c r="J321" s="195">
        <f ca="1">IFERROR(__xludf.DUMMYFUNCTION("IMPORTRANGE(""https://docs.google.com/spreadsheets/d/1IYY_tgx_IHuhSq3AJ5eI5OnqOPBNLWSHKh2a30DoXe8/edit?usp=sharing"",""กระบี่!J221"")"),1)</f>
        <v>1</v>
      </c>
      <c r="K321" s="231"/>
      <c r="L321" s="176" t="s">
        <v>40</v>
      </c>
      <c r="M321" s="176"/>
      <c r="N321" s="176" t="s">
        <v>40</v>
      </c>
      <c r="O321" s="189"/>
      <c r="P321" s="189"/>
    </row>
    <row r="322" spans="1:16" ht="21.75" customHeight="1" x14ac:dyDescent="0.35">
      <c r="A322" s="183"/>
      <c r="B322" s="184"/>
      <c r="C322" s="184"/>
      <c r="D322" s="201"/>
      <c r="E322" s="202" t="s">
        <v>47</v>
      </c>
      <c r="F322" s="203"/>
      <c r="G322" s="204"/>
      <c r="H322" s="194"/>
      <c r="I322" s="195"/>
      <c r="J322" s="195">
        <f ca="1">IFERROR(__xludf.DUMMYFUNCTION("IMPORTRANGE(""https://docs.google.com/spreadsheets/d/1IYY_tgx_IHuhSq3AJ5eI5OnqOPBNLWSHKh2a30DoXe8/edit?usp=sharing"",""กระบี่!J222"")"),1)</f>
        <v>1</v>
      </c>
      <c r="K322" s="231"/>
      <c r="L322" s="176"/>
      <c r="M322" s="176"/>
      <c r="N322" s="176"/>
      <c r="O322" s="189"/>
      <c r="P322" s="189"/>
    </row>
    <row r="323" spans="1:16" ht="21.75" customHeight="1" x14ac:dyDescent="0.35">
      <c r="A323" s="183"/>
      <c r="B323" s="184"/>
      <c r="C323" s="184"/>
      <c r="D323" s="201"/>
      <c r="E323" s="202" t="s">
        <v>48</v>
      </c>
      <c r="F323" s="203"/>
      <c r="G323" s="204"/>
      <c r="H323" s="194"/>
      <c r="I323" s="195"/>
      <c r="J323" s="195">
        <f ca="1">IFERROR(__xludf.DUMMYFUNCTION("IMPORTRANGE(""https://docs.google.com/spreadsheets/d/1IYY_tgx_IHuhSq3AJ5eI5OnqOPBNLWSHKh2a30DoXe8/edit?usp=sharing"",""กระบี่!J223"")"),1)</f>
        <v>1</v>
      </c>
      <c r="K323" s="231"/>
      <c r="L323" s="176"/>
      <c r="M323" s="176"/>
      <c r="N323" s="176"/>
      <c r="O323" s="189"/>
      <c r="P323" s="189"/>
    </row>
    <row r="324" spans="1:16" ht="21.75" customHeight="1" x14ac:dyDescent="0.35">
      <c r="A324" s="183"/>
      <c r="B324" s="184"/>
      <c r="C324" s="184"/>
      <c r="D324" s="201"/>
      <c r="E324" s="206"/>
      <c r="F324" s="202" t="s">
        <v>117</v>
      </c>
      <c r="G324" s="204"/>
      <c r="H324" s="194" t="s">
        <v>116</v>
      </c>
      <c r="I324" s="195">
        <f ca="1">IFERROR(__xludf.DUMMYFUNCTION("IMPORTRANGE(""https://docs.google.com/spreadsheets/d/1IYY_tgx_IHuhSq3AJ5eI5OnqOPBNLWSHKh2a30DoXe8/edit?usp=sharing"",""กระบี่!I224"")"),2)</f>
        <v>2</v>
      </c>
      <c r="J324" s="211">
        <f ca="1">IFERROR(__xludf.DUMMYFUNCTION("IMPORTRANGE(""https://docs.google.com/spreadsheets/d/1IYY_tgx_IHuhSq3AJ5eI5OnqOPBNLWSHKh2a30DoXe8/edit?usp=sharing"",""กระบี่!J224"")"),2)</f>
        <v>2</v>
      </c>
      <c r="K324" s="231">
        <f ca="1">IF(I324&gt;0,J324*100/I324,0)</f>
        <v>100</v>
      </c>
      <c r="L324" s="176"/>
      <c r="M324" s="176"/>
      <c r="N324" s="176"/>
      <c r="O324" s="189"/>
      <c r="P324" s="189"/>
    </row>
    <row r="325" spans="1:16" ht="21.75" customHeight="1" x14ac:dyDescent="0.35">
      <c r="A325" s="183"/>
      <c r="B325" s="184"/>
      <c r="C325" s="184"/>
      <c r="D325" s="201"/>
      <c r="E325" s="202" t="s">
        <v>54</v>
      </c>
      <c r="F325" s="203"/>
      <c r="G325" s="204"/>
      <c r="H325" s="194"/>
      <c r="I325" s="195"/>
      <c r="J325" s="195">
        <f ca="1">IFERROR(__xludf.DUMMYFUNCTION("IMPORTRANGE(""https://docs.google.com/spreadsheets/d/1IYY_tgx_IHuhSq3AJ5eI5OnqOPBNLWSHKh2a30DoXe8/edit?usp=sharing"",""กระบี่!J225"")"),0)</f>
        <v>0</v>
      </c>
      <c r="K325" s="231"/>
      <c r="L325" s="176"/>
      <c r="M325" s="176"/>
      <c r="N325" s="176"/>
      <c r="O325" s="189"/>
      <c r="P325" s="189"/>
    </row>
    <row r="326" spans="1:16" ht="21.75" customHeight="1" x14ac:dyDescent="0.35">
      <c r="A326" s="183"/>
      <c r="B326" s="184"/>
      <c r="C326" s="184"/>
      <c r="D326" s="213">
        <v>3</v>
      </c>
      <c r="E326" s="214" t="s">
        <v>55</v>
      </c>
      <c r="F326" s="215"/>
      <c r="G326" s="216"/>
      <c r="H326" s="194"/>
      <c r="I326" s="195"/>
      <c r="J326" s="234">
        <f ca="1">IFERROR(__xludf.DUMMYFUNCTION("IMPORTRANGE(""https://docs.google.com/spreadsheets/d/1IYY_tgx_IHuhSq3AJ5eI5OnqOPBNLWSHKh2a30DoXe8/edit?usp=sharing"",""กระบี่!J226"")"),0)</f>
        <v>0</v>
      </c>
      <c r="K326" s="231"/>
      <c r="L326" s="176"/>
      <c r="M326" s="176"/>
      <c r="N326" s="176"/>
      <c r="O326" s="189"/>
      <c r="P326" s="189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IFERROR(__xludf.DUMMYFUNCTION("IMPORTRANGE(""https://docs.google.com/spreadsheets/d/1IYY_tgx_IHuhSq3AJ5eI5OnqOPBNLWSHKh2a30DoXe8/edit?usp=sharing"",""กระบี่!I228"")"),280)</f>
        <v>280</v>
      </c>
      <c r="J328" s="345">
        <f ca="1">IFERROR(__xludf.DUMMYFUNCTION("IMPORTRANGE(""https://docs.google.com/spreadsheets/d/1IYY_tgx_IHuhSq3AJ5eI5OnqOPBNLWSHKh2a30DoXe8/edit?usp=sharing"",""กระบี่!J228"")"),43)</f>
        <v>43</v>
      </c>
      <c r="K328" s="323">
        <f ca="1">IF(I328&gt;0,J328*100/I328,0)</f>
        <v>15.357142857142858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52" t="s">
        <v>17</v>
      </c>
      <c r="E329" s="543"/>
      <c r="F329" s="543"/>
      <c r="G329" s="543"/>
      <c r="H329" s="153" t="s">
        <v>12</v>
      </c>
      <c r="I329" s="168"/>
      <c r="J329" s="168"/>
      <c r="K329" s="169"/>
      <c r="L329" s="156">
        <f t="shared" ref="L329:N329" ca="1" si="98">L330+L331</f>
        <v>832320</v>
      </c>
      <c r="M329" s="156">
        <f t="shared" ca="1" si="98"/>
        <v>482350</v>
      </c>
      <c r="N329" s="156">
        <f t="shared" ca="1" si="98"/>
        <v>368762</v>
      </c>
      <c r="O329" s="155">
        <f t="shared" ref="O329:O331" ca="1" si="99">IF(L329&gt;0,N329*100/L329,0)</f>
        <v>44.305315263360249</v>
      </c>
      <c r="P329" s="155">
        <f t="shared" ref="P329:P331" ca="1" si="100">IF(M329&gt;0,N329*100/M329,0)</f>
        <v>76.451124701979893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8"/>
      <c r="J330" s="168"/>
      <c r="K330" s="169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8"/>
      <c r="J331" s="168"/>
      <c r="K331" s="169"/>
      <c r="L331" s="161">
        <f t="shared" ref="L331:N331" ca="1" si="102">L333+L337</f>
        <v>832320</v>
      </c>
      <c r="M331" s="161">
        <f t="shared" ca="1" si="102"/>
        <v>482350</v>
      </c>
      <c r="N331" s="161">
        <f t="shared" ca="1" si="102"/>
        <v>368762</v>
      </c>
      <c r="O331" s="160">
        <f t="shared" ca="1" si="99"/>
        <v>44.305315263360249</v>
      </c>
      <c r="P331" s="160">
        <f t="shared" ca="1" si="100"/>
        <v>76.451124701979893</v>
      </c>
    </row>
    <row r="332" spans="1:16" ht="21.75" customHeight="1" x14ac:dyDescent="0.35">
      <c r="A332" s="162"/>
      <c r="B332" s="163"/>
      <c r="C332" s="163" t="s">
        <v>16</v>
      </c>
      <c r="D332" s="164" t="s">
        <v>38</v>
      </c>
      <c r="E332" s="165"/>
      <c r="F332" s="165"/>
      <c r="G332" s="166" t="s">
        <v>39</v>
      </c>
      <c r="H332" s="167" t="s">
        <v>12</v>
      </c>
      <c r="I332" s="168" t="s">
        <v>40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 x14ac:dyDescent="0.35">
      <c r="A333" s="162"/>
      <c r="B333" s="163"/>
      <c r="C333" s="163"/>
      <c r="D333" s="172"/>
      <c r="E333" s="165"/>
      <c r="F333" s="165" t="s">
        <v>40</v>
      </c>
      <c r="G333" s="166" t="s">
        <v>41</v>
      </c>
      <c r="H333" s="167" t="s">
        <v>12</v>
      </c>
      <c r="I333" s="168"/>
      <c r="J333" s="168"/>
      <c r="K333" s="169"/>
      <c r="L333" s="173">
        <f ca="1">L334+L335</f>
        <v>800750</v>
      </c>
      <c r="M333" s="174">
        <f ca="1">IFERROR(__xludf.DUMMYFUNCTION("IMPORTRANGE(""https://docs.google.com/spreadsheets/d/1Yj_ptqi66GCucihVvJfMjLAmec39IyEx_6qawtMGysU/edit?usp=sharing"",""สบก!DL81"")"),450780)</f>
        <v>450780</v>
      </c>
      <c r="N333" s="175">
        <f ca="1">IFERROR(__xludf.DUMMYFUNCTION("IMPORTRANGE(""https://docs.google.com/spreadsheets/d/1Yj_ptqi66GCucihVvJfMjLAmec39IyEx_6qawtMGysU/edit?usp=sharing"",""สบก!DM81"")"),337192)</f>
        <v>337192</v>
      </c>
      <c r="O333" s="176">
        <f ca="1">IF(L333&gt;0,N333*100/L333,0)</f>
        <v>42.109522322822357</v>
      </c>
      <c r="P333" s="176">
        <f ca="1">IF(M333&gt;0,N333*100/M333,0)</f>
        <v>74.801898930742269</v>
      </c>
    </row>
    <row r="334" spans="1:16" ht="21.75" customHeight="1" x14ac:dyDescent="0.35">
      <c r="A334" s="162"/>
      <c r="B334" s="163"/>
      <c r="C334" s="163"/>
      <c r="D334" s="172"/>
      <c r="E334" s="165"/>
      <c r="F334" s="165"/>
      <c r="G334" s="177" t="s">
        <v>42</v>
      </c>
      <c r="H334" s="167" t="s">
        <v>12</v>
      </c>
      <c r="I334" s="168"/>
      <c r="J334" s="168"/>
      <c r="K334" s="169"/>
      <c r="L334" s="174">
        <f ca="1">IFERROR(__xludf.DUMMYFUNCTION("IMPORTRANGE(""https://docs.google.com/spreadsheets/d/1Yj_ptqi66GCucihVvJfMjLAmec39IyEx_6qawtMGysU/edit?usp=sharing"",""สบก!DH81"")"),306000)</f>
        <v>306000</v>
      </c>
      <c r="M334" s="173"/>
      <c r="N334" s="173"/>
      <c r="O334" s="176"/>
      <c r="P334" s="176"/>
    </row>
    <row r="335" spans="1:16" ht="21.75" customHeight="1" x14ac:dyDescent="0.35">
      <c r="A335" s="162"/>
      <c r="B335" s="163"/>
      <c r="C335" s="163"/>
      <c r="D335" s="172"/>
      <c r="E335" s="165"/>
      <c r="F335" s="165"/>
      <c r="G335" s="177" t="s">
        <v>43</v>
      </c>
      <c r="H335" s="167" t="s">
        <v>12</v>
      </c>
      <c r="I335" s="168"/>
      <c r="J335" s="168"/>
      <c r="K335" s="169"/>
      <c r="L335" s="174">
        <f ca="1">IFERROR(__xludf.DUMMYFUNCTION("IMPORTRANGE(""https://docs.google.com/spreadsheets/d/1Yj_ptqi66GCucihVvJfMjLAmec39IyEx_6qawtMGysU/edit?usp=sharing"",""สบก!DI81"")"),494750)</f>
        <v>494750</v>
      </c>
      <c r="M335" s="173"/>
      <c r="N335" s="173"/>
      <c r="O335" s="176"/>
      <c r="P335" s="176"/>
    </row>
    <row r="336" spans="1:16" ht="21.75" customHeight="1" x14ac:dyDescent="0.45">
      <c r="A336" s="178"/>
      <c r="B336" s="81"/>
      <c r="C336" s="82" t="s">
        <v>16</v>
      </c>
      <c r="D336" s="549" t="s">
        <v>23</v>
      </c>
      <c r="E336" s="545"/>
      <c r="F336" s="89"/>
      <c r="G336" s="83" t="s">
        <v>18</v>
      </c>
      <c r="H336" s="179" t="s">
        <v>12</v>
      </c>
      <c r="I336" s="168"/>
      <c r="J336" s="168"/>
      <c r="K336" s="169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80"/>
      <c r="B337" s="95"/>
      <c r="C337" s="95"/>
      <c r="D337" s="181"/>
      <c r="E337" s="96"/>
      <c r="F337" s="96"/>
      <c r="G337" s="97" t="s">
        <v>19</v>
      </c>
      <c r="H337" s="182" t="s">
        <v>12</v>
      </c>
      <c r="I337" s="168"/>
      <c r="J337" s="168"/>
      <c r="K337" s="169"/>
      <c r="L337" s="91">
        <f ca="1">IFERROR(__xludf.DUMMYFUNCTION("IMPORTRANGE(""https://docs.google.com/spreadsheets/d/1Yj_ptqi66GCucihVvJfMjLAmec39IyEx_6qawtMGysU/edit?usp=sharing"",""สบก!DJ81"")"),31570)</f>
        <v>31570</v>
      </c>
      <c r="M337" s="101">
        <f ca="1">L337</f>
        <v>31570</v>
      </c>
      <c r="N337" s="91">
        <f ca="1">IFERROR(__xludf.DUMMYFUNCTION("IMPORTRANGE(""https://docs.google.com/spreadsheets/d/1Yj_ptqi66GCucihVvJfMjLAmec39IyEx_6qawtMGysU/edit?usp=sharing"",""สบก!DN81"")"),31570)</f>
        <v>31570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3"/>
      <c r="B338" s="297"/>
      <c r="C338" s="346" t="s">
        <v>120</v>
      </c>
      <c r="D338" s="203"/>
      <c r="E338" s="203"/>
      <c r="F338" s="203"/>
      <c r="G338" s="204"/>
      <c r="H338" s="188"/>
      <c r="I338" s="347"/>
      <c r="J338" s="347"/>
      <c r="K338" s="348"/>
      <c r="L338" s="189"/>
      <c r="M338" s="189"/>
      <c r="N338" s="189"/>
      <c r="O338" s="349"/>
      <c r="P338" s="349"/>
    </row>
    <row r="339" spans="1:16" ht="21.75" customHeight="1" x14ac:dyDescent="0.35">
      <c r="A339" s="183"/>
      <c r="B339" s="297"/>
      <c r="C339" s="184"/>
      <c r="D339" s="203"/>
      <c r="E339" s="202" t="s">
        <v>121</v>
      </c>
      <c r="F339" s="203"/>
      <c r="G339" s="204"/>
      <c r="H339" s="350" t="s">
        <v>37</v>
      </c>
      <c r="I339" s="211">
        <f ca="1">IFERROR(__xludf.DUMMYFUNCTION("IMPORTRANGE(""https://docs.google.com/spreadsheets/d/1IYY_tgx_IHuhSq3AJ5eI5OnqOPBNLWSHKh2a30DoXe8/edit?usp=sharing"",""กระบี่!I234"")"),0)</f>
        <v>0</v>
      </c>
      <c r="J339" s="195">
        <f ca="1">IFERROR(__xludf.DUMMYFUNCTION("IMPORTRANGE(""https://docs.google.com/spreadsheets/d/1IYY_tgx_IHuhSq3AJ5eI5OnqOPBNLWSHKh2a30DoXe8/edit?usp=sharing"",""กระบี่!J234"")"),215)</f>
        <v>215</v>
      </c>
      <c r="K339" s="348">
        <f t="shared" ref="K339:K346" ca="1" si="103">IF(I339&gt;0,J339*100/I339,0)</f>
        <v>0</v>
      </c>
      <c r="L339" s="189"/>
      <c r="M339" s="189"/>
      <c r="N339" s="189"/>
      <c r="O339" s="349"/>
      <c r="P339" s="349"/>
    </row>
    <row r="340" spans="1:16" ht="21.75" customHeight="1" x14ac:dyDescent="0.35">
      <c r="A340" s="183"/>
      <c r="B340" s="297"/>
      <c r="C340" s="184"/>
      <c r="D340" s="203"/>
      <c r="E340" s="203"/>
      <c r="F340" s="203"/>
      <c r="G340" s="204"/>
      <c r="H340" s="350" t="s">
        <v>122</v>
      </c>
      <c r="I340" s="195">
        <f ca="1">IFERROR(__xludf.DUMMYFUNCTION("IMPORTRANGE(""https://docs.google.com/spreadsheets/d/1IYY_tgx_IHuhSq3AJ5eI5OnqOPBNLWSHKh2a30DoXe8/edit?usp=sharing"",""กระบี่!I235"")"),3200)</f>
        <v>3200</v>
      </c>
      <c r="J340" s="195">
        <f ca="1">IFERROR(__xludf.DUMMYFUNCTION("IMPORTRANGE(""https://docs.google.com/spreadsheets/d/1IYY_tgx_IHuhSq3AJ5eI5OnqOPBNLWSHKh2a30DoXe8/edit?usp=sharing"",""กระบี่!J235"")"),3346.25)</f>
        <v>3346.25</v>
      </c>
      <c r="K340" s="348">
        <f t="shared" ca="1" si="103"/>
        <v>104.5703125</v>
      </c>
      <c r="L340" s="189"/>
      <c r="M340" s="189"/>
      <c r="N340" s="189"/>
      <c r="O340" s="349"/>
      <c r="P340" s="349"/>
    </row>
    <row r="341" spans="1:16" ht="21.75" customHeight="1" x14ac:dyDescent="0.35">
      <c r="A341" s="183"/>
      <c r="B341" s="297"/>
      <c r="C341" s="184"/>
      <c r="D341" s="203"/>
      <c r="E341" s="202" t="s">
        <v>123</v>
      </c>
      <c r="F341" s="203"/>
      <c r="G341" s="204"/>
      <c r="H341" s="188" t="s">
        <v>37</v>
      </c>
      <c r="I341" s="195">
        <f ca="1">IFERROR(__xludf.DUMMYFUNCTION("IMPORTRANGE(""https://docs.google.com/spreadsheets/d/1IYY_tgx_IHuhSq3AJ5eI5OnqOPBNLWSHKh2a30DoXe8/edit?usp=sharing"",""กระบี่!I236"")"),280)</f>
        <v>280</v>
      </c>
      <c r="J341" s="195">
        <f ca="1">IFERROR(__xludf.DUMMYFUNCTION("IMPORTRANGE(""https://docs.google.com/spreadsheets/d/1IYY_tgx_IHuhSq3AJ5eI5OnqOPBNLWSHKh2a30DoXe8/edit?usp=sharing"",""กระบี่!J236"")"),129)</f>
        <v>129</v>
      </c>
      <c r="K341" s="348">
        <f t="shared" ca="1" si="103"/>
        <v>46.071428571428569</v>
      </c>
      <c r="L341" s="189"/>
      <c r="M341" s="189"/>
      <c r="N341" s="189"/>
      <c r="O341" s="349"/>
      <c r="P341" s="349"/>
    </row>
    <row r="342" spans="1:16" ht="21.75" customHeight="1" x14ac:dyDescent="0.35">
      <c r="A342" s="183"/>
      <c r="B342" s="297"/>
      <c r="C342" s="184"/>
      <c r="D342" s="203"/>
      <c r="E342" s="203"/>
      <c r="F342" s="203"/>
      <c r="G342" s="204"/>
      <c r="H342" s="188" t="s">
        <v>122</v>
      </c>
      <c r="I342" s="351">
        <f ca="1">IFERROR(__xludf.DUMMYFUNCTION("IMPORTRANGE(""https://docs.google.com/spreadsheets/d/1IYY_tgx_IHuhSq3AJ5eI5OnqOPBNLWSHKh2a30DoXe8/edit?usp=sharing"",""กระบี่!I237"")"),0)</f>
        <v>0</v>
      </c>
      <c r="J342" s="195">
        <f ca="1">IFERROR(__xludf.DUMMYFUNCTION("IMPORTRANGE(""https://docs.google.com/spreadsheets/d/1IYY_tgx_IHuhSq3AJ5eI5OnqOPBNLWSHKh2a30DoXe8/edit?usp=sharing"",""กระบี่!J237"")"),2035.4)</f>
        <v>2035.4</v>
      </c>
      <c r="K342" s="348">
        <f t="shared" ca="1" si="103"/>
        <v>0</v>
      </c>
      <c r="L342" s="189"/>
      <c r="M342" s="189"/>
      <c r="N342" s="189"/>
      <c r="O342" s="349"/>
      <c r="P342" s="349"/>
    </row>
    <row r="343" spans="1:16" ht="21.75" customHeight="1" x14ac:dyDescent="0.35">
      <c r="A343" s="183"/>
      <c r="B343" s="297"/>
      <c r="C343" s="184"/>
      <c r="D343" s="203"/>
      <c r="E343" s="202" t="s">
        <v>124</v>
      </c>
      <c r="F343" s="203"/>
      <c r="G343" s="204"/>
      <c r="H343" s="188" t="s">
        <v>37</v>
      </c>
      <c r="I343" s="195">
        <f ca="1">IFERROR(__xludf.DUMMYFUNCTION("IMPORTRANGE(""https://docs.google.com/spreadsheets/d/1IYY_tgx_IHuhSq3AJ5eI5OnqOPBNLWSHKh2a30DoXe8/edit?usp=sharing"",""กระบี่!I238"")"),280)</f>
        <v>280</v>
      </c>
      <c r="J343" s="195">
        <f ca="1">IFERROR(__xludf.DUMMYFUNCTION("IMPORTRANGE(""https://docs.google.com/spreadsheets/d/1IYY_tgx_IHuhSq3AJ5eI5OnqOPBNLWSHKh2a30DoXe8/edit?usp=sharing"",""กระบี่!J238"")"),0)</f>
        <v>0</v>
      </c>
      <c r="K343" s="348">
        <f t="shared" ca="1" si="103"/>
        <v>0</v>
      </c>
      <c r="L343" s="189"/>
      <c r="M343" s="189"/>
      <c r="N343" s="189"/>
      <c r="O343" s="349"/>
      <c r="P343" s="349"/>
    </row>
    <row r="344" spans="1:16" ht="21.75" customHeight="1" x14ac:dyDescent="0.35">
      <c r="A344" s="183"/>
      <c r="B344" s="297"/>
      <c r="C344" s="184"/>
      <c r="D344" s="203"/>
      <c r="E344" s="203"/>
      <c r="F344" s="203"/>
      <c r="G344" s="204"/>
      <c r="H344" s="188" t="s">
        <v>122</v>
      </c>
      <c r="I344" s="351">
        <f ca="1">IFERROR(__xludf.DUMMYFUNCTION("IMPORTRANGE(""https://docs.google.com/spreadsheets/d/1IYY_tgx_IHuhSq3AJ5eI5OnqOPBNLWSHKh2a30DoXe8/edit?usp=sharing"",""กระบี่!I239"")"),0)</f>
        <v>0</v>
      </c>
      <c r="J344" s="195">
        <f ca="1">IFERROR(__xludf.DUMMYFUNCTION("IMPORTRANGE(""https://docs.google.com/spreadsheets/d/1IYY_tgx_IHuhSq3AJ5eI5OnqOPBNLWSHKh2a30DoXe8/edit?usp=sharing"",""กระบี่!J239"")"),0)</f>
        <v>0</v>
      </c>
      <c r="K344" s="348">
        <f t="shared" ca="1" si="103"/>
        <v>0</v>
      </c>
      <c r="L344" s="189"/>
      <c r="M344" s="189"/>
      <c r="N344" s="189"/>
      <c r="O344" s="349"/>
      <c r="P344" s="349"/>
    </row>
    <row r="345" spans="1:16" ht="21.75" customHeight="1" x14ac:dyDescent="0.35">
      <c r="A345" s="183"/>
      <c r="B345" s="297"/>
      <c r="C345" s="184"/>
      <c r="D345" s="203"/>
      <c r="E345" s="202" t="s">
        <v>125</v>
      </c>
      <c r="F345" s="203"/>
      <c r="G345" s="204"/>
      <c r="H345" s="188" t="s">
        <v>37</v>
      </c>
      <c r="I345" s="195">
        <f ca="1">IFERROR(__xludf.DUMMYFUNCTION("IMPORTRANGE(""https://docs.google.com/spreadsheets/d/1IYY_tgx_IHuhSq3AJ5eI5OnqOPBNLWSHKh2a30DoXe8/edit?usp=sharing"",""กระบี่!I240"")"),280)</f>
        <v>280</v>
      </c>
      <c r="J345" s="195">
        <f ca="1">IFERROR(__xludf.DUMMYFUNCTION("IMPORTRANGE(""https://docs.google.com/spreadsheets/d/1IYY_tgx_IHuhSq3AJ5eI5OnqOPBNLWSHKh2a30DoXe8/edit?usp=sharing"",""กระบี่!J240"")"),43)</f>
        <v>43</v>
      </c>
      <c r="K345" s="348">
        <f t="shared" ca="1" si="103"/>
        <v>15.357142857142858</v>
      </c>
      <c r="L345" s="189"/>
      <c r="M345" s="189"/>
      <c r="N345" s="189"/>
      <c r="O345" s="349"/>
      <c r="P345" s="349"/>
    </row>
    <row r="346" spans="1:16" ht="21.75" customHeight="1" x14ac:dyDescent="0.35">
      <c r="A346" s="241"/>
      <c r="B346" s="352"/>
      <c r="C346" s="242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IFERROR(__xludf.DUMMYFUNCTION("IMPORTRANGE(""https://docs.google.com/spreadsheets/d/1IYY_tgx_IHuhSq3AJ5eI5OnqOPBNLWSHKh2a30DoXe8/edit?usp=sharing"",""กระบี่!I241"")"),0)</f>
        <v>0</v>
      </c>
      <c r="J346" s="195">
        <f ca="1">IFERROR(__xludf.DUMMYFUNCTION("IMPORTRANGE(""https://docs.google.com/spreadsheets/d/1IYY_tgx_IHuhSq3AJ5eI5OnqOPBNLWSHKh2a30DoXe8/edit?usp=sharing"",""กระบี่!J241"")"),808.71)</f>
        <v>808.71</v>
      </c>
      <c r="K346" s="357">
        <f t="shared" ca="1" si="103"/>
        <v>0</v>
      </c>
      <c r="L346" s="252"/>
      <c r="M346" s="252"/>
      <c r="N346" s="252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IFERROR(__xludf.DUMMYFUNCTION("IMPORTRANGE(""https://docs.google.com/spreadsheets/d/1IYY_tgx_IHuhSq3AJ5eI5OnqOPBNLWSHKh2a30DoXe8/edit?usp=sharing"",""กระบี่!L242"")"),1204173)</f>
        <v>1204173</v>
      </c>
      <c r="M347" s="364"/>
      <c r="N347" s="364">
        <f ca="1">IFERROR(__xludf.DUMMYFUNCTION("IMPORTRANGE(""https://docs.google.com/spreadsheets/d/1IYY_tgx_IHuhSq3AJ5eI5OnqOPBNLWSHKh2a30DoXe8/edit?usp=sharing"",""กระบี่!M242"")"),327702.36)</f>
        <v>327702.36</v>
      </c>
      <c r="O347" s="364">
        <f ca="1">+IF(L347&gt;0,N347*100/L347,0)</f>
        <v>27.213893684711415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IFERROR(__xludf.DUMMYFUNCTION("IMPORTRANGE(""https://docs.google.com/spreadsheets/d/1IYY_tgx_IHuhSq3AJ5eI5OnqOPBNLWSHKh2a30DoXe8/edit?usp=sharing"",""กระบี่!I244"")"),0)</f>
        <v>0</v>
      </c>
      <c r="J349" s="377">
        <f ca="1">IFERROR(__xludf.DUMMYFUNCTION("IMPORTRANGE(""https://docs.google.com/spreadsheets/d/1IYY_tgx_IHuhSq3AJ5eI5OnqOPBNLWSHKh2a30DoXe8/edit?usp=sharing"",""กระบี่!J244"")"),0)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IFERROR(__xludf.DUMMYFUNCTION("IMPORTRANGE(""https://docs.google.com/spreadsheets/d/1IYY_tgx_IHuhSq3AJ5eI5OnqOPBNLWSHKh2a30DoXe8/edit?usp=sharing"",""กระบี่!L244"")"),0)</f>
        <v>0</v>
      </c>
      <c r="M349" s="379"/>
      <c r="N349" s="379">
        <f ca="1">IFERROR(__xludf.DUMMYFUNCTION("IMPORTRANGE(""https://docs.google.com/spreadsheets/d/1IYY_tgx_IHuhSq3AJ5eI5OnqOPBNLWSHKh2a30DoXe8/edit?usp=sharing"",""กระบี่!M244"")"),0)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IFERROR(__xludf.DUMMYFUNCTION("IMPORTRANGE(""https://docs.google.com/spreadsheets/d/1IYY_tgx_IHuhSq3AJ5eI5OnqOPBNLWSHKh2a30DoXe8/edit?usp=sharing"",""กระบี่!I245"")"),0)</f>
        <v>0</v>
      </c>
      <c r="J350" s="377">
        <f ca="1">IFERROR(__xludf.DUMMYFUNCTION("IMPORTRANGE(""https://docs.google.com/spreadsheets/d/1IYY_tgx_IHuhSq3AJ5eI5OnqOPBNLWSHKh2a30DoXe8/edit?usp=sharing"",""กระบี่!J245"")"),0)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164" t="s">
        <v>38</v>
      </c>
      <c r="E351" s="165"/>
      <c r="F351" s="165"/>
      <c r="G351" s="166" t="s">
        <v>39</v>
      </c>
      <c r="H351" s="167" t="s">
        <v>12</v>
      </c>
      <c r="I351" s="168" t="s">
        <v>40</v>
      </c>
      <c r="J351" s="168"/>
      <c r="K351" s="169"/>
      <c r="L351" s="170">
        <f ca="1">IFERROR(__xludf.DUMMYFUNCTION("IMPORTRANGE(""https://docs.google.com/spreadsheets/d/1IYY_tgx_IHuhSq3AJ5eI5OnqOPBNLWSHKh2a30DoXe8/edit?usp=sharing"",""กระบี่!L246"")"),0)</f>
        <v>0</v>
      </c>
      <c r="M351" s="170"/>
      <c r="N351" s="170">
        <f ca="1">IFERROR(__xludf.DUMMYFUNCTION("IMPORTRANGE(""https://docs.google.com/spreadsheets/d/1IYY_tgx_IHuhSq3AJ5eI5OnqOPBNLWSHKh2a30DoXe8/edit?usp=sharing"",""กระบี่!M246"")"),0)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 x14ac:dyDescent="0.35">
      <c r="A352" s="162"/>
      <c r="B352" s="163"/>
      <c r="C352" s="163"/>
      <c r="D352" s="172"/>
      <c r="E352" s="165"/>
      <c r="F352" s="165" t="s">
        <v>40</v>
      </c>
      <c r="G352" s="166" t="s">
        <v>41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IFERROR(__xludf.DUMMYFUNCTION("IMPORTRANGE(""https://docs.google.com/spreadsheets/d/1IYY_tgx_IHuhSq3AJ5eI5OnqOPBNLWSHKh2a30DoXe8/edit?usp=sharing"",""กระบี่!L247"")"),0)</f>
        <v>0</v>
      </c>
      <c r="M352" s="171"/>
      <c r="N352" s="170">
        <f ca="1">IFERROR(__xludf.DUMMYFUNCTION("IMPORTRANGE(""https://docs.google.com/spreadsheets/d/1IYY_tgx_IHuhSq3AJ5eI5OnqOPBNLWSHKh2a30DoXe8/edit?usp=sharing"",""กระบี่!M247"")"),0)</f>
        <v>0</v>
      </c>
      <c r="O352" s="171">
        <f t="shared" ca="1" si="105"/>
        <v>0</v>
      </c>
      <c r="P352" s="171"/>
    </row>
    <row r="353" spans="1:16" ht="21.75" customHeight="1" x14ac:dyDescent="0.35">
      <c r="A353" s="162"/>
      <c r="B353" s="163"/>
      <c r="C353" s="163"/>
      <c r="D353" s="172"/>
      <c r="E353" s="165"/>
      <c r="F353" s="165"/>
      <c r="G353" s="380" t="s">
        <v>129</v>
      </c>
      <c r="H353" s="167" t="s">
        <v>12</v>
      </c>
      <c r="I353" s="168"/>
      <c r="J353" s="168"/>
      <c r="K353" s="169"/>
      <c r="L353" s="176">
        <f ca="1">IFERROR(__xludf.DUMMYFUNCTION("IMPORTRANGE(""https://docs.google.com/spreadsheets/d/1IYY_tgx_IHuhSq3AJ5eI5OnqOPBNLWSHKh2a30DoXe8/edit?usp=sharing"",""กระบี่!L248"")"),0)</f>
        <v>0</v>
      </c>
      <c r="M353" s="176"/>
      <c r="N353" s="176">
        <f ca="1">IFERROR(__xludf.DUMMYFUNCTION("IMPORTRANGE(""https://docs.google.com/spreadsheets/d/1IYY_tgx_IHuhSq3AJ5eI5OnqOPBNLWSHKh2a30DoXe8/edit?usp=sharing"",""กระบี่!M248"")"),0)</f>
        <v>0</v>
      </c>
      <c r="O353" s="176">
        <f t="shared" ca="1" si="105"/>
        <v>0</v>
      </c>
      <c r="P353" s="176"/>
    </row>
    <row r="354" spans="1:16" ht="21.75" customHeight="1" x14ac:dyDescent="0.35">
      <c r="A354" s="162"/>
      <c r="B354" s="163"/>
      <c r="C354" s="163"/>
      <c r="D354" s="172"/>
      <c r="E354" s="165"/>
      <c r="F354" s="165"/>
      <c r="G354" s="380" t="s">
        <v>130</v>
      </c>
      <c r="H354" s="167" t="s">
        <v>12</v>
      </c>
      <c r="I354" s="168"/>
      <c r="J354" s="168"/>
      <c r="K354" s="169"/>
      <c r="L354" s="176">
        <f ca="1">IFERROR(__xludf.DUMMYFUNCTION("IMPORTRANGE(""https://docs.google.com/spreadsheets/d/1IYY_tgx_IHuhSq3AJ5eI5OnqOPBNLWSHKh2a30DoXe8/edit?usp=sharing"",""กระบี่!L249"")"),0)</f>
        <v>0</v>
      </c>
      <c r="M354" s="176"/>
      <c r="N354" s="173">
        <f ca="1">IFERROR(__xludf.DUMMYFUNCTION("IMPORTRANGE(""https://docs.google.com/spreadsheets/d/1IYY_tgx_IHuhSq3AJ5eI5OnqOPBNLWSHKh2a30DoXe8/edit?usp=sharing"",""กระบี่!M249"")"),0)</f>
        <v>0</v>
      </c>
      <c r="O354" s="176">
        <f t="shared" ca="1" si="105"/>
        <v>0</v>
      </c>
      <c r="P354" s="176"/>
    </row>
    <row r="355" spans="1:16" ht="21.75" customHeight="1" x14ac:dyDescent="0.35">
      <c r="A355" s="381"/>
      <c r="B355" s="382"/>
      <c r="C355" s="163"/>
      <c r="D355" s="383"/>
      <c r="E355" s="165"/>
      <c r="F355" s="165"/>
      <c r="G355" s="384" t="s">
        <v>131</v>
      </c>
      <c r="H355" s="167" t="s">
        <v>12</v>
      </c>
      <c r="I355" s="195"/>
      <c r="J355" s="195"/>
      <c r="K355" s="231"/>
      <c r="L355" s="176"/>
      <c r="M355" s="176"/>
      <c r="N355" s="385">
        <f ca="1">IFERROR(__xludf.DUMMYFUNCTION("IMPORTRANGE(""https://docs.google.com/spreadsheets/d/1IYY_tgx_IHuhSq3AJ5eI5OnqOPBNLWSHKh2a30DoXe8/edit?usp=sharing"",""กระบี่!M250"")"),0)</f>
        <v>0</v>
      </c>
      <c r="O355" s="176"/>
      <c r="P355" s="176"/>
    </row>
    <row r="356" spans="1:16" ht="21.75" customHeight="1" x14ac:dyDescent="0.35">
      <c r="A356" s="381"/>
      <c r="B356" s="382"/>
      <c r="C356" s="163"/>
      <c r="D356" s="383"/>
      <c r="E356" s="165"/>
      <c r="F356" s="165"/>
      <c r="G356" s="384" t="s">
        <v>132</v>
      </c>
      <c r="H356" s="167" t="s">
        <v>12</v>
      </c>
      <c r="I356" s="195"/>
      <c r="J356" s="195"/>
      <c r="K356" s="231"/>
      <c r="L356" s="176"/>
      <c r="M356" s="176"/>
      <c r="N356" s="385">
        <f ca="1">IFERROR(__xludf.DUMMYFUNCTION("IMPORTRANGE(""https://docs.google.com/spreadsheets/d/1IYY_tgx_IHuhSq3AJ5eI5OnqOPBNLWSHKh2a30DoXe8/edit?usp=sharing"",""กระบี่!M251"")"),0)</f>
        <v>0</v>
      </c>
      <c r="O356" s="176"/>
      <c r="P356" s="176"/>
    </row>
    <row r="357" spans="1:16" ht="21.75" customHeight="1" x14ac:dyDescent="0.35">
      <c r="A357" s="381"/>
      <c r="B357" s="382"/>
      <c r="C357" s="163"/>
      <c r="D357" s="383"/>
      <c r="E357" s="165"/>
      <c r="F357" s="165"/>
      <c r="G357" s="384" t="s">
        <v>133</v>
      </c>
      <c r="H357" s="167" t="s">
        <v>12</v>
      </c>
      <c r="I357" s="195"/>
      <c r="J357" s="195"/>
      <c r="K357" s="231"/>
      <c r="L357" s="176"/>
      <c r="M357" s="176"/>
      <c r="N357" s="385">
        <f ca="1">IFERROR(__xludf.DUMMYFUNCTION("IMPORTRANGE(""https://docs.google.com/spreadsheets/d/1IYY_tgx_IHuhSq3AJ5eI5OnqOPBNLWSHKh2a30DoXe8/edit?usp=sharing"",""กระบี่!M252"")"),0)</f>
        <v>0</v>
      </c>
      <c r="O357" s="176"/>
      <c r="P357" s="176"/>
    </row>
    <row r="358" spans="1:16" ht="21.75" customHeight="1" x14ac:dyDescent="0.35">
      <c r="A358" s="381"/>
      <c r="B358" s="382"/>
      <c r="C358" s="163"/>
      <c r="D358" s="383"/>
      <c r="E358" s="165"/>
      <c r="F358" s="165"/>
      <c r="G358" s="384" t="s">
        <v>134</v>
      </c>
      <c r="H358" s="167" t="s">
        <v>12</v>
      </c>
      <c r="I358" s="195"/>
      <c r="J358" s="195"/>
      <c r="K358" s="231"/>
      <c r="L358" s="176"/>
      <c r="M358" s="176"/>
      <c r="N358" s="385">
        <f ca="1">IFERROR(__xludf.DUMMYFUNCTION("IMPORTRANGE(""https://docs.google.com/spreadsheets/d/1IYY_tgx_IHuhSq3AJ5eI5OnqOPBNLWSHKh2a30DoXe8/edit?usp=sharing"",""กระบี่!M253"")"),0)</f>
        <v>0</v>
      </c>
      <c r="O358" s="176"/>
      <c r="P358" s="176"/>
    </row>
    <row r="359" spans="1:16" ht="21.75" customHeight="1" x14ac:dyDescent="0.35">
      <c r="A359" s="183"/>
      <c r="B359" s="184"/>
      <c r="C359" s="163" t="s">
        <v>16</v>
      </c>
      <c r="D359" s="185" t="s">
        <v>44</v>
      </c>
      <c r="E359" s="186"/>
      <c r="F359" s="186"/>
      <c r="G359" s="187"/>
      <c r="H359" s="188"/>
      <c r="I359" s="168"/>
      <c r="J359" s="168"/>
      <c r="K359" s="169"/>
      <c r="L359" s="189"/>
      <c r="M359" s="189"/>
      <c r="N359" s="189"/>
      <c r="O359" s="189"/>
      <c r="P359" s="189"/>
    </row>
    <row r="360" spans="1:16" ht="21.75" customHeight="1" x14ac:dyDescent="0.35">
      <c r="A360" s="183"/>
      <c r="B360" s="184"/>
      <c r="C360" s="184"/>
      <c r="D360" s="190">
        <v>1</v>
      </c>
      <c r="E360" s="191" t="s">
        <v>45</v>
      </c>
      <c r="F360" s="192"/>
      <c r="G360" s="193"/>
      <c r="H360" s="194"/>
      <c r="I360" s="195"/>
      <c r="J360" s="205">
        <f ca="1">IFERROR(__xludf.DUMMYFUNCTION("IMPORTRANGE(""https://docs.google.com/spreadsheets/d/1IYY_tgx_IHuhSq3AJ5eI5OnqOPBNLWSHKh2a30DoXe8/edit?usp=sharing"",""กระบี่!J255"")"),0)</f>
        <v>0</v>
      </c>
      <c r="K360" s="169"/>
      <c r="L360" s="189"/>
      <c r="M360" s="189"/>
      <c r="N360" s="189"/>
      <c r="O360" s="189"/>
      <c r="P360" s="189"/>
    </row>
    <row r="361" spans="1:16" ht="21.75" customHeight="1" x14ac:dyDescent="0.35">
      <c r="A361" s="183"/>
      <c r="B361" s="184"/>
      <c r="C361" s="184"/>
      <c r="D361" s="197">
        <v>2</v>
      </c>
      <c r="E361" s="198" t="s">
        <v>46</v>
      </c>
      <c r="F361" s="199"/>
      <c r="G361" s="200"/>
      <c r="H361" s="194"/>
      <c r="I361" s="195"/>
      <c r="J361" s="196">
        <f ca="1">IFERROR(__xludf.DUMMYFUNCTION("IMPORTRANGE(""https://docs.google.com/spreadsheets/d/1IYY_tgx_IHuhSq3AJ5eI5OnqOPBNLWSHKh2a30DoXe8/edit?usp=sharing"",""กระบี่!J256"")"),0)</f>
        <v>0</v>
      </c>
      <c r="K361" s="169"/>
      <c r="L361" s="189" t="s">
        <v>40</v>
      </c>
      <c r="M361" s="189"/>
      <c r="N361" s="189" t="s">
        <v>40</v>
      </c>
      <c r="O361" s="189"/>
      <c r="P361" s="189"/>
    </row>
    <row r="362" spans="1:16" ht="21.75" customHeight="1" x14ac:dyDescent="0.35">
      <c r="A362" s="183"/>
      <c r="B362" s="184"/>
      <c r="C362" s="184"/>
      <c r="D362" s="201"/>
      <c r="E362" s="202" t="s">
        <v>47</v>
      </c>
      <c r="F362" s="203"/>
      <c r="G362" s="204"/>
      <c r="H362" s="194"/>
      <c r="I362" s="195"/>
      <c r="J362" s="196">
        <f ca="1">IFERROR(__xludf.DUMMYFUNCTION("IMPORTRANGE(""https://docs.google.com/spreadsheets/d/1IYY_tgx_IHuhSq3AJ5eI5OnqOPBNLWSHKh2a30DoXe8/edit?usp=sharing"",""กระบี่!J257"")"),0)</f>
        <v>0</v>
      </c>
      <c r="K362" s="169"/>
      <c r="L362" s="189"/>
      <c r="M362" s="189"/>
      <c r="N362" s="189"/>
      <c r="O362" s="189"/>
      <c r="P362" s="189"/>
    </row>
    <row r="363" spans="1:16" ht="21.75" customHeight="1" x14ac:dyDescent="0.35">
      <c r="A363" s="183"/>
      <c r="B363" s="184"/>
      <c r="C363" s="184"/>
      <c r="D363" s="201"/>
      <c r="E363" s="202" t="s">
        <v>48</v>
      </c>
      <c r="F363" s="203"/>
      <c r="G363" s="204"/>
      <c r="H363" s="194"/>
      <c r="I363" s="195"/>
      <c r="J363" s="205">
        <f ca="1">IFERROR(__xludf.DUMMYFUNCTION("IMPORTRANGE(""https://docs.google.com/spreadsheets/d/1IYY_tgx_IHuhSq3AJ5eI5OnqOPBNLWSHKh2a30DoXe8/edit?usp=sharing"",""กระบี่!J258"")"),0)</f>
        <v>0</v>
      </c>
      <c r="K363" s="169"/>
      <c r="L363" s="189"/>
      <c r="M363" s="189"/>
      <c r="N363" s="189"/>
      <c r="O363" s="189"/>
      <c r="P363" s="189"/>
    </row>
    <row r="364" spans="1:16" ht="21.75" hidden="1" customHeight="1" x14ac:dyDescent="0.35">
      <c r="A364" s="183"/>
      <c r="B364" s="184"/>
      <c r="C364" s="184"/>
      <c r="D364" s="201"/>
      <c r="E364" s="206"/>
      <c r="F364" s="202" t="s">
        <v>70</v>
      </c>
      <c r="G364" s="204"/>
      <c r="H364" s="188"/>
      <c r="I364" s="195"/>
      <c r="J364" s="195">
        <f ca="1">IFERROR(__xludf.DUMMYFUNCTION("IMPORTRANGE(""https://docs.google.com/spreadsheets/d/1IYY_tgx_IHuhSq3AJ5eI5OnqOPBNLWSHKh2a30DoXe8/edit?usp=sharing"",""กระบี่!J166"")"),0)</f>
        <v>0</v>
      </c>
      <c r="K364" s="169"/>
      <c r="L364" s="189"/>
      <c r="M364" s="189"/>
      <c r="N364" s="189"/>
      <c r="O364" s="189"/>
      <c r="P364" s="189"/>
    </row>
    <row r="365" spans="1:16" ht="21.75" hidden="1" customHeight="1" x14ac:dyDescent="0.35">
      <c r="A365" s="183"/>
      <c r="B365" s="184"/>
      <c r="C365" s="184"/>
      <c r="D365" s="201"/>
      <c r="E365" s="206"/>
      <c r="F365" s="203"/>
      <c r="G365" s="233" t="s">
        <v>135</v>
      </c>
      <c r="H365" s="188" t="s">
        <v>37</v>
      </c>
      <c r="I365" s="195">
        <f ca="1">IFERROR(__xludf.DUMMYFUNCTION("IMPORTRANGE(""https://docs.google.com/spreadsheets/d/1C3CXT74ZlgGe6_JY_1olB1XN4rF0dxEuIIF-xsYjHgg/edit?usp=sharing"",""งบกองทุน!f63"")"),0)</f>
        <v>0</v>
      </c>
      <c r="J365" s="195">
        <f ca="1">IFERROR(__xludf.DUMMYFUNCTION("IMPORTRANGE(""https://docs.google.com/spreadsheets/d/1IYY_tgx_IHuhSq3AJ5eI5OnqOPBNLWSHKh2a30DoXe8/edit?usp=sharing"",""กระบี่!J166"")"),0)</f>
        <v>0</v>
      </c>
      <c r="K365" s="169">
        <f ca="1">IF(I365&gt;0,J365*100/I365,0)</f>
        <v>0</v>
      </c>
      <c r="L365" s="189"/>
      <c r="M365" s="189"/>
      <c r="N365" s="189"/>
      <c r="O365" s="189"/>
      <c r="P365" s="189"/>
    </row>
    <row r="366" spans="1:16" ht="21.75" hidden="1" customHeight="1" x14ac:dyDescent="0.35">
      <c r="A366" s="183"/>
      <c r="B366" s="184"/>
      <c r="C366" s="184"/>
      <c r="D366" s="201"/>
      <c r="E366" s="206"/>
      <c r="F366" s="203"/>
      <c r="G366" s="204" t="s">
        <v>136</v>
      </c>
      <c r="H366" s="188"/>
      <c r="I366" s="168"/>
      <c r="J366" s="195">
        <f ca="1">IFERROR(__xludf.DUMMYFUNCTION("IMPORTRANGE(""https://docs.google.com/spreadsheets/d/1IYY_tgx_IHuhSq3AJ5eI5OnqOPBNLWSHKh2a30DoXe8/edit?usp=sharing"",""กระบี่!J166"")"),0)</f>
        <v>0</v>
      </c>
      <c r="K366" s="169"/>
      <c r="L366" s="189"/>
      <c r="M366" s="189"/>
      <c r="N366" s="189"/>
      <c r="O366" s="189"/>
      <c r="P366" s="189"/>
    </row>
    <row r="367" spans="1:16" ht="21.75" hidden="1" customHeight="1" x14ac:dyDescent="0.35">
      <c r="A367" s="183"/>
      <c r="B367" s="184"/>
      <c r="C367" s="184"/>
      <c r="D367" s="201"/>
      <c r="E367" s="206"/>
      <c r="F367" s="203"/>
      <c r="G367" s="233" t="s">
        <v>137</v>
      </c>
      <c r="H367" s="194" t="s">
        <v>122</v>
      </c>
      <c r="I367" s="195">
        <f ca="1">SUM(I369,I371)</f>
        <v>0</v>
      </c>
      <c r="J367" s="195">
        <f ca="1">IFERROR(__xludf.DUMMYFUNCTION("IMPORTRANGE(""https://docs.google.com/spreadsheets/d/1IYY_tgx_IHuhSq3AJ5eI5OnqOPBNLWSHKh2a30DoXe8/edit?usp=sharing"",""กระบี่!J166"")"),0)</f>
        <v>0</v>
      </c>
      <c r="K367" s="169">
        <f t="shared" ref="K367:K373" ca="1" si="106">IF(I367&gt;0,J367*100/I367,0)</f>
        <v>0</v>
      </c>
      <c r="L367" s="189"/>
      <c r="M367" s="189"/>
      <c r="N367" s="189"/>
      <c r="O367" s="189"/>
      <c r="P367" s="189"/>
    </row>
    <row r="368" spans="1:16" ht="21.75" customHeight="1" x14ac:dyDescent="0.35">
      <c r="A368" s="183"/>
      <c r="B368" s="184"/>
      <c r="C368" s="184"/>
      <c r="D368" s="201"/>
      <c r="E368" s="206"/>
      <c r="F368" s="386" t="s">
        <v>138</v>
      </c>
      <c r="G368" s="387"/>
      <c r="H368" s="194" t="s">
        <v>37</v>
      </c>
      <c r="I368" s="168">
        <f ca="1">IFERROR(__xludf.DUMMYFUNCTION("IMPORTRANGE(""https://docs.google.com/spreadsheets/d/1IYY_tgx_IHuhSq3AJ5eI5OnqOPBNLWSHKh2a30DoXe8/edit?usp=sharing"",""กระบี่!I263"")"),0)</f>
        <v>0</v>
      </c>
      <c r="J368" s="195">
        <f ca="1">IFERROR(__xludf.DUMMYFUNCTION("IMPORTRANGE(""https://docs.google.com/spreadsheets/d/1IYY_tgx_IHuhSq3AJ5eI5OnqOPBNLWSHKh2a30DoXe8/edit?usp=sharing"",""กระบี่!J263"")"),0)</f>
        <v>0</v>
      </c>
      <c r="K368" s="169">
        <f t="shared" ca="1" si="106"/>
        <v>0</v>
      </c>
      <c r="L368" s="189"/>
      <c r="M368" s="189"/>
      <c r="N368" s="189"/>
      <c r="O368" s="189"/>
      <c r="P368" s="189"/>
    </row>
    <row r="369" spans="1:16" ht="21.75" hidden="1" customHeight="1" x14ac:dyDescent="0.35">
      <c r="A369" s="183"/>
      <c r="B369" s="184"/>
      <c r="C369" s="184"/>
      <c r="D369" s="201"/>
      <c r="E369" s="206"/>
      <c r="F369" s="203"/>
      <c r="G369" s="387"/>
      <c r="H369" s="188" t="s">
        <v>122</v>
      </c>
      <c r="I369" s="168">
        <f ca="1">IFERROR(__xludf.DUMMYFUNCTION("IMPORTRANGE(""https://docs.google.com/spreadsheets/d/1IYY_tgx_IHuhSq3AJ5eI5OnqOPBNLWSHKh2a30DoXe8/edit?usp=sharing"",""กระบี่!I164"")"),0)</f>
        <v>0</v>
      </c>
      <c r="J369" s="211">
        <f ca="1">IFERROR(__xludf.DUMMYFUNCTION("IMPORTRANGE(""https://docs.google.com/spreadsheets/d/1IYY_tgx_IHuhSq3AJ5eI5OnqOPBNLWSHKh2a30DoXe8/edit?usp=sharing"",""กระบี่!J164"")"),0)</f>
        <v>0</v>
      </c>
      <c r="K369" s="169">
        <f t="shared" ca="1" si="106"/>
        <v>0</v>
      </c>
      <c r="L369" s="189"/>
      <c r="M369" s="189"/>
      <c r="N369" s="189"/>
      <c r="O369" s="189"/>
      <c r="P369" s="189"/>
    </row>
    <row r="370" spans="1:16" ht="21.75" customHeight="1" x14ac:dyDescent="0.35">
      <c r="A370" s="183"/>
      <c r="B370" s="184"/>
      <c r="C370" s="184"/>
      <c r="D370" s="201"/>
      <c r="E370" s="206"/>
      <c r="F370" s="203"/>
      <c r="G370" s="386" t="s">
        <v>139</v>
      </c>
      <c r="H370" s="188" t="s">
        <v>37</v>
      </c>
      <c r="I370" s="168">
        <f ca="1">IFERROR(__xludf.DUMMYFUNCTION("IMPORTRANGE(""https://docs.google.com/spreadsheets/d/1IYY_tgx_IHuhSq3AJ5eI5OnqOPBNLWSHKh2a30DoXe8/edit?usp=sharing"",""กระบี่!I265"")"),0)</f>
        <v>0</v>
      </c>
      <c r="J370" s="211">
        <f ca="1">IFERROR(__xludf.DUMMYFUNCTION("IMPORTRANGE(""https://docs.google.com/spreadsheets/d/1IYY_tgx_IHuhSq3AJ5eI5OnqOPBNLWSHKh2a30DoXe8/edit?usp=sharing"",""กระบี่!J265"")"),0)</f>
        <v>0</v>
      </c>
      <c r="K370" s="169">
        <f t="shared" ca="1" si="106"/>
        <v>0</v>
      </c>
      <c r="L370" s="189"/>
      <c r="M370" s="189"/>
      <c r="N370" s="189"/>
      <c r="O370" s="189"/>
      <c r="P370" s="189"/>
    </row>
    <row r="371" spans="1:16" ht="21.75" hidden="1" customHeight="1" x14ac:dyDescent="0.35">
      <c r="A371" s="183"/>
      <c r="B371" s="184"/>
      <c r="C371" s="184"/>
      <c r="D371" s="201"/>
      <c r="E371" s="206"/>
      <c r="F371" s="203"/>
      <c r="G371" s="387"/>
      <c r="H371" s="188" t="s">
        <v>122</v>
      </c>
      <c r="I371" s="168">
        <f ca="1">IFERROR(__xludf.DUMMYFUNCTION("IMPORTRANGE(""https://docs.google.com/spreadsheets/d/1IYY_tgx_IHuhSq3AJ5eI5OnqOPBNLWSHKh2a30DoXe8/edit?usp=sharing"",""กระบี่!I164"")"),0)</f>
        <v>0</v>
      </c>
      <c r="J371" s="196">
        <f ca="1">IFERROR(__xludf.DUMMYFUNCTION("IMPORTRANGE(""https://docs.google.com/spreadsheets/d/1IYY_tgx_IHuhSq3AJ5eI5OnqOPBNLWSHKh2a30DoXe8/edit?usp=sharing"",""กระบี่!J164"")"),0)</f>
        <v>0</v>
      </c>
      <c r="K371" s="169">
        <f t="shared" ca="1" si="106"/>
        <v>0</v>
      </c>
      <c r="L371" s="189"/>
      <c r="M371" s="189"/>
      <c r="N371" s="189"/>
      <c r="O371" s="189"/>
      <c r="P371" s="189"/>
    </row>
    <row r="372" spans="1:16" ht="21.75" customHeight="1" x14ac:dyDescent="0.35">
      <c r="A372" s="183"/>
      <c r="B372" s="184"/>
      <c r="C372" s="184"/>
      <c r="D372" s="201"/>
      <c r="E372" s="206"/>
      <c r="F372" s="203"/>
      <c r="G372" s="386" t="s">
        <v>140</v>
      </c>
      <c r="H372" s="188" t="s">
        <v>37</v>
      </c>
      <c r="I372" s="168">
        <f ca="1">IFERROR(__xludf.DUMMYFUNCTION("IMPORTRANGE(""https://docs.google.com/spreadsheets/d/1IYY_tgx_IHuhSq3AJ5eI5OnqOPBNLWSHKh2a30DoXe8/edit?usp=sharing"",""กระบี่!I267"")"),0)</f>
        <v>0</v>
      </c>
      <c r="J372" s="196">
        <f ca="1">IFERROR(__xludf.DUMMYFUNCTION("IMPORTRANGE(""https://docs.google.com/spreadsheets/d/1IYY_tgx_IHuhSq3AJ5eI5OnqOPBNLWSHKh2a30DoXe8/edit?usp=sharing"",""กระบี่!J267"")"),0)</f>
        <v>0</v>
      </c>
      <c r="K372" s="169">
        <f t="shared" ca="1" si="106"/>
        <v>0</v>
      </c>
      <c r="L372" s="189"/>
      <c r="M372" s="189"/>
      <c r="N372" s="189"/>
      <c r="O372" s="189"/>
      <c r="P372" s="189"/>
    </row>
    <row r="373" spans="1:16" ht="21.75" hidden="1" customHeight="1" x14ac:dyDescent="0.35">
      <c r="A373" s="183"/>
      <c r="B373" s="184"/>
      <c r="C373" s="184"/>
      <c r="D373" s="201"/>
      <c r="E373" s="206"/>
      <c r="F373" s="203"/>
      <c r="G373" s="233" t="s">
        <v>141</v>
      </c>
      <c r="H373" s="188" t="s">
        <v>37</v>
      </c>
      <c r="I373" s="195">
        <f ca="1">IFERROR(__xludf.DUMMYFUNCTION("IMPORTRANGE(""https://docs.google.com/spreadsheets/d/1IYY_tgx_IHuhSq3AJ5eI5OnqOPBNLWSHKh2a30DoXe8/edit?usp=sharing"",""กระบี่!I164"")"),0)</f>
        <v>0</v>
      </c>
      <c r="J373" s="211">
        <f ca="1">IFERROR(__xludf.DUMMYFUNCTION("IMPORTRANGE(""https://docs.google.com/spreadsheets/d/1IYY_tgx_IHuhSq3AJ5eI5OnqOPBNLWSHKh2a30DoXe8/edit?usp=sharing"",""กระบี่!J164"")"),0)</f>
        <v>0</v>
      </c>
      <c r="K373" s="169">
        <f t="shared" ca="1" si="106"/>
        <v>0</v>
      </c>
      <c r="L373" s="189"/>
      <c r="M373" s="189"/>
      <c r="N373" s="189"/>
      <c r="O373" s="189"/>
      <c r="P373" s="189"/>
    </row>
    <row r="374" spans="1:16" ht="21.75" hidden="1" customHeight="1" x14ac:dyDescent="0.35">
      <c r="A374" s="183"/>
      <c r="B374" s="184"/>
      <c r="C374" s="184"/>
      <c r="D374" s="201"/>
      <c r="E374" s="206"/>
      <c r="F374" s="203"/>
      <c r="G374" s="204" t="s">
        <v>142</v>
      </c>
      <c r="H374" s="188"/>
      <c r="I374" s="195">
        <f ca="1">IFERROR(__xludf.DUMMYFUNCTION("IMPORTRANGE(""https://docs.google.com/spreadsheets/d/1IYY_tgx_IHuhSq3AJ5eI5OnqOPBNLWSHKh2a30DoXe8/edit?usp=sharing"",""กระบี่!I164"")"),0)</f>
        <v>0</v>
      </c>
      <c r="J374" s="195">
        <f ca="1">IFERROR(__xludf.DUMMYFUNCTION("IMPORTRANGE(""https://docs.google.com/spreadsheets/d/1IYY_tgx_IHuhSq3AJ5eI5OnqOPBNLWSHKh2a30DoXe8/edit?usp=sharing"",""กระบี่!J164"")"),0)</f>
        <v>0</v>
      </c>
      <c r="K374" s="169"/>
      <c r="L374" s="189"/>
      <c r="M374" s="189"/>
      <c r="N374" s="189"/>
      <c r="O374" s="189"/>
      <c r="P374" s="189"/>
    </row>
    <row r="375" spans="1:16" ht="21.75" customHeight="1" x14ac:dyDescent="0.35">
      <c r="A375" s="183"/>
      <c r="B375" s="184"/>
      <c r="C375" s="184"/>
      <c r="D375" s="201"/>
      <c r="E375" s="203"/>
      <c r="F375" s="212" t="s">
        <v>53</v>
      </c>
      <c r="G375" s="204"/>
      <c r="H375" s="286" t="s">
        <v>122</v>
      </c>
      <c r="I375" s="195">
        <f ca="1">IFERROR(__xludf.DUMMYFUNCTION("IMPORTRANGE(""https://docs.google.com/spreadsheets/d/1IYY_tgx_IHuhSq3AJ5eI5OnqOPBNLWSHKh2a30DoXe8/edit?usp=sharing"",""กระบี่!I270"")"),0)</f>
        <v>0</v>
      </c>
      <c r="J375" s="195">
        <f ca="1">IFERROR(__xludf.DUMMYFUNCTION("IMPORTRANGE(""https://docs.google.com/spreadsheets/d/1IYY_tgx_IHuhSq3AJ5eI5OnqOPBNLWSHKh2a30DoXe8/edit?usp=sharing"",""กระบี่!J270"")"),0)</f>
        <v>0</v>
      </c>
      <c r="K375" s="169">
        <f t="shared" ref="K375:K377" ca="1" si="107">IF(I375&gt;0,J375*100/I375,0)</f>
        <v>0</v>
      </c>
      <c r="L375" s="189"/>
      <c r="M375" s="189"/>
      <c r="N375" s="189"/>
      <c r="O375" s="189"/>
      <c r="P375" s="189"/>
    </row>
    <row r="376" spans="1:16" ht="21.75" customHeight="1" x14ac:dyDescent="0.35">
      <c r="A376" s="183"/>
      <c r="B376" s="184"/>
      <c r="C376" s="184"/>
      <c r="D376" s="201"/>
      <c r="E376" s="203"/>
      <c r="F376" s="203"/>
      <c r="G376" s="287" t="s">
        <v>143</v>
      </c>
      <c r="H376" s="286" t="s">
        <v>122</v>
      </c>
      <c r="I376" s="195">
        <f ca="1">IFERROR(__xludf.DUMMYFUNCTION("IMPORTRANGE(""https://docs.google.com/spreadsheets/d/1IYY_tgx_IHuhSq3AJ5eI5OnqOPBNLWSHKh2a30DoXe8/edit?usp=sharing"",""กระบี่!I271"")"),0)</f>
        <v>0</v>
      </c>
      <c r="J376" s="196">
        <f ca="1">IFERROR(__xludf.DUMMYFUNCTION("IMPORTRANGE(""https://docs.google.com/spreadsheets/d/1IYY_tgx_IHuhSq3AJ5eI5OnqOPBNLWSHKh2a30DoXe8/edit?usp=sharing"",""กระบี่!J271"")"),0)</f>
        <v>0</v>
      </c>
      <c r="K376" s="169">
        <f t="shared" ca="1" si="107"/>
        <v>0</v>
      </c>
      <c r="L376" s="189"/>
      <c r="M376" s="189"/>
      <c r="N376" s="189"/>
      <c r="O376" s="189"/>
      <c r="P376" s="189"/>
    </row>
    <row r="377" spans="1:16" ht="21.75" customHeight="1" x14ac:dyDescent="0.35">
      <c r="A377" s="183"/>
      <c r="B377" s="184"/>
      <c r="C377" s="184"/>
      <c r="D377" s="201"/>
      <c r="E377" s="203"/>
      <c r="F377" s="203"/>
      <c r="G377" s="287" t="s">
        <v>144</v>
      </c>
      <c r="H377" s="286" t="s">
        <v>122</v>
      </c>
      <c r="I377" s="195">
        <f ca="1">IFERROR(__xludf.DUMMYFUNCTION("IMPORTRANGE(""https://docs.google.com/spreadsheets/d/1IYY_tgx_IHuhSq3AJ5eI5OnqOPBNLWSHKh2a30DoXe8/edit?usp=sharing"",""กระบี่!I272"")"),0)</f>
        <v>0</v>
      </c>
      <c r="J377" s="211">
        <f ca="1">IFERROR(__xludf.DUMMYFUNCTION("IMPORTRANGE(""https://docs.google.com/spreadsheets/d/1IYY_tgx_IHuhSq3AJ5eI5OnqOPBNLWSHKh2a30DoXe8/edit?usp=sharing"",""กระบี่!J272"")"),0)</f>
        <v>0</v>
      </c>
      <c r="K377" s="169">
        <f t="shared" ca="1" si="107"/>
        <v>0</v>
      </c>
      <c r="L377" s="189"/>
      <c r="M377" s="189"/>
      <c r="N377" s="189"/>
      <c r="O377" s="189"/>
      <c r="P377" s="189"/>
    </row>
    <row r="378" spans="1:16" ht="21.75" customHeight="1" x14ac:dyDescent="0.35">
      <c r="A378" s="183"/>
      <c r="B378" s="184"/>
      <c r="C378" s="184"/>
      <c r="D378" s="201"/>
      <c r="E378" s="202" t="s">
        <v>54</v>
      </c>
      <c r="F378" s="203"/>
      <c r="G378" s="204"/>
      <c r="H378" s="194"/>
      <c r="I378" s="195"/>
      <c r="J378" s="205">
        <f ca="1">IFERROR(__xludf.DUMMYFUNCTION("IMPORTRANGE(""https://docs.google.com/spreadsheets/d/1IYY_tgx_IHuhSq3AJ5eI5OnqOPBNLWSHKh2a30DoXe8/edit?usp=sharing"",""กระบี่!J273"")"),0)</f>
        <v>0</v>
      </c>
      <c r="K378" s="169"/>
      <c r="L378" s="189"/>
      <c r="M378" s="189"/>
      <c r="N378" s="189"/>
      <c r="O378" s="189"/>
      <c r="P378" s="189"/>
    </row>
    <row r="379" spans="1:16" ht="21.75" customHeight="1" x14ac:dyDescent="0.35">
      <c r="A379" s="183"/>
      <c r="B379" s="184"/>
      <c r="C379" s="184"/>
      <c r="D379" s="213">
        <v>3</v>
      </c>
      <c r="E379" s="214" t="s">
        <v>55</v>
      </c>
      <c r="F379" s="215"/>
      <c r="G379" s="216"/>
      <c r="H379" s="194"/>
      <c r="I379" s="195"/>
      <c r="J379" s="217">
        <f ca="1">IFERROR(__xludf.DUMMYFUNCTION("IMPORTRANGE(""https://docs.google.com/spreadsheets/d/1IYY_tgx_IHuhSq3AJ5eI5OnqOPBNLWSHKh2a30DoXe8/edit?usp=sharing"",""กระบี่!J274"")"),0)</f>
        <v>0</v>
      </c>
      <c r="K379" s="169"/>
      <c r="L379" s="189"/>
      <c r="M379" s="189"/>
      <c r="N379" s="189"/>
      <c r="O379" s="189"/>
      <c r="P379" s="189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IFERROR(__xludf.DUMMYFUNCTION("IMPORTRANGE(""https://docs.google.com/spreadsheets/d/1IYY_tgx_IHuhSq3AJ5eI5OnqOPBNLWSHKh2a30DoXe8/edit?usp=sharing"",""กระบี่!I275"")"),300)</f>
        <v>300</v>
      </c>
      <c r="J380" s="377">
        <f ca="1">IFERROR(__xludf.DUMMYFUNCTION("IMPORTRANGE(""https://docs.google.com/spreadsheets/d/1IYY_tgx_IHuhSq3AJ5eI5OnqOPBNLWSHKh2a30DoXe8/edit?usp=sharing"",""กระบี่!J275"")"),0)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IFERROR(__xludf.DUMMYFUNCTION("IMPORTRANGE(""https://docs.google.com/spreadsheets/d/1IYY_tgx_IHuhSq3AJ5eI5OnqOPBNLWSHKh2a30DoXe8/edit?usp=sharing"",""กระบี่!L275"")"),293900)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IFERROR(__xludf.DUMMYFUNCTION("IMPORTRANGE(""https://docs.google.com/spreadsheets/d/1IYY_tgx_IHuhSq3AJ5eI5OnqOPBNLWSHKh2a30DoXe8/edit?usp=sharing"",""กระบี่!M275"")"),82580)</f>
        <v>82580</v>
      </c>
      <c r="O380" s="379">
        <f ca="1">+IF(L380&gt;0,N380*100/L380,0)</f>
        <v>28.097992514460699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IFERROR(__xludf.DUMMYFUNCTION("IMPORTRANGE(""https://docs.google.com/spreadsheets/d/1IYY_tgx_IHuhSq3AJ5eI5OnqOPBNLWSHKh2a30DoXe8/edit?usp=sharing"",""กระบี่!I276"")"),30)</f>
        <v>30</v>
      </c>
      <c r="J381" s="377">
        <f ca="1">IFERROR(__xludf.DUMMYFUNCTION("IMPORTRANGE(""https://docs.google.com/spreadsheets/d/1IYY_tgx_IHuhSq3AJ5eI5OnqOPBNLWSHKh2a30DoXe8/edit?usp=sharing"",""กระบี่!J276"")"),30)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164" t="s">
        <v>38</v>
      </c>
      <c r="E382" s="165"/>
      <c r="F382" s="165"/>
      <c r="G382" s="166" t="s">
        <v>39</v>
      </c>
      <c r="H382" s="167" t="s">
        <v>12</v>
      </c>
      <c r="I382" s="168" t="s">
        <v>40</v>
      </c>
      <c r="J382" s="168"/>
      <c r="K382" s="169"/>
      <c r="L382" s="170">
        <f ca="1">IFERROR(__xludf.DUMMYFUNCTION("IMPORTRANGE(""https://docs.google.com/spreadsheets/d/1IYY_tgx_IHuhSq3AJ5eI5OnqOPBNLWSHKh2a30DoXe8/edit?usp=sharing"",""กระบี่!L277"")"),0)</f>
        <v>0</v>
      </c>
      <c r="M382" s="170"/>
      <c r="N382" s="170">
        <f ca="1">IFERROR(__xludf.DUMMYFUNCTION("IMPORTRANGE(""https://docs.google.com/spreadsheets/d/1IYY_tgx_IHuhSq3AJ5eI5OnqOPBNLWSHKh2a30DoXe8/edit?usp=sharing"",""กระบี่!M277"")"),0)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 x14ac:dyDescent="0.35">
      <c r="A383" s="162"/>
      <c r="B383" s="163"/>
      <c r="C383" s="163"/>
      <c r="D383" s="172"/>
      <c r="E383" s="165"/>
      <c r="F383" s="165" t="s">
        <v>40</v>
      </c>
      <c r="G383" s="166" t="s">
        <v>41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IFERROR(__xludf.DUMMYFUNCTION("IMPORTRANGE(""https://docs.google.com/spreadsheets/d/1IYY_tgx_IHuhSq3AJ5eI5OnqOPBNLWSHKh2a30DoXe8/edit?usp=sharing"",""กระบี่!L278"")"),293900)</f>
        <v>293900</v>
      </c>
      <c r="M383" s="171"/>
      <c r="N383" s="171">
        <f ca="1">IFERROR(__xludf.DUMMYFUNCTION("IMPORTRANGE(""https://docs.google.com/spreadsheets/d/1IYY_tgx_IHuhSq3AJ5eI5OnqOPBNLWSHKh2a30DoXe8/edit?usp=sharing"",""กระบี่!M278"")"),82580)</f>
        <v>82580</v>
      </c>
      <c r="O383" s="171">
        <f t="shared" ca="1" si="109"/>
        <v>28.097992514460699</v>
      </c>
      <c r="P383" s="171"/>
    </row>
    <row r="384" spans="1:16" ht="21.75" customHeight="1" x14ac:dyDescent="0.35">
      <c r="A384" s="162"/>
      <c r="B384" s="163"/>
      <c r="C384" s="163"/>
      <c r="D384" s="172"/>
      <c r="E384" s="165"/>
      <c r="F384" s="165"/>
      <c r="G384" s="380" t="s">
        <v>129</v>
      </c>
      <c r="H384" s="167" t="s">
        <v>12</v>
      </c>
      <c r="I384" s="168"/>
      <c r="J384" s="168"/>
      <c r="K384" s="169"/>
      <c r="L384" s="176">
        <f ca="1">IFERROR(__xludf.DUMMYFUNCTION("IMPORTRANGE(""https://docs.google.com/spreadsheets/d/1IYY_tgx_IHuhSq3AJ5eI5OnqOPBNLWSHKh2a30DoXe8/edit?usp=sharing"",""กระบี่!L279"")"),0)</f>
        <v>0</v>
      </c>
      <c r="M384" s="176"/>
      <c r="N384" s="176">
        <f ca="1">IFERROR(__xludf.DUMMYFUNCTION("IMPORTRANGE(""https://docs.google.com/spreadsheets/d/1IYY_tgx_IHuhSq3AJ5eI5OnqOPBNLWSHKh2a30DoXe8/edit?usp=sharing"",""กระบี่!M279"")"),0)</f>
        <v>0</v>
      </c>
      <c r="O384" s="176">
        <f t="shared" ca="1" si="109"/>
        <v>0</v>
      </c>
      <c r="P384" s="176"/>
    </row>
    <row r="385" spans="1:16" ht="21.75" customHeight="1" x14ac:dyDescent="0.35">
      <c r="A385" s="162"/>
      <c r="B385" s="163"/>
      <c r="C385" s="163"/>
      <c r="D385" s="172"/>
      <c r="E385" s="165"/>
      <c r="F385" s="165"/>
      <c r="G385" s="380" t="s">
        <v>130</v>
      </c>
      <c r="H385" s="167" t="s">
        <v>12</v>
      </c>
      <c r="I385" s="168"/>
      <c r="J385" s="168"/>
      <c r="K385" s="169"/>
      <c r="L385" s="176">
        <f ca="1">IFERROR(__xludf.DUMMYFUNCTION("IMPORTRANGE(""https://docs.google.com/spreadsheets/d/1IYY_tgx_IHuhSq3AJ5eI5OnqOPBNLWSHKh2a30DoXe8/edit?usp=sharing"",""กระบี่!L280"")"),293900)</f>
        <v>293900</v>
      </c>
      <c r="M385" s="176"/>
      <c r="N385" s="173">
        <f ca="1">IFERROR(__xludf.DUMMYFUNCTION("IMPORTRANGE(""https://docs.google.com/spreadsheets/d/1IYY_tgx_IHuhSq3AJ5eI5OnqOPBNLWSHKh2a30DoXe8/edit?usp=sharing"",""กระบี่!M280"")"),82580)</f>
        <v>82580</v>
      </c>
      <c r="O385" s="176">
        <f t="shared" ca="1" si="109"/>
        <v>28.097992514460699</v>
      </c>
      <c r="P385" s="176"/>
    </row>
    <row r="386" spans="1:16" ht="21.75" customHeight="1" x14ac:dyDescent="0.35">
      <c r="A386" s="381"/>
      <c r="B386" s="382"/>
      <c r="C386" s="163"/>
      <c r="D386" s="383"/>
      <c r="E386" s="165"/>
      <c r="F386" s="165"/>
      <c r="G386" s="384" t="s">
        <v>131</v>
      </c>
      <c r="H386" s="167" t="s">
        <v>12</v>
      </c>
      <c r="I386" s="195"/>
      <c r="J386" s="195"/>
      <c r="K386" s="231"/>
      <c r="L386" s="176"/>
      <c r="M386" s="176"/>
      <c r="N386" s="385">
        <f ca="1">IFERROR(__xludf.DUMMYFUNCTION("IMPORTRANGE(""https://docs.google.com/spreadsheets/d/1IYY_tgx_IHuhSq3AJ5eI5OnqOPBNLWSHKh2a30DoXe8/edit?usp=sharing"",""กระบี่!M281"")"),76200)</f>
        <v>76200</v>
      </c>
      <c r="O386" s="176"/>
      <c r="P386" s="176"/>
    </row>
    <row r="387" spans="1:16" ht="21.75" customHeight="1" x14ac:dyDescent="0.35">
      <c r="A387" s="381"/>
      <c r="B387" s="382"/>
      <c r="C387" s="163"/>
      <c r="D387" s="383"/>
      <c r="E387" s="165"/>
      <c r="F387" s="165"/>
      <c r="G387" s="384" t="s">
        <v>132</v>
      </c>
      <c r="H387" s="167" t="s">
        <v>12</v>
      </c>
      <c r="I387" s="195"/>
      <c r="J387" s="195"/>
      <c r="K387" s="231"/>
      <c r="L387" s="176"/>
      <c r="M387" s="176"/>
      <c r="N387" s="385">
        <f ca="1">IFERROR(__xludf.DUMMYFUNCTION("IMPORTRANGE(""https://docs.google.com/spreadsheets/d/1IYY_tgx_IHuhSq3AJ5eI5OnqOPBNLWSHKh2a30DoXe8/edit?usp=sharing"",""กระบี่!M282"")"),0)</f>
        <v>0</v>
      </c>
      <c r="O387" s="176"/>
      <c r="P387" s="176"/>
    </row>
    <row r="388" spans="1:16" ht="21.75" customHeight="1" x14ac:dyDescent="0.35">
      <c r="A388" s="381"/>
      <c r="B388" s="382"/>
      <c r="C388" s="163"/>
      <c r="D388" s="383"/>
      <c r="E388" s="165"/>
      <c r="F388" s="165"/>
      <c r="G388" s="384" t="s">
        <v>133</v>
      </c>
      <c r="H388" s="167" t="s">
        <v>12</v>
      </c>
      <c r="I388" s="195"/>
      <c r="J388" s="195"/>
      <c r="K388" s="231"/>
      <c r="L388" s="176"/>
      <c r="M388" s="176"/>
      <c r="N388" s="385">
        <f ca="1">IFERROR(__xludf.DUMMYFUNCTION("IMPORTRANGE(""https://docs.google.com/spreadsheets/d/1IYY_tgx_IHuhSq3AJ5eI5OnqOPBNLWSHKh2a30DoXe8/edit?usp=sharing"",""กระบี่!M283"")"),0)</f>
        <v>0</v>
      </c>
      <c r="O388" s="176"/>
      <c r="P388" s="176"/>
    </row>
    <row r="389" spans="1:16" ht="21.75" customHeight="1" x14ac:dyDescent="0.35">
      <c r="A389" s="381"/>
      <c r="B389" s="382"/>
      <c r="C389" s="163"/>
      <c r="D389" s="383"/>
      <c r="E389" s="165"/>
      <c r="F389" s="165"/>
      <c r="G389" s="384" t="s">
        <v>134</v>
      </c>
      <c r="H389" s="167" t="s">
        <v>12</v>
      </c>
      <c r="I389" s="195"/>
      <c r="J389" s="195"/>
      <c r="K389" s="231"/>
      <c r="L389" s="176"/>
      <c r="M389" s="176"/>
      <c r="N389" s="385">
        <f ca="1">IFERROR(__xludf.DUMMYFUNCTION("IMPORTRANGE(""https://docs.google.com/spreadsheets/d/1IYY_tgx_IHuhSq3AJ5eI5OnqOPBNLWSHKh2a30DoXe8/edit?usp=sharing"",""กระบี่!M284"")"),6380)</f>
        <v>6380</v>
      </c>
      <c r="O389" s="176"/>
      <c r="P389" s="176"/>
    </row>
    <row r="390" spans="1:16" ht="21.75" customHeight="1" x14ac:dyDescent="0.35">
      <c r="A390" s="183"/>
      <c r="B390" s="184"/>
      <c r="C390" s="163" t="s">
        <v>16</v>
      </c>
      <c r="D390" s="185" t="s">
        <v>44</v>
      </c>
      <c r="E390" s="186"/>
      <c r="F390" s="186"/>
      <c r="G390" s="187"/>
      <c r="H390" s="188"/>
      <c r="I390" s="168"/>
      <c r="J390" s="168"/>
      <c r="K390" s="169"/>
      <c r="L390" s="189"/>
      <c r="M390" s="189"/>
      <c r="N390" s="189"/>
      <c r="O390" s="189"/>
      <c r="P390" s="189"/>
    </row>
    <row r="391" spans="1:16" ht="21.75" customHeight="1" x14ac:dyDescent="0.35">
      <c r="A391" s="183"/>
      <c r="B391" s="184"/>
      <c r="C391" s="184"/>
      <c r="D391" s="190">
        <v>1</v>
      </c>
      <c r="E391" s="191" t="s">
        <v>45</v>
      </c>
      <c r="F391" s="192"/>
      <c r="G391" s="193"/>
      <c r="H391" s="194"/>
      <c r="I391" s="195"/>
      <c r="J391" s="205">
        <f ca="1">IFERROR(__xludf.DUMMYFUNCTION("IMPORTRANGE(""https://docs.google.com/spreadsheets/d/1IYY_tgx_IHuhSq3AJ5eI5OnqOPBNLWSHKh2a30DoXe8/edit?usp=sharing"",""กระบี่!J286"")"),0)</f>
        <v>0</v>
      </c>
      <c r="K391" s="169"/>
      <c r="L391" s="189"/>
      <c r="M391" s="189"/>
      <c r="N391" s="189"/>
      <c r="O391" s="189"/>
      <c r="P391" s="189"/>
    </row>
    <row r="392" spans="1:16" ht="21.75" customHeight="1" x14ac:dyDescent="0.35">
      <c r="A392" s="183"/>
      <c r="B392" s="184"/>
      <c r="C392" s="184"/>
      <c r="D392" s="197">
        <v>2</v>
      </c>
      <c r="E392" s="198" t="s">
        <v>46</v>
      </c>
      <c r="F392" s="199"/>
      <c r="G392" s="200"/>
      <c r="H392" s="194"/>
      <c r="I392" s="195"/>
      <c r="J392" s="196">
        <f ca="1">IFERROR(__xludf.DUMMYFUNCTION("IMPORTRANGE(""https://docs.google.com/spreadsheets/d/1IYY_tgx_IHuhSq3AJ5eI5OnqOPBNLWSHKh2a30DoXe8/edit?usp=sharing"",""กระบี่!J287"")"),1)</f>
        <v>1</v>
      </c>
      <c r="K392" s="169"/>
      <c r="L392" s="189" t="s">
        <v>40</v>
      </c>
      <c r="M392" s="189"/>
      <c r="N392" s="189" t="s">
        <v>40</v>
      </c>
      <c r="O392" s="189"/>
      <c r="P392" s="189"/>
    </row>
    <row r="393" spans="1:16" ht="21.75" customHeight="1" x14ac:dyDescent="0.35">
      <c r="A393" s="183"/>
      <c r="B393" s="184"/>
      <c r="C393" s="184"/>
      <c r="D393" s="201"/>
      <c r="E393" s="202" t="s">
        <v>47</v>
      </c>
      <c r="F393" s="203"/>
      <c r="G393" s="204"/>
      <c r="H393" s="194"/>
      <c r="I393" s="195"/>
      <c r="J393" s="196">
        <f ca="1">IFERROR(__xludf.DUMMYFUNCTION("IMPORTRANGE(""https://docs.google.com/spreadsheets/d/1IYY_tgx_IHuhSq3AJ5eI5OnqOPBNLWSHKh2a30DoXe8/edit?usp=sharing"",""กระบี่!J288"")"),1)</f>
        <v>1</v>
      </c>
      <c r="K393" s="169"/>
      <c r="L393" s="189"/>
      <c r="M393" s="189"/>
      <c r="N393" s="189"/>
      <c r="O393" s="189"/>
      <c r="P393" s="189"/>
    </row>
    <row r="394" spans="1:16" ht="21.75" customHeight="1" x14ac:dyDescent="0.35">
      <c r="A394" s="183"/>
      <c r="B394" s="184"/>
      <c r="C394" s="184"/>
      <c r="D394" s="201"/>
      <c r="E394" s="202" t="s">
        <v>48</v>
      </c>
      <c r="F394" s="203"/>
      <c r="G394" s="204"/>
      <c r="H394" s="194"/>
      <c r="I394" s="195"/>
      <c r="J394" s="205">
        <f ca="1">IFERROR(__xludf.DUMMYFUNCTION("IMPORTRANGE(""https://docs.google.com/spreadsheets/d/1IYY_tgx_IHuhSq3AJ5eI5OnqOPBNLWSHKh2a30DoXe8/edit?usp=sharing"",""กระบี่!J289"")"),1)</f>
        <v>1</v>
      </c>
      <c r="K394" s="169"/>
      <c r="L394" s="189"/>
      <c r="M394" s="189"/>
      <c r="N394" s="189"/>
      <c r="O394" s="189"/>
      <c r="P394" s="189"/>
    </row>
    <row r="395" spans="1:16" ht="21.75" customHeight="1" x14ac:dyDescent="0.35">
      <c r="A395" s="183"/>
      <c r="B395" s="184"/>
      <c r="C395" s="184"/>
      <c r="D395" s="201"/>
      <c r="E395" s="206"/>
      <c r="F395" s="202" t="s">
        <v>146</v>
      </c>
      <c r="G395" s="203"/>
      <c r="H395" s="194"/>
      <c r="I395" s="195"/>
      <c r="J395" s="195"/>
      <c r="K395" s="169"/>
      <c r="L395" s="189"/>
      <c r="M395" s="189"/>
      <c r="N395" s="189"/>
      <c r="O395" s="189"/>
      <c r="P395" s="189"/>
    </row>
    <row r="396" spans="1:16" ht="21.75" customHeight="1" x14ac:dyDescent="0.35">
      <c r="A396" s="183"/>
      <c r="B396" s="184"/>
      <c r="C396" s="184"/>
      <c r="D396" s="201"/>
      <c r="E396" s="206"/>
      <c r="F396" s="203"/>
      <c r="G396" s="299" t="s">
        <v>70</v>
      </c>
      <c r="H396" s="194" t="s">
        <v>37</v>
      </c>
      <c r="I396" s="195">
        <f ca="1">IFERROR(__xludf.DUMMYFUNCTION("IMPORTRANGE(""https://docs.google.com/spreadsheets/d/1IYY_tgx_IHuhSq3AJ5eI5OnqOPBNLWSHKh2a30DoXe8/edit?usp=sharing"",""กระบี่!I291"")"),30)</f>
        <v>30</v>
      </c>
      <c r="J396" s="205">
        <f ca="1">IFERROR(__xludf.DUMMYFUNCTION("IMPORTRANGE(""https://docs.google.com/spreadsheets/d/1IYY_tgx_IHuhSq3AJ5eI5OnqOPBNLWSHKh2a30DoXe8/edit?usp=sharing"",""กระบี่!J291"")"),30)</f>
        <v>30</v>
      </c>
      <c r="K396" s="169">
        <f t="shared" ref="K396:K398" ca="1" si="110">IF(I396&gt;0,J396*100/I396,0)</f>
        <v>100</v>
      </c>
      <c r="L396" s="189"/>
      <c r="M396" s="189"/>
      <c r="N396" s="189"/>
      <c r="O396" s="189"/>
      <c r="P396" s="189"/>
    </row>
    <row r="397" spans="1:16" ht="21.75" customHeight="1" x14ac:dyDescent="0.35">
      <c r="A397" s="183"/>
      <c r="B397" s="184"/>
      <c r="C397" s="184"/>
      <c r="D397" s="201"/>
      <c r="E397" s="206"/>
      <c r="F397" s="203"/>
      <c r="G397" s="204" t="s">
        <v>53</v>
      </c>
      <c r="H397" s="194" t="s">
        <v>122</v>
      </c>
      <c r="I397" s="195">
        <f ca="1">IFERROR(__xludf.DUMMYFUNCTION("IMPORTRANGE(""https://docs.google.com/spreadsheets/d/1IYY_tgx_IHuhSq3AJ5eI5OnqOPBNLWSHKh2a30DoXe8/edit?usp=sharing"",""กระบี่!I292"")"),300)</f>
        <v>300</v>
      </c>
      <c r="J397" s="205">
        <f ca="1">IFERROR(__xludf.DUMMYFUNCTION("IMPORTRANGE(""https://docs.google.com/spreadsheets/d/1IYY_tgx_IHuhSq3AJ5eI5OnqOPBNLWSHKh2a30DoXe8/edit?usp=sharing"",""กระบี่!J292"")"),0)</f>
        <v>0</v>
      </c>
      <c r="K397" s="169">
        <f t="shared" ca="1" si="110"/>
        <v>0</v>
      </c>
      <c r="L397" s="189"/>
      <c r="M397" s="189"/>
      <c r="N397" s="189"/>
      <c r="O397" s="189"/>
      <c r="P397" s="189"/>
    </row>
    <row r="398" spans="1:16" ht="21.75" customHeight="1" x14ac:dyDescent="0.35">
      <c r="A398" s="183"/>
      <c r="B398" s="184"/>
      <c r="C398" s="184"/>
      <c r="D398" s="201"/>
      <c r="E398" s="206"/>
      <c r="F398" s="203"/>
      <c r="G398" s="204"/>
      <c r="H398" s="194" t="s">
        <v>37</v>
      </c>
      <c r="I398" s="195">
        <f ca="1">IFERROR(__xludf.DUMMYFUNCTION("IMPORTRANGE(""https://docs.google.com/spreadsheets/d/1IYY_tgx_IHuhSq3AJ5eI5OnqOPBNLWSHKh2a30DoXe8/edit?usp=sharing"",""กระบี่!I293"")"),30)</f>
        <v>30</v>
      </c>
      <c r="J398" s="205">
        <f ca="1">IFERROR(__xludf.DUMMYFUNCTION("IMPORTRANGE(""https://docs.google.com/spreadsheets/d/1IYY_tgx_IHuhSq3AJ5eI5OnqOPBNLWSHKh2a30DoXe8/edit?usp=sharing"",""กระบี่!J293"")"),0)</f>
        <v>0</v>
      </c>
      <c r="K398" s="169">
        <f t="shared" ca="1" si="110"/>
        <v>0</v>
      </c>
      <c r="L398" s="189"/>
      <c r="M398" s="189"/>
      <c r="N398" s="189"/>
      <c r="O398" s="189"/>
      <c r="P398" s="189"/>
    </row>
    <row r="399" spans="1:16" ht="21.75" customHeight="1" x14ac:dyDescent="0.35">
      <c r="A399" s="183"/>
      <c r="B399" s="184"/>
      <c r="C399" s="184"/>
      <c r="D399" s="201"/>
      <c r="E399" s="202" t="s">
        <v>54</v>
      </c>
      <c r="F399" s="203"/>
      <c r="G399" s="204"/>
      <c r="H399" s="194"/>
      <c r="I399" s="195"/>
      <c r="J399" s="205">
        <f ca="1">IFERROR(__xludf.DUMMYFUNCTION("IMPORTRANGE(""https://docs.google.com/spreadsheets/d/1IYY_tgx_IHuhSq3AJ5eI5OnqOPBNLWSHKh2a30DoXe8/edit?usp=sharing"",""กระบี่!J294"")"),0)</f>
        <v>0</v>
      </c>
      <c r="K399" s="169"/>
      <c r="L399" s="189"/>
      <c r="M399" s="189"/>
      <c r="N399" s="189"/>
      <c r="O399" s="189"/>
      <c r="P399" s="189"/>
    </row>
    <row r="400" spans="1:16" ht="21.75" customHeight="1" x14ac:dyDescent="0.35">
      <c r="A400" s="183"/>
      <c r="B400" s="184"/>
      <c r="C400" s="184"/>
      <c r="D400" s="213">
        <v>3</v>
      </c>
      <c r="E400" s="214" t="s">
        <v>55</v>
      </c>
      <c r="F400" s="215"/>
      <c r="G400" s="216"/>
      <c r="H400" s="194"/>
      <c r="I400" s="195"/>
      <c r="J400" s="217">
        <f ca="1">IFERROR(__xludf.DUMMYFUNCTION("IMPORTRANGE(""https://docs.google.com/spreadsheets/d/1IYY_tgx_IHuhSq3AJ5eI5OnqOPBNLWSHKh2a30DoXe8/edit?usp=sharing"",""กระบี่!J295"")"),0)</f>
        <v>0</v>
      </c>
      <c r="K400" s="169"/>
      <c r="L400" s="189"/>
      <c r="M400" s="189"/>
      <c r="N400" s="189"/>
      <c r="O400" s="189"/>
      <c r="P400" s="189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IFERROR(__xludf.DUMMYFUNCTION("IMPORTRANGE(""https://docs.google.com/spreadsheets/d/1IYY_tgx_IHuhSq3AJ5eI5OnqOPBNLWSHKh2a30DoXe8/edit?usp=sharing"",""กระบี่!I296"")"),105)</f>
        <v>105</v>
      </c>
      <c r="J401" s="377">
        <f ca="1">IFERROR(__xludf.DUMMYFUNCTION("IMPORTRANGE(""https://docs.google.com/spreadsheets/d/1IYY_tgx_IHuhSq3AJ5eI5OnqOPBNLWSHKh2a30DoXe8/edit?usp=sharing"",""กระบี่!J296"")"),0)</f>
        <v>0</v>
      </c>
      <c r="K401" s="378">
        <f t="shared" ref="K401:K402" ca="1" si="111">IF(I401&gt;0,J401*100/I401,0)</f>
        <v>0</v>
      </c>
      <c r="L401" s="379">
        <f ca="1">IFERROR(__xludf.DUMMYFUNCTION("IMPORTRANGE(""https://docs.google.com/spreadsheets/d/1IYY_tgx_IHuhSq3AJ5eI5OnqOPBNLWSHKh2a30DoXe8/edit?usp=sharing"",""กระบี่!L296"")"),131710)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IFERROR(__xludf.DUMMYFUNCTION("IMPORTRANGE(""https://docs.google.com/spreadsheets/d/1IYY_tgx_IHuhSq3AJ5eI5OnqOPBNLWSHKh2a30DoXe8/edit?usp=sharing"",""กระบี่!M296"")"),64534)</f>
        <v>64534</v>
      </c>
      <c r="O401" s="379">
        <f ca="1">+IF(L401&gt;0,N401*100/L401,0)</f>
        <v>48.997038949206591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IFERROR(__xludf.DUMMYFUNCTION("IMPORTRANGE(""https://docs.google.com/spreadsheets/d/1IYY_tgx_IHuhSq3AJ5eI5OnqOPBNLWSHKh2a30DoXe8/edit?usp=sharing"",""กระบี่!I297"")"),35)</f>
        <v>35</v>
      </c>
      <c r="J402" s="377">
        <f ca="1">IFERROR(__xludf.DUMMYFUNCTION("IMPORTRANGE(""https://docs.google.com/spreadsheets/d/1IYY_tgx_IHuhSq3AJ5eI5OnqOPBNLWSHKh2a30DoXe8/edit?usp=sharing"",""กระบี่!J297"")"),35)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164" t="s">
        <v>38</v>
      </c>
      <c r="E403" s="165"/>
      <c r="F403" s="165"/>
      <c r="G403" s="166" t="s">
        <v>39</v>
      </c>
      <c r="H403" s="167" t="s">
        <v>12</v>
      </c>
      <c r="I403" s="168" t="s">
        <v>40</v>
      </c>
      <c r="J403" s="168"/>
      <c r="K403" s="169"/>
      <c r="L403" s="170">
        <f ca="1">IFERROR(__xludf.DUMMYFUNCTION("IMPORTRANGE(""https://docs.google.com/spreadsheets/d/1IYY_tgx_IHuhSq3AJ5eI5OnqOPBNLWSHKh2a30DoXe8/edit?usp=sharing"",""กระบี่!L298"")"),0)</f>
        <v>0</v>
      </c>
      <c r="M403" s="170"/>
      <c r="N403" s="176">
        <f ca="1">IFERROR(__xludf.DUMMYFUNCTION("IMPORTRANGE(""https://docs.google.com/spreadsheets/d/1IYY_tgx_IHuhSq3AJ5eI5OnqOPBNLWSHKh2a30DoXe8/edit?usp=sharing"",""กระบี่!M298"")"),0)</f>
        <v>0</v>
      </c>
      <c r="O403" s="176">
        <f t="shared" ref="O403:O406" ca="1" si="112">+IF(L403&gt;0,N403*100/L403,0)</f>
        <v>0</v>
      </c>
      <c r="P403" s="176"/>
    </row>
    <row r="404" spans="1:16" ht="21.75" customHeight="1" x14ac:dyDescent="0.35">
      <c r="A404" s="162"/>
      <c r="B404" s="163"/>
      <c r="C404" s="163"/>
      <c r="D404" s="172"/>
      <c r="E404" s="165"/>
      <c r="F404" s="165" t="s">
        <v>40</v>
      </c>
      <c r="G404" s="166" t="s">
        <v>41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IFERROR(__xludf.DUMMYFUNCTION("IMPORTRANGE(""https://docs.google.com/spreadsheets/d/1IYY_tgx_IHuhSq3AJ5eI5OnqOPBNLWSHKh2a30DoXe8/edit?usp=sharing"",""กระบี่!L299"")"),131710)</f>
        <v>131710</v>
      </c>
      <c r="M404" s="171"/>
      <c r="N404" s="176">
        <f ca="1">IFERROR(__xludf.DUMMYFUNCTION("IMPORTRANGE(""https://docs.google.com/spreadsheets/d/1IYY_tgx_IHuhSq3AJ5eI5OnqOPBNLWSHKh2a30DoXe8/edit?usp=sharing"",""กระบี่!M299"")"),64534)</f>
        <v>64534</v>
      </c>
      <c r="O404" s="176">
        <f t="shared" ca="1" si="112"/>
        <v>48.997038949206591</v>
      </c>
      <c r="P404" s="176"/>
    </row>
    <row r="405" spans="1:16" ht="21.75" customHeight="1" x14ac:dyDescent="0.35">
      <c r="A405" s="162"/>
      <c r="B405" s="163"/>
      <c r="C405" s="163"/>
      <c r="D405" s="172"/>
      <c r="E405" s="165"/>
      <c r="F405" s="165"/>
      <c r="G405" s="380" t="s">
        <v>129</v>
      </c>
      <c r="H405" s="167" t="s">
        <v>12</v>
      </c>
      <c r="I405" s="168"/>
      <c r="J405" s="168"/>
      <c r="K405" s="169"/>
      <c r="L405" s="176">
        <f ca="1">IFERROR(__xludf.DUMMYFUNCTION("IMPORTRANGE(""https://docs.google.com/spreadsheets/d/1IYY_tgx_IHuhSq3AJ5eI5OnqOPBNLWSHKh2a30DoXe8/edit?usp=sharing"",""กระบี่!L300"")"),0)</f>
        <v>0</v>
      </c>
      <c r="M405" s="176"/>
      <c r="N405" s="176">
        <f ca="1">IFERROR(__xludf.DUMMYFUNCTION("IMPORTRANGE(""https://docs.google.com/spreadsheets/d/1IYY_tgx_IHuhSq3AJ5eI5OnqOPBNLWSHKh2a30DoXe8/edit?usp=sharing"",""กระบี่!M300"")"),0)</f>
        <v>0</v>
      </c>
      <c r="O405" s="176">
        <f t="shared" ca="1" si="112"/>
        <v>0</v>
      </c>
      <c r="P405" s="176"/>
    </row>
    <row r="406" spans="1:16" ht="21.75" customHeight="1" x14ac:dyDescent="0.35">
      <c r="A406" s="162"/>
      <c r="B406" s="163"/>
      <c r="C406" s="163"/>
      <c r="D406" s="172"/>
      <c r="E406" s="165"/>
      <c r="F406" s="165"/>
      <c r="G406" s="380" t="s">
        <v>130</v>
      </c>
      <c r="H406" s="167" t="s">
        <v>12</v>
      </c>
      <c r="I406" s="168"/>
      <c r="J406" s="168"/>
      <c r="K406" s="169"/>
      <c r="L406" s="176">
        <f ca="1">IFERROR(__xludf.DUMMYFUNCTION("IMPORTRANGE(""https://docs.google.com/spreadsheets/d/1IYY_tgx_IHuhSq3AJ5eI5OnqOPBNLWSHKh2a30DoXe8/edit?usp=sharing"",""กระบี่!L301"")"),131710)</f>
        <v>131710</v>
      </c>
      <c r="M406" s="176"/>
      <c r="N406" s="176">
        <f ca="1">IFERROR(__xludf.DUMMYFUNCTION("IMPORTRANGE(""https://docs.google.com/spreadsheets/d/1IYY_tgx_IHuhSq3AJ5eI5OnqOPBNLWSHKh2a30DoXe8/edit?usp=sharing"",""กระบี่!M301"")"),64534)</f>
        <v>64534</v>
      </c>
      <c r="O406" s="176">
        <f t="shared" ca="1" si="112"/>
        <v>48.997038949206591</v>
      </c>
      <c r="P406" s="176"/>
    </row>
    <row r="407" spans="1:16" ht="21.75" customHeight="1" x14ac:dyDescent="0.35">
      <c r="A407" s="381"/>
      <c r="B407" s="382"/>
      <c r="C407" s="163"/>
      <c r="D407" s="383"/>
      <c r="E407" s="165"/>
      <c r="F407" s="165"/>
      <c r="G407" s="384" t="s">
        <v>131</v>
      </c>
      <c r="H407" s="167" t="s">
        <v>12</v>
      </c>
      <c r="I407" s="195"/>
      <c r="J407" s="195"/>
      <c r="K407" s="231"/>
      <c r="L407" s="176"/>
      <c r="M407" s="176"/>
      <c r="N407" s="385">
        <f ca="1">IFERROR(__xludf.DUMMYFUNCTION("IMPORTRANGE(""https://docs.google.com/spreadsheets/d/1IYY_tgx_IHuhSq3AJ5eI5OnqOPBNLWSHKh2a30DoXe8/edit?usp=sharing"",""กระบี่!M302"")"),43594)</f>
        <v>43594</v>
      </c>
      <c r="O407" s="176"/>
      <c r="P407" s="176"/>
    </row>
    <row r="408" spans="1:16" ht="21.75" customHeight="1" x14ac:dyDescent="0.35">
      <c r="A408" s="381"/>
      <c r="B408" s="382"/>
      <c r="C408" s="163"/>
      <c r="D408" s="383"/>
      <c r="E408" s="165"/>
      <c r="F408" s="165"/>
      <c r="G408" s="384" t="s">
        <v>132</v>
      </c>
      <c r="H408" s="167" t="s">
        <v>12</v>
      </c>
      <c r="I408" s="195"/>
      <c r="J408" s="195"/>
      <c r="K408" s="231"/>
      <c r="L408" s="176"/>
      <c r="M408" s="176"/>
      <c r="N408" s="385">
        <f ca="1">IFERROR(__xludf.DUMMYFUNCTION("IMPORTRANGE(""https://docs.google.com/spreadsheets/d/1IYY_tgx_IHuhSq3AJ5eI5OnqOPBNLWSHKh2a30DoXe8/edit?usp=sharing"",""กระบี่!M303"")"),0)</f>
        <v>0</v>
      </c>
      <c r="O408" s="176"/>
      <c r="P408" s="176"/>
    </row>
    <row r="409" spans="1:16" ht="21.75" customHeight="1" x14ac:dyDescent="0.35">
      <c r="A409" s="381"/>
      <c r="B409" s="382"/>
      <c r="C409" s="163"/>
      <c r="D409" s="383"/>
      <c r="E409" s="165"/>
      <c r="F409" s="165"/>
      <c r="G409" s="384" t="s">
        <v>133</v>
      </c>
      <c r="H409" s="167" t="s">
        <v>12</v>
      </c>
      <c r="I409" s="195"/>
      <c r="J409" s="195"/>
      <c r="K409" s="231"/>
      <c r="L409" s="176"/>
      <c r="M409" s="176"/>
      <c r="N409" s="385">
        <f ca="1">IFERROR(__xludf.DUMMYFUNCTION("IMPORTRANGE(""https://docs.google.com/spreadsheets/d/1IYY_tgx_IHuhSq3AJ5eI5OnqOPBNLWSHKh2a30DoXe8/edit?usp=sharing"",""กระบี่!M304"")"),0)</f>
        <v>0</v>
      </c>
      <c r="O409" s="176"/>
      <c r="P409" s="176"/>
    </row>
    <row r="410" spans="1:16" ht="21.75" customHeight="1" x14ac:dyDescent="0.35">
      <c r="A410" s="381"/>
      <c r="B410" s="382"/>
      <c r="C410" s="163"/>
      <c r="D410" s="383"/>
      <c r="E410" s="165"/>
      <c r="F410" s="165"/>
      <c r="G410" s="384" t="s">
        <v>134</v>
      </c>
      <c r="H410" s="167" t="s">
        <v>12</v>
      </c>
      <c r="I410" s="195"/>
      <c r="J410" s="195"/>
      <c r="K410" s="231"/>
      <c r="L410" s="176"/>
      <c r="M410" s="176"/>
      <c r="N410" s="385">
        <f ca="1">IFERROR(__xludf.DUMMYFUNCTION("IMPORTRANGE(""https://docs.google.com/spreadsheets/d/1IYY_tgx_IHuhSq3AJ5eI5OnqOPBNLWSHKh2a30DoXe8/edit?usp=sharing"",""กระบี่!M305"")"),20940)</f>
        <v>20940</v>
      </c>
      <c r="O410" s="176"/>
      <c r="P410" s="176"/>
    </row>
    <row r="411" spans="1:16" ht="21.75" customHeight="1" x14ac:dyDescent="0.35">
      <c r="A411" s="183"/>
      <c r="B411" s="184"/>
      <c r="C411" s="163" t="s">
        <v>16</v>
      </c>
      <c r="D411" s="185" t="s">
        <v>44</v>
      </c>
      <c r="E411" s="186"/>
      <c r="F411" s="186"/>
      <c r="G411" s="187"/>
      <c r="H411" s="188"/>
      <c r="I411" s="168"/>
      <c r="J411" s="168"/>
      <c r="K411" s="169"/>
      <c r="L411" s="189"/>
      <c r="M411" s="189"/>
      <c r="N411" s="189"/>
      <c r="O411" s="189"/>
      <c r="P411" s="189"/>
    </row>
    <row r="412" spans="1:16" ht="21.75" customHeight="1" x14ac:dyDescent="0.35">
      <c r="A412" s="183"/>
      <c r="B412" s="184"/>
      <c r="C412" s="184"/>
      <c r="D412" s="190">
        <v>1</v>
      </c>
      <c r="E412" s="191" t="s">
        <v>45</v>
      </c>
      <c r="F412" s="192"/>
      <c r="G412" s="193"/>
      <c r="H412" s="194"/>
      <c r="I412" s="195"/>
      <c r="J412" s="205">
        <f ca="1">IFERROR(__xludf.DUMMYFUNCTION("IMPORTRANGE(""https://docs.google.com/spreadsheets/d/1IYY_tgx_IHuhSq3AJ5eI5OnqOPBNLWSHKh2a30DoXe8/edit?usp=sharing"",""กระบี่!J307"")"),0)</f>
        <v>0</v>
      </c>
      <c r="K412" s="169"/>
      <c r="L412" s="189"/>
      <c r="M412" s="189"/>
      <c r="N412" s="189"/>
      <c r="O412" s="189"/>
      <c r="P412" s="189"/>
    </row>
    <row r="413" spans="1:16" ht="21.75" customHeight="1" x14ac:dyDescent="0.35">
      <c r="A413" s="183"/>
      <c r="B413" s="184"/>
      <c r="C413" s="184"/>
      <c r="D413" s="197">
        <v>2</v>
      </c>
      <c r="E413" s="198" t="s">
        <v>46</v>
      </c>
      <c r="F413" s="199"/>
      <c r="G413" s="200"/>
      <c r="H413" s="194"/>
      <c r="I413" s="195"/>
      <c r="J413" s="196">
        <f ca="1">IFERROR(__xludf.DUMMYFUNCTION("IMPORTRANGE(""https://docs.google.com/spreadsheets/d/1IYY_tgx_IHuhSq3AJ5eI5OnqOPBNLWSHKh2a30DoXe8/edit?usp=sharing"",""กระบี่!J308"")"),1)</f>
        <v>1</v>
      </c>
      <c r="K413" s="169"/>
      <c r="L413" s="189" t="s">
        <v>40</v>
      </c>
      <c r="M413" s="189"/>
      <c r="N413" s="189" t="s">
        <v>40</v>
      </c>
      <c r="O413" s="189"/>
      <c r="P413" s="189"/>
    </row>
    <row r="414" spans="1:16" ht="21.75" customHeight="1" x14ac:dyDescent="0.35">
      <c r="A414" s="183"/>
      <c r="B414" s="184"/>
      <c r="C414" s="184"/>
      <c r="D414" s="201"/>
      <c r="E414" s="202" t="s">
        <v>47</v>
      </c>
      <c r="F414" s="203"/>
      <c r="G414" s="204"/>
      <c r="H414" s="194"/>
      <c r="I414" s="195"/>
      <c r="J414" s="196">
        <f ca="1">IFERROR(__xludf.DUMMYFUNCTION("IMPORTRANGE(""https://docs.google.com/spreadsheets/d/1IYY_tgx_IHuhSq3AJ5eI5OnqOPBNLWSHKh2a30DoXe8/edit?usp=sharing"",""กระบี่!J309"")"),1)</f>
        <v>1</v>
      </c>
      <c r="K414" s="169"/>
      <c r="L414" s="189"/>
      <c r="M414" s="189"/>
      <c r="N414" s="189"/>
      <c r="O414" s="189"/>
      <c r="P414" s="189"/>
    </row>
    <row r="415" spans="1:16" ht="21.75" customHeight="1" x14ac:dyDescent="0.35">
      <c r="A415" s="183"/>
      <c r="B415" s="184"/>
      <c r="C415" s="184"/>
      <c r="D415" s="201"/>
      <c r="E415" s="202" t="s">
        <v>48</v>
      </c>
      <c r="F415" s="203"/>
      <c r="G415" s="204"/>
      <c r="H415" s="194"/>
      <c r="I415" s="195"/>
      <c r="J415" s="205">
        <f ca="1">IFERROR(__xludf.DUMMYFUNCTION("IMPORTRANGE(""https://docs.google.com/spreadsheets/d/1IYY_tgx_IHuhSq3AJ5eI5OnqOPBNLWSHKh2a30DoXe8/edit?usp=sharing"",""กระบี่!J310"")"),1)</f>
        <v>1</v>
      </c>
      <c r="K415" s="169"/>
      <c r="L415" s="189"/>
      <c r="M415" s="189"/>
      <c r="N415" s="189"/>
      <c r="O415" s="189"/>
      <c r="P415" s="189"/>
    </row>
    <row r="416" spans="1:16" ht="21.75" customHeight="1" x14ac:dyDescent="0.35">
      <c r="A416" s="183"/>
      <c r="B416" s="184"/>
      <c r="C416" s="184"/>
      <c r="D416" s="201"/>
      <c r="E416" s="206"/>
      <c r="F416" s="202" t="s">
        <v>70</v>
      </c>
      <c r="G416" s="394"/>
      <c r="H416" s="395" t="s">
        <v>37</v>
      </c>
      <c r="I416" s="208">
        <f ca="1">IFERROR(__xludf.DUMMYFUNCTION("IMPORTRANGE(""https://docs.google.com/spreadsheets/d/1IYY_tgx_IHuhSq3AJ5eI5OnqOPBNLWSHKh2a30DoXe8/edit?usp=sharing"",""กระบี่!I311"")"),35)</f>
        <v>35</v>
      </c>
      <c r="J416" s="208">
        <f ca="1">IFERROR(__xludf.DUMMYFUNCTION("IMPORTRANGE(""https://docs.google.com/spreadsheets/d/1IYY_tgx_IHuhSq3AJ5eI5OnqOPBNLWSHKh2a30DoXe8/edit?usp=sharing"",""กระบี่!J311"")"),35)</f>
        <v>35</v>
      </c>
      <c r="K416" s="209">
        <f t="shared" ref="K416:K432" ca="1" si="113">IF(I416&gt;0,J416*100/I416,0)</f>
        <v>100</v>
      </c>
      <c r="L416" s="189"/>
      <c r="M416" s="189"/>
      <c r="N416" s="189"/>
      <c r="O416" s="189"/>
      <c r="P416" s="189"/>
    </row>
    <row r="417" spans="1:16" ht="21.75" customHeight="1" x14ac:dyDescent="0.45">
      <c r="A417" s="183"/>
      <c r="B417" s="184"/>
      <c r="C417" s="184"/>
      <c r="D417" s="201"/>
      <c r="E417" s="206"/>
      <c r="F417" s="396" t="s">
        <v>148</v>
      </c>
      <c r="G417" s="204"/>
      <c r="H417" s="207" t="s">
        <v>37</v>
      </c>
      <c r="I417" s="397">
        <f ca="1">IFERROR(__xludf.DUMMYFUNCTION("IMPORTRANGE(""https://docs.google.com/spreadsheets/d/1IYY_tgx_IHuhSq3AJ5eI5OnqOPBNLWSHKh2a30DoXe8/edit?usp=sharing"",""กระบี่!I312"")"),10)</f>
        <v>10</v>
      </c>
      <c r="J417" s="398">
        <f ca="1">IFERROR(__xludf.DUMMYFUNCTION("IMPORTRANGE(""https://docs.google.com/spreadsheets/d/1IYY_tgx_IHuhSq3AJ5eI5OnqOPBNLWSHKh2a30DoXe8/edit?usp=sharing"",""กระบี่!J312"")"),10)</f>
        <v>10</v>
      </c>
      <c r="K417" s="209">
        <f t="shared" ca="1" si="113"/>
        <v>100</v>
      </c>
      <c r="L417" s="189"/>
      <c r="M417" s="189"/>
      <c r="N417" s="189"/>
      <c r="O417" s="189"/>
      <c r="P417" s="189"/>
    </row>
    <row r="418" spans="1:16" ht="21.75" customHeight="1" x14ac:dyDescent="0.45">
      <c r="A418" s="183"/>
      <c r="B418" s="184"/>
      <c r="C418" s="184"/>
      <c r="D418" s="201"/>
      <c r="E418" s="206"/>
      <c r="F418" s="203"/>
      <c r="G418" s="204"/>
      <c r="H418" s="207" t="s">
        <v>122</v>
      </c>
      <c r="I418" s="397">
        <f ca="1">IFERROR(__xludf.DUMMYFUNCTION("IMPORTRANGE(""https://docs.google.com/spreadsheets/d/1IYY_tgx_IHuhSq3AJ5eI5OnqOPBNLWSHKh2a30DoXe8/edit?usp=sharing"",""กระบี่!I313"")"),30)</f>
        <v>30</v>
      </c>
      <c r="J418" s="399">
        <f ca="1">IFERROR(__xludf.DUMMYFUNCTION("IMPORTRANGE(""https://docs.google.com/spreadsheets/d/1IYY_tgx_IHuhSq3AJ5eI5OnqOPBNLWSHKh2a30DoXe8/edit?usp=sharing"",""กระบี่!J313"")"),0)</f>
        <v>0</v>
      </c>
      <c r="K418" s="209">
        <f t="shared" ca="1" si="113"/>
        <v>0</v>
      </c>
      <c r="L418" s="189"/>
      <c r="M418" s="189"/>
      <c r="N418" s="189"/>
      <c r="O418" s="189"/>
      <c r="P418" s="189"/>
    </row>
    <row r="419" spans="1:16" ht="21.75" customHeight="1" x14ac:dyDescent="0.45">
      <c r="A419" s="183"/>
      <c r="B419" s="184"/>
      <c r="C419" s="184"/>
      <c r="D419" s="201"/>
      <c r="E419" s="206"/>
      <c r="F419" s="203"/>
      <c r="G419" s="233" t="s">
        <v>149</v>
      </c>
      <c r="H419" s="188" t="s">
        <v>37</v>
      </c>
      <c r="I419" s="347">
        <f ca="1">IFERROR(__xludf.DUMMYFUNCTION("IMPORTRANGE(""https://docs.google.com/spreadsheets/d/1IYY_tgx_IHuhSq3AJ5eI5OnqOPBNLWSHKh2a30DoXe8/edit?usp=sharing"",""กระบี่!I314"")"),10)</f>
        <v>10</v>
      </c>
      <c r="J419" s="400">
        <f ca="1">IFERROR(__xludf.DUMMYFUNCTION("IMPORTRANGE(""https://docs.google.com/spreadsheets/d/1IYY_tgx_IHuhSq3AJ5eI5OnqOPBNLWSHKh2a30DoXe8/edit?usp=sharing"",""กระบี่!J314"")"),10)</f>
        <v>10</v>
      </c>
      <c r="K419" s="169">
        <f t="shared" ca="1" si="113"/>
        <v>100</v>
      </c>
      <c r="L419" s="189"/>
      <c r="M419" s="189"/>
      <c r="N419" s="189"/>
      <c r="O419" s="189"/>
      <c r="P419" s="189"/>
    </row>
    <row r="420" spans="1:16" ht="21.75" customHeight="1" x14ac:dyDescent="0.45">
      <c r="A420" s="241"/>
      <c r="B420" s="242"/>
      <c r="C420" s="242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IFERROR(__xludf.DUMMYFUNCTION("IMPORTRANGE(""https://docs.google.com/spreadsheets/d/1IYY_tgx_IHuhSq3AJ5eI5OnqOPBNLWSHKh2a30DoXe8/edit?usp=sharing"",""กระบี่!I315"")"),10)</f>
        <v>10</v>
      </c>
      <c r="J420" s="400">
        <f ca="1">IFERROR(__xludf.DUMMYFUNCTION("IMPORTRANGE(""https://docs.google.com/spreadsheets/d/1IYY_tgx_IHuhSq3AJ5eI5OnqOPBNLWSHKh2a30DoXe8/edit?usp=sharing"",""กระบี่!J315"")"),10)</f>
        <v>10</v>
      </c>
      <c r="K420" s="294">
        <f t="shared" ca="1" si="113"/>
        <v>100</v>
      </c>
      <c r="L420" s="252"/>
      <c r="M420" s="252"/>
      <c r="N420" s="252"/>
      <c r="O420" s="252"/>
      <c r="P420" s="252"/>
    </row>
    <row r="421" spans="1:16" ht="21.75" customHeight="1" x14ac:dyDescent="0.45">
      <c r="A421" s="183"/>
      <c r="B421" s="184"/>
      <c r="C421" s="184"/>
      <c r="D421" s="201"/>
      <c r="E421" s="206"/>
      <c r="F421" s="396" t="s">
        <v>151</v>
      </c>
      <c r="G421" s="204"/>
      <c r="H421" s="207" t="s">
        <v>37</v>
      </c>
      <c r="I421" s="397">
        <f ca="1">IFERROR(__xludf.DUMMYFUNCTION("IMPORTRANGE(""https://docs.google.com/spreadsheets/d/1IYY_tgx_IHuhSq3AJ5eI5OnqOPBNLWSHKh2a30DoXe8/edit?usp=sharing"",""กระบี่!I316"")"),15)</f>
        <v>15</v>
      </c>
      <c r="J421" s="398">
        <f ca="1">IFERROR(__xludf.DUMMYFUNCTION("IMPORTRANGE(""https://docs.google.com/spreadsheets/d/1IYY_tgx_IHuhSq3AJ5eI5OnqOPBNLWSHKh2a30DoXe8/edit?usp=sharing"",""กระบี่!J316"")"),15)</f>
        <v>15</v>
      </c>
      <c r="K421" s="209">
        <f t="shared" ca="1" si="113"/>
        <v>100</v>
      </c>
      <c r="L421" s="189"/>
      <c r="M421" s="189"/>
      <c r="N421" s="189"/>
      <c r="O421" s="189"/>
      <c r="P421" s="189"/>
    </row>
    <row r="422" spans="1:16" ht="21.75" customHeight="1" x14ac:dyDescent="0.45">
      <c r="A422" s="183"/>
      <c r="B422" s="184"/>
      <c r="C422" s="184"/>
      <c r="D422" s="201"/>
      <c r="E422" s="206"/>
      <c r="F422" s="203"/>
      <c r="G422" s="204"/>
      <c r="H422" s="207" t="s">
        <v>122</v>
      </c>
      <c r="I422" s="397">
        <f ca="1">IFERROR(__xludf.DUMMYFUNCTION("IMPORTRANGE(""https://docs.google.com/spreadsheets/d/1IYY_tgx_IHuhSq3AJ5eI5OnqOPBNLWSHKh2a30DoXe8/edit?usp=sharing"",""กระบี่!I317"")"),45)</f>
        <v>45</v>
      </c>
      <c r="J422" s="399">
        <f ca="1">IFERROR(__xludf.DUMMYFUNCTION("IMPORTRANGE(""https://docs.google.com/spreadsheets/d/1IYY_tgx_IHuhSq3AJ5eI5OnqOPBNLWSHKh2a30DoXe8/edit?usp=sharing"",""กระบี่!J317"")"),0)</f>
        <v>0</v>
      </c>
      <c r="K422" s="209">
        <f t="shared" ca="1" si="113"/>
        <v>0</v>
      </c>
      <c r="L422" s="189"/>
      <c r="M422" s="189"/>
      <c r="N422" s="189"/>
      <c r="O422" s="189"/>
      <c r="P422" s="189"/>
    </row>
    <row r="423" spans="1:16" ht="21.75" customHeight="1" x14ac:dyDescent="0.45">
      <c r="A423" s="183"/>
      <c r="B423" s="184"/>
      <c r="C423" s="184"/>
      <c r="D423" s="201"/>
      <c r="E423" s="206"/>
      <c r="F423" s="203"/>
      <c r="G423" s="233" t="s">
        <v>152</v>
      </c>
      <c r="H423" s="188" t="s">
        <v>37</v>
      </c>
      <c r="I423" s="347">
        <f ca="1">IFERROR(__xludf.DUMMYFUNCTION("IMPORTRANGE(""https://docs.google.com/spreadsheets/d/1IYY_tgx_IHuhSq3AJ5eI5OnqOPBNLWSHKh2a30DoXe8/edit?usp=sharing"",""กระบี่!I318"")"),15)</f>
        <v>15</v>
      </c>
      <c r="J423" s="400">
        <f ca="1">IFERROR(__xludf.DUMMYFUNCTION("IMPORTRANGE(""https://docs.google.com/spreadsheets/d/1IYY_tgx_IHuhSq3AJ5eI5OnqOPBNLWSHKh2a30DoXe8/edit?usp=sharing"",""กระบี่!J318"")"),15)</f>
        <v>15</v>
      </c>
      <c r="K423" s="169">
        <f t="shared" ca="1" si="113"/>
        <v>100</v>
      </c>
      <c r="L423" s="189"/>
      <c r="M423" s="189"/>
      <c r="N423" s="189"/>
      <c r="O423" s="189"/>
      <c r="P423" s="189"/>
    </row>
    <row r="424" spans="1:16" ht="21.75" customHeight="1" x14ac:dyDescent="0.45">
      <c r="A424" s="183"/>
      <c r="B424" s="184"/>
      <c r="C424" s="184"/>
      <c r="D424" s="201"/>
      <c r="E424" s="206"/>
      <c r="F424" s="203"/>
      <c r="G424" s="233" t="s">
        <v>153</v>
      </c>
      <c r="H424" s="188" t="s">
        <v>37</v>
      </c>
      <c r="I424" s="347">
        <f ca="1">IFERROR(__xludf.DUMMYFUNCTION("IMPORTRANGE(""https://docs.google.com/spreadsheets/d/1IYY_tgx_IHuhSq3AJ5eI5OnqOPBNLWSHKh2a30DoXe8/edit?usp=sharing"",""กระบี่!I319"")"),15)</f>
        <v>15</v>
      </c>
      <c r="J424" s="400">
        <f ca="1">IFERROR(__xludf.DUMMYFUNCTION("IMPORTRANGE(""https://docs.google.com/spreadsheets/d/1IYY_tgx_IHuhSq3AJ5eI5OnqOPBNLWSHKh2a30DoXe8/edit?usp=sharing"",""กระบี่!J319"")"),15)</f>
        <v>15</v>
      </c>
      <c r="K424" s="169">
        <f t="shared" ca="1" si="113"/>
        <v>100</v>
      </c>
      <c r="L424" s="189"/>
      <c r="M424" s="189"/>
      <c r="N424" s="189"/>
      <c r="O424" s="189"/>
      <c r="P424" s="189"/>
    </row>
    <row r="425" spans="1:16" ht="21.75" customHeight="1" x14ac:dyDescent="0.45">
      <c r="A425" s="183"/>
      <c r="B425" s="184"/>
      <c r="C425" s="184"/>
      <c r="D425" s="201"/>
      <c r="E425" s="206"/>
      <c r="F425" s="203"/>
      <c r="G425" s="233" t="s">
        <v>154</v>
      </c>
      <c r="H425" s="188" t="s">
        <v>37</v>
      </c>
      <c r="I425" s="347">
        <f ca="1">IFERROR(__xludf.DUMMYFUNCTION("IMPORTRANGE(""https://docs.google.com/spreadsheets/d/1IYY_tgx_IHuhSq3AJ5eI5OnqOPBNLWSHKh2a30DoXe8/edit?usp=sharing"",""กระบี่!I320"")"),15)</f>
        <v>15</v>
      </c>
      <c r="J425" s="400">
        <f ca="1">IFERROR(__xludf.DUMMYFUNCTION("IMPORTRANGE(""https://docs.google.com/spreadsheets/d/1IYY_tgx_IHuhSq3AJ5eI5OnqOPBNLWSHKh2a30DoXe8/edit?usp=sharing"",""กระบี่!J320"")"),15)</f>
        <v>15</v>
      </c>
      <c r="K425" s="169">
        <f t="shared" ca="1" si="113"/>
        <v>100</v>
      </c>
      <c r="L425" s="189"/>
      <c r="M425" s="189"/>
      <c r="N425" s="189"/>
      <c r="O425" s="189"/>
      <c r="P425" s="189"/>
    </row>
    <row r="426" spans="1:16" ht="21.75" customHeight="1" x14ac:dyDescent="0.45">
      <c r="A426" s="183"/>
      <c r="B426" s="184"/>
      <c r="C426" s="184"/>
      <c r="D426" s="201"/>
      <c r="E426" s="206"/>
      <c r="F426" s="405" t="s">
        <v>155</v>
      </c>
      <c r="G426" s="204"/>
      <c r="H426" s="207" t="s">
        <v>37</v>
      </c>
      <c r="I426" s="397">
        <f ca="1">IFERROR(__xludf.DUMMYFUNCTION("IMPORTRANGE(""https://docs.google.com/spreadsheets/d/1IYY_tgx_IHuhSq3AJ5eI5OnqOPBNLWSHKh2a30DoXe8/edit?usp=sharing"",""กระบี่!I321"")"),10)</f>
        <v>10</v>
      </c>
      <c r="J426" s="398">
        <f ca="1">IFERROR(__xludf.DUMMYFUNCTION("IMPORTRANGE(""https://docs.google.com/spreadsheets/d/1IYY_tgx_IHuhSq3AJ5eI5OnqOPBNLWSHKh2a30DoXe8/edit?usp=sharing"",""กระบี่!J321"")"),10)</f>
        <v>10</v>
      </c>
      <c r="K426" s="209">
        <f t="shared" ca="1" si="113"/>
        <v>100</v>
      </c>
      <c r="L426" s="189"/>
      <c r="M426" s="189"/>
      <c r="N426" s="189"/>
      <c r="O426" s="189"/>
      <c r="P426" s="189"/>
    </row>
    <row r="427" spans="1:16" ht="21.75" customHeight="1" x14ac:dyDescent="0.45">
      <c r="A427" s="183"/>
      <c r="B427" s="184"/>
      <c r="C427" s="184"/>
      <c r="D427" s="201"/>
      <c r="E427" s="206"/>
      <c r="F427" s="203"/>
      <c r="G427" s="204"/>
      <c r="H427" s="207" t="s">
        <v>122</v>
      </c>
      <c r="I427" s="397">
        <f ca="1">IFERROR(__xludf.DUMMYFUNCTION("IMPORTRANGE(""https://docs.google.com/spreadsheets/d/1IYY_tgx_IHuhSq3AJ5eI5OnqOPBNLWSHKh2a30DoXe8/edit?usp=sharing"",""กระบี่!I322"")"),30)</f>
        <v>30</v>
      </c>
      <c r="J427" s="399">
        <f ca="1">IFERROR(__xludf.DUMMYFUNCTION("IMPORTRANGE(""https://docs.google.com/spreadsheets/d/1IYY_tgx_IHuhSq3AJ5eI5OnqOPBNLWSHKh2a30DoXe8/edit?usp=sharing"",""กระบี่!J322"")"),0)</f>
        <v>0</v>
      </c>
      <c r="K427" s="209">
        <f t="shared" ca="1" si="113"/>
        <v>0</v>
      </c>
      <c r="L427" s="189"/>
      <c r="M427" s="189"/>
      <c r="N427" s="189"/>
      <c r="O427" s="189"/>
      <c r="P427" s="189"/>
    </row>
    <row r="428" spans="1:16" ht="21.75" customHeight="1" x14ac:dyDescent="0.45">
      <c r="A428" s="183"/>
      <c r="B428" s="184"/>
      <c r="C428" s="184"/>
      <c r="D428" s="201"/>
      <c r="E428" s="206"/>
      <c r="F428" s="203"/>
      <c r="G428" s="233" t="s">
        <v>156</v>
      </c>
      <c r="H428" s="188" t="s">
        <v>37</v>
      </c>
      <c r="I428" s="406">
        <f ca="1">IFERROR(__xludf.DUMMYFUNCTION("IMPORTRANGE(""https://docs.google.com/spreadsheets/d/1IYY_tgx_IHuhSq3AJ5eI5OnqOPBNLWSHKh2a30DoXe8/edit?usp=sharing"",""กระบี่!I323"")"),10)</f>
        <v>10</v>
      </c>
      <c r="J428" s="400">
        <f ca="1">IFERROR(__xludf.DUMMYFUNCTION("IMPORTRANGE(""https://docs.google.com/spreadsheets/d/1IYY_tgx_IHuhSq3AJ5eI5OnqOPBNLWSHKh2a30DoXe8/edit?usp=sharing"",""กระบี่!J323"")"),10)</f>
        <v>10</v>
      </c>
      <c r="K428" s="169">
        <f t="shared" ca="1" si="113"/>
        <v>100</v>
      </c>
      <c r="L428" s="189"/>
      <c r="M428" s="189"/>
      <c r="N428" s="189"/>
      <c r="O428" s="189"/>
      <c r="P428" s="189"/>
    </row>
    <row r="429" spans="1:16" ht="21.75" customHeight="1" x14ac:dyDescent="0.45">
      <c r="A429" s="183"/>
      <c r="B429" s="184"/>
      <c r="C429" s="184"/>
      <c r="D429" s="201"/>
      <c r="E429" s="206"/>
      <c r="F429" s="203"/>
      <c r="G429" s="233" t="s">
        <v>157</v>
      </c>
      <c r="H429" s="188" t="s">
        <v>37</v>
      </c>
      <c r="I429" s="406">
        <f ca="1">IFERROR(__xludf.DUMMYFUNCTION("IMPORTRANGE(""https://docs.google.com/spreadsheets/d/1IYY_tgx_IHuhSq3AJ5eI5OnqOPBNLWSHKh2a30DoXe8/edit?usp=sharing"",""กระบี่!I324"")"),10)</f>
        <v>10</v>
      </c>
      <c r="J429" s="400">
        <f ca="1">IFERROR(__xludf.DUMMYFUNCTION("IMPORTRANGE(""https://docs.google.com/spreadsheets/d/1IYY_tgx_IHuhSq3AJ5eI5OnqOPBNLWSHKh2a30DoXe8/edit?usp=sharing"",""กระบี่!J324"")"),10)</f>
        <v>10</v>
      </c>
      <c r="K429" s="169">
        <f t="shared" ca="1" si="113"/>
        <v>100</v>
      </c>
      <c r="L429" s="189"/>
      <c r="M429" s="189"/>
      <c r="N429" s="189"/>
      <c r="O429" s="189"/>
      <c r="P429" s="189"/>
    </row>
    <row r="430" spans="1:16" ht="21.75" customHeight="1" x14ac:dyDescent="0.45">
      <c r="A430" s="183"/>
      <c r="B430" s="184"/>
      <c r="C430" s="184"/>
      <c r="D430" s="201"/>
      <c r="E430" s="206"/>
      <c r="F430" s="202" t="s">
        <v>53</v>
      </c>
      <c r="G430" s="394"/>
      <c r="H430" s="407" t="s">
        <v>37</v>
      </c>
      <c r="I430" s="208">
        <f ca="1">IFERROR(__xludf.DUMMYFUNCTION("IMPORTRANGE(""https://docs.google.com/spreadsheets/d/1IYY_tgx_IHuhSq3AJ5eI5OnqOPBNLWSHKh2a30DoXe8/edit?usp=sharing"",""กระบี่!I325"")"),25)</f>
        <v>25</v>
      </c>
      <c r="J430" s="398">
        <f ca="1">IFERROR(__xludf.DUMMYFUNCTION("IMPORTRANGE(""https://docs.google.com/spreadsheets/d/1IYY_tgx_IHuhSq3AJ5eI5OnqOPBNLWSHKh2a30DoXe8/edit?usp=sharing"",""กระบี่!J325"")"),0)</f>
        <v>0</v>
      </c>
      <c r="K430" s="209">
        <f t="shared" ca="1" si="113"/>
        <v>0</v>
      </c>
      <c r="L430" s="189"/>
      <c r="M430" s="189"/>
      <c r="N430" s="189"/>
      <c r="O430" s="189"/>
      <c r="P430" s="189"/>
    </row>
    <row r="431" spans="1:16" ht="21.75" customHeight="1" x14ac:dyDescent="0.45">
      <c r="A431" s="408"/>
      <c r="B431" s="409"/>
      <c r="C431" s="409"/>
      <c r="D431" s="410"/>
      <c r="E431" s="206"/>
      <c r="F431" s="203"/>
      <c r="G431" s="233" t="s">
        <v>158</v>
      </c>
      <c r="H431" s="188" t="s">
        <v>37</v>
      </c>
      <c r="I431" s="406">
        <f ca="1">IFERROR(__xludf.DUMMYFUNCTION("IMPORTRANGE(""https://docs.google.com/spreadsheets/d/1IYY_tgx_IHuhSq3AJ5eI5OnqOPBNLWSHKh2a30DoXe8/edit?usp=sharing"",""กระบี่!I326"")"),10)</f>
        <v>10</v>
      </c>
      <c r="J431" s="400">
        <f ca="1">IFERROR(__xludf.DUMMYFUNCTION("IMPORTRANGE(""https://docs.google.com/spreadsheets/d/1IYY_tgx_IHuhSq3AJ5eI5OnqOPBNLWSHKh2a30DoXe8/edit?usp=sharing"",""กระบี่!J326"")"),0)</f>
        <v>0</v>
      </c>
      <c r="K431" s="169">
        <f t="shared" ca="1" si="113"/>
        <v>0</v>
      </c>
      <c r="L431" s="189"/>
      <c r="M431" s="189"/>
      <c r="N431" s="189"/>
      <c r="O431" s="189"/>
      <c r="P431" s="189"/>
    </row>
    <row r="432" spans="1:16" ht="21.75" customHeight="1" x14ac:dyDescent="0.45">
      <c r="A432" s="408"/>
      <c r="B432" s="409"/>
      <c r="C432" s="409"/>
      <c r="D432" s="410"/>
      <c r="E432" s="206"/>
      <c r="F432" s="203"/>
      <c r="G432" s="233" t="s">
        <v>159</v>
      </c>
      <c r="H432" s="188" t="s">
        <v>37</v>
      </c>
      <c r="I432" s="406">
        <f ca="1">IFERROR(__xludf.DUMMYFUNCTION("IMPORTRANGE(""https://docs.google.com/spreadsheets/d/1IYY_tgx_IHuhSq3AJ5eI5OnqOPBNLWSHKh2a30DoXe8/edit?usp=sharing"",""กระบี่!I327"")"),15)</f>
        <v>15</v>
      </c>
      <c r="J432" s="400">
        <f ca="1">IFERROR(__xludf.DUMMYFUNCTION("IMPORTRANGE(""https://docs.google.com/spreadsheets/d/1IYY_tgx_IHuhSq3AJ5eI5OnqOPBNLWSHKh2a30DoXe8/edit?usp=sharing"",""กระบี่!J327"")"),0)</f>
        <v>0</v>
      </c>
      <c r="K432" s="169">
        <f t="shared" ca="1" si="113"/>
        <v>0</v>
      </c>
      <c r="L432" s="189"/>
      <c r="M432" s="189"/>
      <c r="N432" s="189"/>
      <c r="O432" s="189"/>
      <c r="P432" s="189"/>
    </row>
    <row r="433" spans="1:16" ht="21.75" customHeight="1" x14ac:dyDescent="0.35">
      <c r="A433" s="183"/>
      <c r="B433" s="184"/>
      <c r="C433" s="184"/>
      <c r="D433" s="201"/>
      <c r="E433" s="202" t="s">
        <v>54</v>
      </c>
      <c r="F433" s="203"/>
      <c r="G433" s="204"/>
      <c r="H433" s="194"/>
      <c r="I433" s="195"/>
      <c r="J433" s="205">
        <f ca="1">IFERROR(__xludf.DUMMYFUNCTION("IMPORTRANGE(""https://docs.google.com/spreadsheets/d/1IYY_tgx_IHuhSq3AJ5eI5OnqOPBNLWSHKh2a30DoXe8/edit?usp=sharing"",""กระบี่!J328"")"),0)</f>
        <v>0</v>
      </c>
      <c r="K433" s="169"/>
      <c r="L433" s="189"/>
      <c r="M433" s="189"/>
      <c r="N433" s="189"/>
      <c r="O433" s="189"/>
      <c r="P433" s="189"/>
    </row>
    <row r="434" spans="1:16" ht="21.75" customHeight="1" x14ac:dyDescent="0.35">
      <c r="A434" s="183"/>
      <c r="B434" s="184"/>
      <c r="C434" s="184"/>
      <c r="D434" s="213">
        <v>3</v>
      </c>
      <c r="E434" s="214" t="s">
        <v>55</v>
      </c>
      <c r="F434" s="215"/>
      <c r="G434" s="216"/>
      <c r="H434" s="194"/>
      <c r="I434" s="195"/>
      <c r="J434" s="217">
        <f ca="1">IFERROR(__xludf.DUMMYFUNCTION("IMPORTRANGE(""https://docs.google.com/spreadsheets/d/1IYY_tgx_IHuhSq3AJ5eI5OnqOPBNLWSHKh2a30DoXe8/edit?usp=sharing"",""กระบี่!J329"")"),0)</f>
        <v>0</v>
      </c>
      <c r="K434" s="169"/>
      <c r="L434" s="189"/>
      <c r="M434" s="189"/>
      <c r="N434" s="189"/>
      <c r="O434" s="189"/>
      <c r="P434" s="189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IFERROR(__xludf.DUMMYFUNCTION("IMPORTRANGE(""https://docs.google.com/spreadsheets/d/1IYY_tgx_IHuhSq3AJ5eI5OnqOPBNLWSHKh2a30DoXe8/edit?usp=sharing"",""กระบี่!I330"")"),10)</f>
        <v>10</v>
      </c>
      <c r="J435" s="416">
        <f ca="1">IFERROR(__xludf.DUMMYFUNCTION("IMPORTRANGE(""https://docs.google.com/spreadsheets/d/1IYY_tgx_IHuhSq3AJ5eI5OnqOPBNLWSHKh2a30DoXe8/edit?usp=sharing"",""กระบี่!J330"")"),10)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IFERROR(__xludf.DUMMYFUNCTION("IMPORTRANGE(""https://docs.google.com/spreadsheets/d/1IYY_tgx_IHuhSq3AJ5eI5OnqOPBNLWSHKh2a30DoXe8/edit?usp=sharing"",""กระบี่!L330"")"),76000)</f>
        <v>76000</v>
      </c>
      <c r="M435" s="418"/>
      <c r="N435" s="418">
        <f ca="1">IFERROR(__xludf.DUMMYFUNCTION("IMPORTRANGE(""https://docs.google.com/spreadsheets/d/1IYY_tgx_IHuhSq3AJ5eI5OnqOPBNLWSHKh2a30DoXe8/edit?usp=sharing"",""กระบี่!M330"")"),37684)</f>
        <v>37684</v>
      </c>
      <c r="O435" s="418">
        <f t="shared" ref="O435:O439" ca="1" si="114">+IF(L435&gt;0,N435*100/L435,0)</f>
        <v>49.584210526315786</v>
      </c>
      <c r="P435" s="418"/>
    </row>
    <row r="436" spans="1:16" ht="21.75" customHeight="1" x14ac:dyDescent="0.35">
      <c r="A436" s="162"/>
      <c r="B436" s="163"/>
      <c r="C436" s="163" t="s">
        <v>16</v>
      </c>
      <c r="D436" s="164" t="s">
        <v>38</v>
      </c>
      <c r="E436" s="165"/>
      <c r="F436" s="165"/>
      <c r="G436" s="166" t="s">
        <v>39</v>
      </c>
      <c r="H436" s="167" t="s">
        <v>12</v>
      </c>
      <c r="I436" s="168" t="s">
        <v>40</v>
      </c>
      <c r="J436" s="168"/>
      <c r="K436" s="169"/>
      <c r="L436" s="170">
        <f ca="1">IFERROR(__xludf.DUMMYFUNCTION("IMPORTRANGE(""https://docs.google.com/spreadsheets/d/1IYY_tgx_IHuhSq3AJ5eI5OnqOPBNLWSHKh2a30DoXe8/edit?usp=sharing"",""กระบี่!L331"")"),0)</f>
        <v>0</v>
      </c>
      <c r="M436" s="170"/>
      <c r="N436" s="176">
        <f ca="1">IFERROR(__xludf.DUMMYFUNCTION("IMPORTRANGE(""https://docs.google.com/spreadsheets/d/1IYY_tgx_IHuhSq3AJ5eI5OnqOPBNLWSHKh2a30DoXe8/edit?usp=sharing"",""กระบี่!M331"")"),0)</f>
        <v>0</v>
      </c>
      <c r="O436" s="176">
        <f t="shared" ca="1" si="114"/>
        <v>0</v>
      </c>
      <c r="P436" s="176"/>
    </row>
    <row r="437" spans="1:16" ht="21.75" customHeight="1" x14ac:dyDescent="0.35">
      <c r="A437" s="162"/>
      <c r="B437" s="163"/>
      <c r="C437" s="163"/>
      <c r="D437" s="172"/>
      <c r="E437" s="165"/>
      <c r="F437" s="165" t="s">
        <v>40</v>
      </c>
      <c r="G437" s="166" t="s">
        <v>41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IFERROR(__xludf.DUMMYFUNCTION("IMPORTRANGE(""https://docs.google.com/spreadsheets/d/1IYY_tgx_IHuhSq3AJ5eI5OnqOPBNLWSHKh2a30DoXe8/edit?usp=sharing"",""กระบี่!L332"")"),76000)</f>
        <v>76000</v>
      </c>
      <c r="M437" s="171"/>
      <c r="N437" s="176">
        <f ca="1">IFERROR(__xludf.DUMMYFUNCTION("IMPORTRANGE(""https://docs.google.com/spreadsheets/d/1IYY_tgx_IHuhSq3AJ5eI5OnqOPBNLWSHKh2a30DoXe8/edit?usp=sharing"",""กระบี่!M332"")"),37684)</f>
        <v>37684</v>
      </c>
      <c r="O437" s="176">
        <f t="shared" ca="1" si="114"/>
        <v>49.584210526315786</v>
      </c>
      <c r="P437" s="176"/>
    </row>
    <row r="438" spans="1:16" ht="21.75" customHeight="1" x14ac:dyDescent="0.35">
      <c r="A438" s="162"/>
      <c r="B438" s="163"/>
      <c r="C438" s="163"/>
      <c r="D438" s="172"/>
      <c r="E438" s="165"/>
      <c r="F438" s="165"/>
      <c r="G438" s="380" t="s">
        <v>129</v>
      </c>
      <c r="H438" s="167" t="s">
        <v>12</v>
      </c>
      <c r="I438" s="168"/>
      <c r="J438" s="168"/>
      <c r="K438" s="169"/>
      <c r="L438" s="176">
        <f ca="1">IFERROR(__xludf.DUMMYFUNCTION("IMPORTRANGE(""https://docs.google.com/spreadsheets/d/1IYY_tgx_IHuhSq3AJ5eI5OnqOPBNLWSHKh2a30DoXe8/edit?usp=sharing"",""กระบี่!L333"")"),0)</f>
        <v>0</v>
      </c>
      <c r="M438" s="176"/>
      <c r="N438" s="176">
        <f ca="1">IFERROR(__xludf.DUMMYFUNCTION("IMPORTRANGE(""https://docs.google.com/spreadsheets/d/1IYY_tgx_IHuhSq3AJ5eI5OnqOPBNLWSHKh2a30DoXe8/edit?usp=sharing"",""กระบี่!M333"")"),0)</f>
        <v>0</v>
      </c>
      <c r="O438" s="176">
        <f t="shared" ca="1" si="114"/>
        <v>0</v>
      </c>
      <c r="P438" s="176"/>
    </row>
    <row r="439" spans="1:16" ht="21.75" customHeight="1" x14ac:dyDescent="0.35">
      <c r="A439" s="162"/>
      <c r="B439" s="163"/>
      <c r="C439" s="163"/>
      <c r="D439" s="172"/>
      <c r="E439" s="165"/>
      <c r="F439" s="165"/>
      <c r="G439" s="380" t="s">
        <v>130</v>
      </c>
      <c r="H439" s="167" t="s">
        <v>12</v>
      </c>
      <c r="I439" s="168"/>
      <c r="J439" s="168"/>
      <c r="K439" s="169"/>
      <c r="L439" s="176">
        <f ca="1">IFERROR(__xludf.DUMMYFUNCTION("IMPORTRANGE(""https://docs.google.com/spreadsheets/d/1IYY_tgx_IHuhSq3AJ5eI5OnqOPBNLWSHKh2a30DoXe8/edit?usp=sharing"",""กระบี่!L334"")"),76000)</f>
        <v>76000</v>
      </c>
      <c r="M439" s="176"/>
      <c r="N439" s="176">
        <f ca="1">IFERROR(__xludf.DUMMYFUNCTION("IMPORTRANGE(""https://docs.google.com/spreadsheets/d/1IYY_tgx_IHuhSq3AJ5eI5OnqOPBNLWSHKh2a30DoXe8/edit?usp=sharing"",""กระบี่!M334"")"),37684)</f>
        <v>37684</v>
      </c>
      <c r="O439" s="176">
        <f t="shared" ca="1" si="114"/>
        <v>49.584210526315786</v>
      </c>
      <c r="P439" s="176"/>
    </row>
    <row r="440" spans="1:16" ht="21.75" customHeight="1" x14ac:dyDescent="0.35">
      <c r="A440" s="381"/>
      <c r="B440" s="382"/>
      <c r="C440" s="163"/>
      <c r="D440" s="383"/>
      <c r="E440" s="165"/>
      <c r="F440" s="165"/>
      <c r="G440" s="384" t="s">
        <v>131</v>
      </c>
      <c r="H440" s="167" t="s">
        <v>12</v>
      </c>
      <c r="I440" s="195"/>
      <c r="J440" s="195"/>
      <c r="K440" s="231"/>
      <c r="L440" s="176"/>
      <c r="M440" s="176"/>
      <c r="N440" s="385">
        <f ca="1">IFERROR(__xludf.DUMMYFUNCTION("IMPORTRANGE(""https://docs.google.com/spreadsheets/d/1IYY_tgx_IHuhSq3AJ5eI5OnqOPBNLWSHKh2a30DoXe8/edit?usp=sharing"",""กระบี่!M335"")"),25340)</f>
        <v>25340</v>
      </c>
      <c r="O440" s="176"/>
      <c r="P440" s="176"/>
    </row>
    <row r="441" spans="1:16" ht="21.75" customHeight="1" x14ac:dyDescent="0.35">
      <c r="A441" s="381"/>
      <c r="B441" s="382"/>
      <c r="C441" s="163"/>
      <c r="D441" s="383"/>
      <c r="E441" s="165"/>
      <c r="F441" s="165"/>
      <c r="G441" s="384" t="s">
        <v>132</v>
      </c>
      <c r="H441" s="167" t="s">
        <v>12</v>
      </c>
      <c r="I441" s="195"/>
      <c r="J441" s="195"/>
      <c r="K441" s="231"/>
      <c r="L441" s="176"/>
      <c r="M441" s="176"/>
      <c r="N441" s="385">
        <f ca="1">IFERROR(__xludf.DUMMYFUNCTION("IMPORTRANGE(""https://docs.google.com/spreadsheets/d/1IYY_tgx_IHuhSq3AJ5eI5OnqOPBNLWSHKh2a30DoXe8/edit?usp=sharing"",""กระบี่!M336"")"),0)</f>
        <v>0</v>
      </c>
      <c r="O441" s="176"/>
      <c r="P441" s="176"/>
    </row>
    <row r="442" spans="1:16" ht="21.75" customHeight="1" x14ac:dyDescent="0.35">
      <c r="A442" s="381"/>
      <c r="B442" s="382"/>
      <c r="C442" s="163"/>
      <c r="D442" s="383"/>
      <c r="E442" s="165"/>
      <c r="F442" s="165"/>
      <c r="G442" s="384" t="s">
        <v>133</v>
      </c>
      <c r="H442" s="167" t="s">
        <v>12</v>
      </c>
      <c r="I442" s="195"/>
      <c r="J442" s="195"/>
      <c r="K442" s="231"/>
      <c r="L442" s="176"/>
      <c r="M442" s="176"/>
      <c r="N442" s="385">
        <f ca="1">IFERROR(__xludf.DUMMYFUNCTION("IMPORTRANGE(""https://docs.google.com/spreadsheets/d/1IYY_tgx_IHuhSq3AJ5eI5OnqOPBNLWSHKh2a30DoXe8/edit?usp=sharing"",""กระบี่!M337"")"),0)</f>
        <v>0</v>
      </c>
      <c r="O442" s="176"/>
      <c r="P442" s="176"/>
    </row>
    <row r="443" spans="1:16" ht="21.75" customHeight="1" x14ac:dyDescent="0.35">
      <c r="A443" s="381"/>
      <c r="B443" s="382"/>
      <c r="C443" s="163"/>
      <c r="D443" s="383"/>
      <c r="E443" s="165"/>
      <c r="F443" s="165"/>
      <c r="G443" s="384" t="s">
        <v>134</v>
      </c>
      <c r="H443" s="167" t="s">
        <v>12</v>
      </c>
      <c r="I443" s="195"/>
      <c r="J443" s="195"/>
      <c r="K443" s="231"/>
      <c r="L443" s="176"/>
      <c r="M443" s="176"/>
      <c r="N443" s="385">
        <f ca="1">IFERROR(__xludf.DUMMYFUNCTION("IMPORTRANGE(""https://docs.google.com/spreadsheets/d/1IYY_tgx_IHuhSq3AJ5eI5OnqOPBNLWSHKh2a30DoXe8/edit?usp=sharing"",""กระบี่!M338"")"),12344)</f>
        <v>12344</v>
      </c>
      <c r="O443" s="176"/>
      <c r="P443" s="176"/>
    </row>
    <row r="444" spans="1:16" ht="21.75" customHeight="1" x14ac:dyDescent="0.35">
      <c r="A444" s="183"/>
      <c r="B444" s="184"/>
      <c r="C444" s="163" t="s">
        <v>16</v>
      </c>
      <c r="D444" s="185" t="s">
        <v>44</v>
      </c>
      <c r="E444" s="186"/>
      <c r="F444" s="186"/>
      <c r="G444" s="187"/>
      <c r="H444" s="188"/>
      <c r="I444" s="168"/>
      <c r="J444" s="168"/>
      <c r="K444" s="169"/>
      <c r="L444" s="189"/>
      <c r="M444" s="189"/>
      <c r="N444" s="189"/>
      <c r="O444" s="189"/>
      <c r="P444" s="189"/>
    </row>
    <row r="445" spans="1:16" ht="21.75" customHeight="1" x14ac:dyDescent="0.35">
      <c r="A445" s="183"/>
      <c r="B445" s="184"/>
      <c r="C445" s="184"/>
      <c r="D445" s="190">
        <v>1</v>
      </c>
      <c r="E445" s="191" t="s">
        <v>45</v>
      </c>
      <c r="F445" s="192"/>
      <c r="G445" s="193"/>
      <c r="H445" s="194"/>
      <c r="I445" s="195"/>
      <c r="J445" s="217">
        <f ca="1">IFERROR(__xludf.DUMMYFUNCTION("IMPORTRANGE(""https://docs.google.com/spreadsheets/d/1IYY_tgx_IHuhSq3AJ5eI5OnqOPBNLWSHKh2a30DoXe8/edit?usp=sharing"",""กระบี่!J340"")"),0)</f>
        <v>0</v>
      </c>
      <c r="K445" s="169"/>
      <c r="L445" s="189"/>
      <c r="M445" s="189"/>
      <c r="N445" s="189"/>
      <c r="O445" s="189"/>
      <c r="P445" s="189"/>
    </row>
    <row r="446" spans="1:16" ht="21.75" customHeight="1" x14ac:dyDescent="0.35">
      <c r="A446" s="183"/>
      <c r="B446" s="184"/>
      <c r="C446" s="184"/>
      <c r="D446" s="197">
        <v>2</v>
      </c>
      <c r="E446" s="198" t="s">
        <v>46</v>
      </c>
      <c r="F446" s="199"/>
      <c r="G446" s="200"/>
      <c r="H446" s="194"/>
      <c r="I446" s="195"/>
      <c r="J446" s="419">
        <f ca="1">IFERROR(__xludf.DUMMYFUNCTION("IMPORTRANGE(""https://docs.google.com/spreadsheets/d/1IYY_tgx_IHuhSq3AJ5eI5OnqOPBNLWSHKh2a30DoXe8/edit?usp=sharing"",""กระบี่!J341"")"),1)</f>
        <v>1</v>
      </c>
      <c r="K446" s="169"/>
      <c r="L446" s="189" t="s">
        <v>40</v>
      </c>
      <c r="M446" s="189"/>
      <c r="N446" s="189" t="s">
        <v>40</v>
      </c>
      <c r="O446" s="189"/>
      <c r="P446" s="189"/>
    </row>
    <row r="447" spans="1:16" ht="21.75" customHeight="1" x14ac:dyDescent="0.35">
      <c r="A447" s="183"/>
      <c r="B447" s="184"/>
      <c r="C447" s="184"/>
      <c r="D447" s="201"/>
      <c r="E447" s="202" t="s">
        <v>161</v>
      </c>
      <c r="F447" s="203"/>
      <c r="G447" s="204"/>
      <c r="H447" s="194"/>
      <c r="I447" s="195"/>
      <c r="J447" s="196">
        <f ca="1">IFERROR(__xludf.DUMMYFUNCTION("IMPORTRANGE(""https://docs.google.com/spreadsheets/d/1IYY_tgx_IHuhSq3AJ5eI5OnqOPBNLWSHKh2a30DoXe8/edit?usp=sharing"",""กระบี่!J342"")"),1)</f>
        <v>1</v>
      </c>
      <c r="K447" s="169"/>
      <c r="L447" s="189"/>
      <c r="M447" s="189"/>
      <c r="N447" s="189"/>
      <c r="O447" s="189"/>
      <c r="P447" s="189"/>
    </row>
    <row r="448" spans="1:16" ht="21.75" customHeight="1" x14ac:dyDescent="0.35">
      <c r="A448" s="183"/>
      <c r="B448" s="184"/>
      <c r="C448" s="184"/>
      <c r="D448" s="201"/>
      <c r="E448" s="202" t="s">
        <v>48</v>
      </c>
      <c r="F448" s="203"/>
      <c r="G448" s="204"/>
      <c r="H448" s="194"/>
      <c r="I448" s="195"/>
      <c r="J448" s="196">
        <f ca="1">IFERROR(__xludf.DUMMYFUNCTION("IMPORTRANGE(""https://docs.google.com/spreadsheets/d/1IYY_tgx_IHuhSq3AJ5eI5OnqOPBNLWSHKh2a30DoXe8/edit?usp=sharing"",""กระบี่!J343"")"),1)</f>
        <v>1</v>
      </c>
      <c r="K448" s="169"/>
      <c r="L448" s="189"/>
      <c r="M448" s="189"/>
      <c r="N448" s="189"/>
      <c r="O448" s="189"/>
      <c r="P448" s="189"/>
    </row>
    <row r="449" spans="1:16" ht="21.75" customHeight="1" x14ac:dyDescent="0.35">
      <c r="A449" s="183"/>
      <c r="B449" s="184"/>
      <c r="C449" s="184"/>
      <c r="D449" s="201"/>
      <c r="E449" s="206"/>
      <c r="F449" s="420" t="s">
        <v>101</v>
      </c>
      <c r="G449" s="204"/>
      <c r="H449" s="194" t="s">
        <v>37</v>
      </c>
      <c r="I449" s="397">
        <f ca="1">IFERROR(__xludf.DUMMYFUNCTION("IMPORTRANGE(""https://docs.google.com/spreadsheets/d/1IYY_tgx_IHuhSq3AJ5eI5OnqOPBNLWSHKh2a30DoXe8/edit?usp=sharing"",""กระบี่!I344"")"),10)</f>
        <v>10</v>
      </c>
      <c r="J449" s="208">
        <f ca="1">IFERROR(__xludf.DUMMYFUNCTION("IMPORTRANGE(""https://docs.google.com/spreadsheets/d/1IYY_tgx_IHuhSq3AJ5eI5OnqOPBNLWSHKh2a30DoXe8/edit?usp=sharing"",""กระบี่!J344"")"),10)</f>
        <v>10</v>
      </c>
      <c r="K449" s="169">
        <f t="shared" ref="K449:K452" ca="1" si="115">IF(I449&gt;0,J449*100/I449,0)</f>
        <v>100</v>
      </c>
      <c r="L449" s="189"/>
      <c r="M449" s="189"/>
      <c r="N449" s="189"/>
      <c r="O449" s="189"/>
      <c r="P449" s="189"/>
    </row>
    <row r="450" spans="1:16" ht="21.75" customHeight="1" x14ac:dyDescent="0.35">
      <c r="A450" s="183"/>
      <c r="B450" s="184"/>
      <c r="C450" s="184"/>
      <c r="D450" s="201"/>
      <c r="E450" s="206"/>
      <c r="F450" s="203"/>
      <c r="G450" s="233" t="s">
        <v>162</v>
      </c>
      <c r="H450" s="194" t="s">
        <v>37</v>
      </c>
      <c r="I450" s="347">
        <f ca="1">IFERROR(__xludf.DUMMYFUNCTION("IMPORTRANGE(""https://docs.google.com/spreadsheets/d/1IYY_tgx_IHuhSq3AJ5eI5OnqOPBNLWSHKh2a30DoXe8/edit?usp=sharing"",""กระบี่!I345"")"),10)</f>
        <v>10</v>
      </c>
      <c r="J450" s="196">
        <f ca="1">IFERROR(__xludf.DUMMYFUNCTION("IMPORTRANGE(""https://docs.google.com/spreadsheets/d/1IYY_tgx_IHuhSq3AJ5eI5OnqOPBNLWSHKh2a30DoXe8/edit?usp=sharing"",""กระบี่!J345"")"),10)</f>
        <v>10</v>
      </c>
      <c r="K450" s="169">
        <f t="shared" ca="1" si="115"/>
        <v>100</v>
      </c>
      <c r="L450" s="189"/>
      <c r="M450" s="189"/>
      <c r="N450" s="189"/>
      <c r="O450" s="189"/>
      <c r="P450" s="189"/>
    </row>
    <row r="451" spans="1:16" ht="21.75" customHeight="1" x14ac:dyDescent="0.35">
      <c r="A451" s="183"/>
      <c r="B451" s="184"/>
      <c r="C451" s="184"/>
      <c r="D451" s="201"/>
      <c r="E451" s="206"/>
      <c r="F451" s="203"/>
      <c r="G451" s="287" t="s">
        <v>163</v>
      </c>
      <c r="H451" s="194" t="s">
        <v>37</v>
      </c>
      <c r="I451" s="347">
        <f ca="1">IFERROR(__xludf.DUMMYFUNCTION("IMPORTRANGE(""https://docs.google.com/spreadsheets/d/1IYY_tgx_IHuhSq3AJ5eI5OnqOPBNLWSHKh2a30DoXe8/edit?usp=sharing"",""กระบี่!I346"")"),0)</f>
        <v>0</v>
      </c>
      <c r="J451" s="195">
        <f ca="1">IFERROR(__xludf.DUMMYFUNCTION("IMPORTRANGE(""https://docs.google.com/spreadsheets/d/1IYY_tgx_IHuhSq3AJ5eI5OnqOPBNLWSHKh2a30DoXe8/edit?usp=sharing"",""กระบี่!J346"")"),0)</f>
        <v>0</v>
      </c>
      <c r="K451" s="169">
        <f t="shared" ca="1" si="115"/>
        <v>0</v>
      </c>
      <c r="L451" s="189"/>
      <c r="M451" s="189"/>
      <c r="N451" s="189"/>
      <c r="O451" s="189"/>
      <c r="P451" s="189"/>
    </row>
    <row r="452" spans="1:16" ht="21.75" customHeight="1" x14ac:dyDescent="0.35">
      <c r="A452" s="183"/>
      <c r="B452" s="184"/>
      <c r="C452" s="184"/>
      <c r="D452" s="201"/>
      <c r="E452" s="206"/>
      <c r="F452" s="203"/>
      <c r="G452" s="204" t="s">
        <v>164</v>
      </c>
      <c r="H452" s="194" t="s">
        <v>37</v>
      </c>
      <c r="I452" s="195">
        <f ca="1">IFERROR(__xludf.DUMMYFUNCTION("IMPORTRANGE(""https://docs.google.com/spreadsheets/d/1IYY_tgx_IHuhSq3AJ5eI5OnqOPBNLWSHKh2a30DoXe8/edit?usp=sharing"",""กระบี่!I347"")"),0)</f>
        <v>0</v>
      </c>
      <c r="J452" s="195">
        <f ca="1">IFERROR(__xludf.DUMMYFUNCTION("IMPORTRANGE(""https://docs.google.com/spreadsheets/d/1IYY_tgx_IHuhSq3AJ5eI5OnqOPBNLWSHKh2a30DoXe8/edit?usp=sharing"",""กระบี่!J347"")"),0)</f>
        <v>0</v>
      </c>
      <c r="K452" s="169">
        <f t="shared" ca="1" si="115"/>
        <v>0</v>
      </c>
      <c r="L452" s="189"/>
      <c r="M452" s="189"/>
      <c r="N452" s="189"/>
      <c r="O452" s="189"/>
      <c r="P452" s="189"/>
    </row>
    <row r="453" spans="1:16" ht="21.75" customHeight="1" x14ac:dyDescent="0.35">
      <c r="A453" s="183"/>
      <c r="B453" s="184"/>
      <c r="C453" s="184"/>
      <c r="D453" s="201"/>
      <c r="E453" s="202" t="s">
        <v>54</v>
      </c>
      <c r="F453" s="203"/>
      <c r="G453" s="204"/>
      <c r="H453" s="194"/>
      <c r="I453" s="195"/>
      <c r="J453" s="205">
        <f ca="1">IFERROR(__xludf.DUMMYFUNCTION("IMPORTRANGE(""https://docs.google.com/spreadsheets/d/1IYY_tgx_IHuhSq3AJ5eI5OnqOPBNLWSHKh2a30DoXe8/edit?usp=sharing"",""กระบี่!J348"")"),0)</f>
        <v>0</v>
      </c>
      <c r="K453" s="169"/>
      <c r="L453" s="189"/>
      <c r="M453" s="189"/>
      <c r="N453" s="189"/>
      <c r="O453" s="189"/>
      <c r="P453" s="189"/>
    </row>
    <row r="454" spans="1:16" ht="21.75" customHeight="1" x14ac:dyDescent="0.35">
      <c r="A454" s="183"/>
      <c r="B454" s="184"/>
      <c r="C454" s="184"/>
      <c r="D454" s="213">
        <v>3</v>
      </c>
      <c r="E454" s="214" t="s">
        <v>55</v>
      </c>
      <c r="F454" s="215"/>
      <c r="G454" s="216"/>
      <c r="H454" s="194"/>
      <c r="I454" s="195"/>
      <c r="J454" s="217">
        <f ca="1">IFERROR(__xludf.DUMMYFUNCTION("IMPORTRANGE(""https://docs.google.com/spreadsheets/d/1IYY_tgx_IHuhSq3AJ5eI5OnqOPBNLWSHKh2a30DoXe8/edit?usp=sharing"",""กระบี่!J349"")"),0)</f>
        <v>0</v>
      </c>
      <c r="K454" s="169"/>
      <c r="L454" s="189"/>
      <c r="M454" s="189"/>
      <c r="N454" s="189"/>
      <c r="O454" s="189"/>
      <c r="P454" s="189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IFERROR(__xludf.DUMMYFUNCTION("IMPORTRANGE(""https://docs.google.com/spreadsheets/d/1IYY_tgx_IHuhSq3AJ5eI5OnqOPBNLWSHKh2a30DoXe8/edit?usp=sharing"",""กระบี่!I350"")"),66369)</f>
        <v>66369</v>
      </c>
      <c r="J455" s="377">
        <f ca="1">IFERROR(__xludf.DUMMYFUNCTION("IMPORTRANGE(""https://docs.google.com/spreadsheets/d/1IYY_tgx_IHuhSq3AJ5eI5OnqOPBNLWSHKh2a30DoXe8/edit?usp=sharing"",""กระบี่!J350"")"),0)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IFERROR(__xludf.DUMMYFUNCTION("IMPORTRANGE(""https://docs.google.com/spreadsheets/d/1IYY_tgx_IHuhSq3AJ5eI5OnqOPBNLWSHKh2a30DoXe8/edit?usp=sharing"",""กระบี่!L350"")"),519283)</f>
        <v>519283</v>
      </c>
      <c r="M455" s="379"/>
      <c r="N455" s="379">
        <f ca="1">IFERROR(__xludf.DUMMYFUNCTION("IMPORTRANGE(""https://docs.google.com/spreadsheets/d/1IYY_tgx_IHuhSq3AJ5eI5OnqOPBNLWSHKh2a30DoXe8/edit?usp=sharing"",""กระบี่!M350"")"),86604.36)</f>
        <v>86604.36</v>
      </c>
      <c r="O455" s="379">
        <f t="shared" ref="O455:O459" ca="1" si="116">+IF(L455&gt;0,N455*100/L455,0)</f>
        <v>16.677680571095145</v>
      </c>
      <c r="P455" s="379"/>
    </row>
    <row r="456" spans="1:16" ht="21.75" customHeight="1" x14ac:dyDescent="0.35">
      <c r="A456" s="162"/>
      <c r="B456" s="163"/>
      <c r="C456" s="163" t="s">
        <v>16</v>
      </c>
      <c r="D456" s="164" t="s">
        <v>38</v>
      </c>
      <c r="E456" s="165"/>
      <c r="F456" s="165"/>
      <c r="G456" s="166" t="s">
        <v>39</v>
      </c>
      <c r="H456" s="167" t="s">
        <v>12</v>
      </c>
      <c r="I456" s="168" t="s">
        <v>40</v>
      </c>
      <c r="J456" s="168"/>
      <c r="K456" s="169"/>
      <c r="L456" s="170">
        <f ca="1">IFERROR(__xludf.DUMMYFUNCTION("IMPORTRANGE(""https://docs.google.com/spreadsheets/d/1IYY_tgx_IHuhSq3AJ5eI5OnqOPBNLWSHKh2a30DoXe8/edit?usp=sharing"",""กระบี่!L351"")"),0)</f>
        <v>0</v>
      </c>
      <c r="M456" s="170"/>
      <c r="N456" s="176">
        <f ca="1">IFERROR(__xludf.DUMMYFUNCTION("IMPORTRANGE(""https://docs.google.com/spreadsheets/d/1IYY_tgx_IHuhSq3AJ5eI5OnqOPBNLWSHKh2a30DoXe8/edit?usp=sharing"",""กระบี่!M351"")"),0)</f>
        <v>0</v>
      </c>
      <c r="O456" s="176">
        <f t="shared" ca="1" si="116"/>
        <v>0</v>
      </c>
      <c r="P456" s="176"/>
    </row>
    <row r="457" spans="1:16" ht="21.75" customHeight="1" x14ac:dyDescent="0.35">
      <c r="A457" s="162"/>
      <c r="B457" s="163"/>
      <c r="C457" s="163"/>
      <c r="D457" s="172"/>
      <c r="E457" s="165"/>
      <c r="F457" s="165" t="s">
        <v>40</v>
      </c>
      <c r="G457" s="166" t="s">
        <v>41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IFERROR(__xludf.DUMMYFUNCTION("IMPORTRANGE(""https://docs.google.com/spreadsheets/d/1IYY_tgx_IHuhSq3AJ5eI5OnqOPBNLWSHKh2a30DoXe8/edit?usp=sharing"",""กระบี่!L352"")"),519283)</f>
        <v>519283</v>
      </c>
      <c r="M457" s="171"/>
      <c r="N457" s="176">
        <f ca="1">IFERROR(__xludf.DUMMYFUNCTION("IMPORTRANGE(""https://docs.google.com/spreadsheets/d/1IYY_tgx_IHuhSq3AJ5eI5OnqOPBNLWSHKh2a30DoXe8/edit?usp=sharing"",""กระบี่!M352"")"),86604.36)</f>
        <v>86604.36</v>
      </c>
      <c r="O457" s="176">
        <f t="shared" ca="1" si="116"/>
        <v>16.677680571095145</v>
      </c>
      <c r="P457" s="176"/>
    </row>
    <row r="458" spans="1:16" ht="21.75" customHeight="1" x14ac:dyDescent="0.35">
      <c r="A458" s="162"/>
      <c r="B458" s="163"/>
      <c r="C458" s="163"/>
      <c r="D458" s="172"/>
      <c r="E458" s="165"/>
      <c r="F458" s="165"/>
      <c r="G458" s="380" t="s">
        <v>129</v>
      </c>
      <c r="H458" s="167" t="s">
        <v>12</v>
      </c>
      <c r="I458" s="168"/>
      <c r="J458" s="168"/>
      <c r="K458" s="169"/>
      <c r="L458" s="176">
        <f ca="1">IFERROR(__xludf.DUMMYFUNCTION("IMPORTRANGE(""https://docs.google.com/spreadsheets/d/1IYY_tgx_IHuhSq3AJ5eI5OnqOPBNLWSHKh2a30DoXe8/edit?usp=sharing"",""กระบี่!L353"")"),0)</f>
        <v>0</v>
      </c>
      <c r="M458" s="176"/>
      <c r="N458" s="176">
        <f ca="1">IFERROR(__xludf.DUMMYFUNCTION("IMPORTRANGE(""https://docs.google.com/spreadsheets/d/1IYY_tgx_IHuhSq3AJ5eI5OnqOPBNLWSHKh2a30DoXe8/edit?usp=sharing"",""กระบี่!M353"")"),0)</f>
        <v>0</v>
      </c>
      <c r="O458" s="176">
        <f t="shared" ca="1" si="116"/>
        <v>0</v>
      </c>
      <c r="P458" s="176"/>
    </row>
    <row r="459" spans="1:16" ht="21.75" customHeight="1" x14ac:dyDescent="0.35">
      <c r="A459" s="162"/>
      <c r="B459" s="163"/>
      <c r="C459" s="163"/>
      <c r="D459" s="172"/>
      <c r="E459" s="165"/>
      <c r="F459" s="165"/>
      <c r="G459" s="380" t="s">
        <v>130</v>
      </c>
      <c r="H459" s="167" t="s">
        <v>12</v>
      </c>
      <c r="I459" s="168"/>
      <c r="J459" s="168"/>
      <c r="K459" s="169"/>
      <c r="L459" s="176">
        <f ca="1">IFERROR(__xludf.DUMMYFUNCTION("IMPORTRANGE(""https://docs.google.com/spreadsheets/d/1IYY_tgx_IHuhSq3AJ5eI5OnqOPBNLWSHKh2a30DoXe8/edit?usp=sharing"",""กระบี่!L354"")"),519283)</f>
        <v>519283</v>
      </c>
      <c r="M459" s="176"/>
      <c r="N459" s="176">
        <f ca="1">IFERROR(__xludf.DUMMYFUNCTION("IMPORTRANGE(""https://docs.google.com/spreadsheets/d/1IYY_tgx_IHuhSq3AJ5eI5OnqOPBNLWSHKh2a30DoXe8/edit?usp=sharing"",""กระบี่!M354"")"),86604.36)</f>
        <v>86604.36</v>
      </c>
      <c r="O459" s="176">
        <f t="shared" ca="1" si="116"/>
        <v>16.677680571095145</v>
      </c>
      <c r="P459" s="176"/>
    </row>
    <row r="460" spans="1:16" ht="21.75" customHeight="1" x14ac:dyDescent="0.35">
      <c r="A460" s="381"/>
      <c r="B460" s="382"/>
      <c r="C460" s="163"/>
      <c r="D460" s="383"/>
      <c r="E460" s="165"/>
      <c r="F460" s="165"/>
      <c r="G460" s="384" t="s">
        <v>131</v>
      </c>
      <c r="H460" s="167" t="s">
        <v>12</v>
      </c>
      <c r="I460" s="195"/>
      <c r="J460" s="195"/>
      <c r="K460" s="231"/>
      <c r="L460" s="176"/>
      <c r="M460" s="176"/>
      <c r="N460" s="173">
        <f ca="1">IFERROR(__xludf.DUMMYFUNCTION("IMPORTRANGE(""https://docs.google.com/spreadsheets/d/1IYY_tgx_IHuhSq3AJ5eI5OnqOPBNLWSHKh2a30DoXe8/edit?usp=sharing"",""กระบี่!M355"")"),0)</f>
        <v>0</v>
      </c>
      <c r="O460" s="176"/>
      <c r="P460" s="176"/>
    </row>
    <row r="461" spans="1:16" ht="21.75" customHeight="1" x14ac:dyDescent="0.35">
      <c r="A461" s="381"/>
      <c r="B461" s="382"/>
      <c r="C461" s="163"/>
      <c r="D461" s="383"/>
      <c r="E461" s="165"/>
      <c r="F461" s="165"/>
      <c r="G461" s="384" t="s">
        <v>132</v>
      </c>
      <c r="H461" s="167" t="s">
        <v>12</v>
      </c>
      <c r="I461" s="195"/>
      <c r="J461" s="195"/>
      <c r="K461" s="231"/>
      <c r="L461" s="176"/>
      <c r="M461" s="176"/>
      <c r="N461" s="173">
        <f ca="1">IFERROR(__xludf.DUMMYFUNCTION("IMPORTRANGE(""https://docs.google.com/spreadsheets/d/1IYY_tgx_IHuhSq3AJ5eI5OnqOPBNLWSHKh2a30DoXe8/edit?usp=sharing"",""กระบี่!M356"")"),0)</f>
        <v>0</v>
      </c>
      <c r="O461" s="176"/>
      <c r="P461" s="176"/>
    </row>
    <row r="462" spans="1:16" ht="21.75" customHeight="1" x14ac:dyDescent="0.35">
      <c r="A462" s="381"/>
      <c r="B462" s="382"/>
      <c r="C462" s="163"/>
      <c r="D462" s="383"/>
      <c r="E462" s="165"/>
      <c r="F462" s="165"/>
      <c r="G462" s="384" t="s">
        <v>133</v>
      </c>
      <c r="H462" s="167" t="s">
        <v>12</v>
      </c>
      <c r="I462" s="195"/>
      <c r="J462" s="195"/>
      <c r="K462" s="231"/>
      <c r="L462" s="176"/>
      <c r="M462" s="176"/>
      <c r="N462" s="385">
        <f ca="1">IFERROR(__xludf.DUMMYFUNCTION("IMPORTRANGE(""https://docs.google.com/spreadsheets/d/1IYY_tgx_IHuhSq3AJ5eI5OnqOPBNLWSHKh2a30DoXe8/edit?usp=sharing"",""กระบี่!M357"")"),37967.76)</f>
        <v>37967.760000000002</v>
      </c>
      <c r="O462" s="176"/>
      <c r="P462" s="176"/>
    </row>
    <row r="463" spans="1:16" ht="21.75" customHeight="1" x14ac:dyDescent="0.35">
      <c r="A463" s="381"/>
      <c r="B463" s="382"/>
      <c r="C463" s="163"/>
      <c r="D463" s="383"/>
      <c r="E463" s="165"/>
      <c r="F463" s="165"/>
      <c r="G463" s="384" t="s">
        <v>134</v>
      </c>
      <c r="H463" s="167" t="s">
        <v>12</v>
      </c>
      <c r="I463" s="195"/>
      <c r="J463" s="195"/>
      <c r="K463" s="231"/>
      <c r="L463" s="176"/>
      <c r="M463" s="176"/>
      <c r="N463" s="385">
        <f ca="1">IFERROR(__xludf.DUMMYFUNCTION("IMPORTRANGE(""https://docs.google.com/spreadsheets/d/1IYY_tgx_IHuhSq3AJ5eI5OnqOPBNLWSHKh2a30DoXe8/edit?usp=sharing"",""กระบี่!M358"")"),48636.6)</f>
        <v>48636.6</v>
      </c>
      <c r="O463" s="176"/>
      <c r="P463" s="176"/>
    </row>
    <row r="464" spans="1:16" ht="21.75" customHeight="1" x14ac:dyDescent="0.35">
      <c r="A464" s="183"/>
      <c r="B464" s="184"/>
      <c r="C464" s="421" t="s">
        <v>166</v>
      </c>
      <c r="D464" s="421"/>
      <c r="E464" s="422"/>
      <c r="F464" s="422"/>
      <c r="G464" s="423"/>
      <c r="H464" s="273" t="s">
        <v>122</v>
      </c>
      <c r="I464" s="274">
        <f ca="1">IFERROR(__xludf.DUMMYFUNCTION("IMPORTRANGE(""https://docs.google.com/spreadsheets/d/1IYY_tgx_IHuhSq3AJ5eI5OnqOPBNLWSHKh2a30DoXe8/edit?usp=sharing"",""กระบี่!I359"")"),66369)</f>
        <v>66369</v>
      </c>
      <c r="J464" s="274">
        <f ca="1">IFERROR(__xludf.DUMMYFUNCTION("IMPORTRANGE(""https://docs.google.com/spreadsheets/d/1IYY_tgx_IHuhSq3AJ5eI5OnqOPBNLWSHKh2a30DoXe8/edit?usp=sharing"",""กระบี่!J359"")"),0)</f>
        <v>0</v>
      </c>
      <c r="K464" s="275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1" t="s">
        <v>167</v>
      </c>
      <c r="F465" s="203"/>
      <c r="G465" s="204"/>
      <c r="H465" s="424" t="s">
        <v>122</v>
      </c>
      <c r="I465" s="425">
        <f ca="1">IFERROR(__xludf.DUMMYFUNCTION("IMPORTRANGE(""https://docs.google.com/spreadsheets/d/1IYY_tgx_IHuhSq3AJ5eI5OnqOPBNLWSHKh2a30DoXe8/edit?usp=sharing"",""กระบี่!I360"")"),66369)</f>
        <v>66369</v>
      </c>
      <c r="J465" s="426">
        <f ca="1">IFERROR(__xludf.DUMMYFUNCTION("IMPORTRANGE(""https://docs.google.com/spreadsheets/d/1IYY_tgx_IHuhSq3AJ5eI5OnqOPBNLWSHKh2a30DoXe8/edit?usp=sharing"",""กระบี่!J360"")"),66381)</f>
        <v>66381</v>
      </c>
      <c r="K465" s="209">
        <f t="shared" ca="1" si="117"/>
        <v>100.01808073046151</v>
      </c>
      <c r="L465" s="189"/>
      <c r="M465" s="189"/>
      <c r="N465" s="189"/>
      <c r="O465" s="189"/>
      <c r="P465" s="189"/>
    </row>
    <row r="466" spans="1:16" ht="21.75" customHeight="1" x14ac:dyDescent="0.35">
      <c r="A466" s="408"/>
      <c r="B466" s="409"/>
      <c r="C466" s="409"/>
      <c r="D466" s="410"/>
      <c r="E466" s="203"/>
      <c r="F466" s="203"/>
      <c r="G466" s="204"/>
      <c r="H466" s="424" t="s">
        <v>36</v>
      </c>
      <c r="I466" s="425">
        <f ca="1">IFERROR(__xludf.DUMMYFUNCTION("IMPORTRANGE(""https://docs.google.com/spreadsheets/d/1IYY_tgx_IHuhSq3AJ5eI5OnqOPBNLWSHKh2a30DoXe8/edit?usp=sharing"",""กระบี่!I361"")"),4051)</f>
        <v>4051</v>
      </c>
      <c r="J466" s="426">
        <f ca="1">IFERROR(__xludf.DUMMYFUNCTION("IMPORTRANGE(""https://docs.google.com/spreadsheets/d/1IYY_tgx_IHuhSq3AJ5eI5OnqOPBNLWSHKh2a30DoXe8/edit?usp=sharing"",""กระบี่!J361"")"),4051)</f>
        <v>4051</v>
      </c>
      <c r="K466" s="209">
        <f t="shared" ca="1" si="117"/>
        <v>100</v>
      </c>
      <c r="L466" s="189"/>
      <c r="M466" s="189"/>
      <c r="N466" s="189"/>
      <c r="O466" s="189"/>
      <c r="P466" s="189"/>
    </row>
    <row r="467" spans="1:16" ht="21.75" customHeight="1" x14ac:dyDescent="0.35">
      <c r="A467" s="408"/>
      <c r="B467" s="409"/>
      <c r="C467" s="409"/>
      <c r="D467" s="410"/>
      <c r="E467" s="203"/>
      <c r="F467" s="396" t="s">
        <v>168</v>
      </c>
      <c r="G467" s="427"/>
      <c r="H467" s="428" t="s">
        <v>122</v>
      </c>
      <c r="I467" s="210">
        <f ca="1">IFERROR(__xludf.DUMMYFUNCTION("IMPORTRANGE(""https://docs.google.com/spreadsheets/d/1IYY_tgx_IHuhSq3AJ5eI5OnqOPBNLWSHKh2a30DoXe8/edit?usp=sharing"",""กระบี่!I362"")"),0)</f>
        <v>0</v>
      </c>
      <c r="J467" s="196">
        <f ca="1">IFERROR(__xludf.DUMMYFUNCTION("IMPORTRANGE(""https://docs.google.com/spreadsheets/d/1IYY_tgx_IHuhSq3AJ5eI5OnqOPBNLWSHKh2a30DoXe8/edit?usp=sharing"",""กระบี่!J362"")"),59587)</f>
        <v>59587</v>
      </c>
      <c r="K467" s="169">
        <f t="shared" ca="1" si="117"/>
        <v>0</v>
      </c>
      <c r="L467" s="189"/>
      <c r="M467" s="189"/>
      <c r="N467" s="189"/>
      <c r="O467" s="189"/>
      <c r="P467" s="189"/>
    </row>
    <row r="468" spans="1:16" ht="21.75" customHeight="1" x14ac:dyDescent="0.35">
      <c r="A468" s="408"/>
      <c r="B468" s="409"/>
      <c r="C468" s="409"/>
      <c r="D468" s="410"/>
      <c r="E468" s="203"/>
      <c r="F468" s="203"/>
      <c r="G468" s="427"/>
      <c r="H468" s="428" t="s">
        <v>36</v>
      </c>
      <c r="I468" s="210">
        <f ca="1">IFERROR(__xludf.DUMMYFUNCTION("IMPORTRANGE(""https://docs.google.com/spreadsheets/d/1IYY_tgx_IHuhSq3AJ5eI5OnqOPBNLWSHKh2a30DoXe8/edit?usp=sharing"",""กระบี่!I363"")"),0)</f>
        <v>0</v>
      </c>
      <c r="J468" s="196">
        <f ca="1">IFERROR(__xludf.DUMMYFUNCTION("IMPORTRANGE(""https://docs.google.com/spreadsheets/d/1IYY_tgx_IHuhSq3AJ5eI5OnqOPBNLWSHKh2a30DoXe8/edit?usp=sharing"",""กระบี่!J363"")"),3636)</f>
        <v>3636</v>
      </c>
      <c r="K468" s="169">
        <f t="shared" ca="1" si="117"/>
        <v>0</v>
      </c>
      <c r="L468" s="189"/>
      <c r="M468" s="189"/>
      <c r="N468" s="189"/>
      <c r="O468" s="189"/>
      <c r="P468" s="189"/>
    </row>
    <row r="469" spans="1:16" ht="21.75" customHeight="1" x14ac:dyDescent="0.35">
      <c r="A469" s="408"/>
      <c r="B469" s="409"/>
      <c r="C469" s="409"/>
      <c r="D469" s="410"/>
      <c r="E469" s="203"/>
      <c r="F469" s="396" t="s">
        <v>169</v>
      </c>
      <c r="G469" s="427"/>
      <c r="H469" s="428" t="s">
        <v>122</v>
      </c>
      <c r="I469" s="210">
        <f ca="1">IFERROR(__xludf.DUMMYFUNCTION("IMPORTRANGE(""https://docs.google.com/spreadsheets/d/1IYY_tgx_IHuhSq3AJ5eI5OnqOPBNLWSHKh2a30DoXe8/edit?usp=sharing"",""กระบี่!I364"")"),0)</f>
        <v>0</v>
      </c>
      <c r="J469" s="196">
        <f ca="1">IFERROR(__xludf.DUMMYFUNCTION("IMPORTRANGE(""https://docs.google.com/spreadsheets/d/1IYY_tgx_IHuhSq3AJ5eI5OnqOPBNLWSHKh2a30DoXe8/edit?usp=sharing"",""กระบี่!J364"")"),6323)</f>
        <v>6323</v>
      </c>
      <c r="K469" s="169">
        <f t="shared" ca="1" si="117"/>
        <v>0</v>
      </c>
      <c r="L469" s="189"/>
      <c r="M469" s="189"/>
      <c r="N469" s="189"/>
      <c r="O469" s="189"/>
      <c r="P469" s="189"/>
    </row>
    <row r="470" spans="1:16" ht="21.75" customHeight="1" x14ac:dyDescent="0.35">
      <c r="A470" s="408"/>
      <c r="B470" s="409"/>
      <c r="C470" s="409"/>
      <c r="D470" s="410"/>
      <c r="E470" s="203"/>
      <c r="F470" s="203"/>
      <c r="G470" s="427"/>
      <c r="H470" s="428" t="s">
        <v>36</v>
      </c>
      <c r="I470" s="210">
        <f ca="1">IFERROR(__xludf.DUMMYFUNCTION("IMPORTRANGE(""https://docs.google.com/spreadsheets/d/1IYY_tgx_IHuhSq3AJ5eI5OnqOPBNLWSHKh2a30DoXe8/edit?usp=sharing"",""กระบี่!I365"")"),0)</f>
        <v>0</v>
      </c>
      <c r="J470" s="196">
        <f ca="1">IFERROR(__xludf.DUMMYFUNCTION("IMPORTRANGE(""https://docs.google.com/spreadsheets/d/1IYY_tgx_IHuhSq3AJ5eI5OnqOPBNLWSHKh2a30DoXe8/edit?usp=sharing"",""กระบี่!J365"")"),382)</f>
        <v>382</v>
      </c>
      <c r="K470" s="169">
        <f t="shared" ca="1" si="117"/>
        <v>0</v>
      </c>
      <c r="L470" s="189"/>
      <c r="M470" s="189"/>
      <c r="N470" s="189"/>
      <c r="O470" s="189"/>
      <c r="P470" s="189"/>
    </row>
    <row r="471" spans="1:16" ht="21.75" customHeight="1" x14ac:dyDescent="0.35">
      <c r="A471" s="408"/>
      <c r="B471" s="409"/>
      <c r="C471" s="409"/>
      <c r="D471" s="410"/>
      <c r="E471" s="203"/>
      <c r="F471" s="396" t="s">
        <v>170</v>
      </c>
      <c r="G471" s="427"/>
      <c r="H471" s="428" t="s">
        <v>122</v>
      </c>
      <c r="I471" s="210">
        <f ca="1">IFERROR(__xludf.DUMMYFUNCTION("IMPORTRANGE(""https://docs.google.com/spreadsheets/d/1IYY_tgx_IHuhSq3AJ5eI5OnqOPBNLWSHKh2a30DoXe8/edit?usp=sharing"",""กระบี่!I366"")"),0)</f>
        <v>0</v>
      </c>
      <c r="J471" s="196">
        <f ca="1">IFERROR(__xludf.DUMMYFUNCTION("IMPORTRANGE(""https://docs.google.com/spreadsheets/d/1IYY_tgx_IHuhSq3AJ5eI5OnqOPBNLWSHKh2a30DoXe8/edit?usp=sharing"",""กระบี่!J366"")"),471)</f>
        <v>471</v>
      </c>
      <c r="K471" s="169">
        <f t="shared" ca="1" si="117"/>
        <v>0</v>
      </c>
      <c r="L471" s="189"/>
      <c r="M471" s="189"/>
      <c r="N471" s="189"/>
      <c r="O471" s="189"/>
      <c r="P471" s="189"/>
    </row>
    <row r="472" spans="1:16" ht="21.75" customHeight="1" x14ac:dyDescent="0.35">
      <c r="A472" s="408"/>
      <c r="B472" s="409"/>
      <c r="C472" s="409"/>
      <c r="D472" s="410"/>
      <c r="E472" s="203"/>
      <c r="F472" s="203"/>
      <c r="G472" s="203"/>
      <c r="H472" s="428" t="s">
        <v>36</v>
      </c>
      <c r="I472" s="210">
        <f ca="1">IFERROR(__xludf.DUMMYFUNCTION("IMPORTRANGE(""https://docs.google.com/spreadsheets/d/1IYY_tgx_IHuhSq3AJ5eI5OnqOPBNLWSHKh2a30DoXe8/edit?usp=sharing"",""กระบี่!I367"")"),0)</f>
        <v>0</v>
      </c>
      <c r="J472" s="196">
        <f ca="1">IFERROR(__xludf.DUMMYFUNCTION("IMPORTRANGE(""https://docs.google.com/spreadsheets/d/1IYY_tgx_IHuhSq3AJ5eI5OnqOPBNLWSHKh2a30DoXe8/edit?usp=sharing"",""กระบี่!J367"")"),33)</f>
        <v>33</v>
      </c>
      <c r="K472" s="169">
        <f t="shared" ca="1" si="117"/>
        <v>0</v>
      </c>
      <c r="L472" s="189"/>
      <c r="M472" s="189"/>
      <c r="N472" s="189"/>
      <c r="O472" s="189"/>
      <c r="P472" s="189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3"/>
      <c r="G473" s="204"/>
      <c r="H473" s="424" t="s">
        <v>122</v>
      </c>
      <c r="I473" s="426">
        <f ca="1">IFERROR(__xludf.DUMMYFUNCTION("IMPORTRANGE(""https://docs.google.com/spreadsheets/d/1IYY_tgx_IHuhSq3AJ5eI5OnqOPBNLWSHKh2a30DoXe8/edit?usp=sharing"",""กระบี่!I368"")"),66369)</f>
        <v>66369</v>
      </c>
      <c r="J473" s="426">
        <f ca="1">IFERROR(__xludf.DUMMYFUNCTION("IMPORTRANGE(""https://docs.google.com/spreadsheets/d/1IYY_tgx_IHuhSq3AJ5eI5OnqOPBNLWSHKh2a30DoXe8/edit?usp=sharing"",""กระบี่!J368"")"),0)</f>
        <v>0</v>
      </c>
      <c r="K473" s="209">
        <f t="shared" ca="1" si="117"/>
        <v>0</v>
      </c>
      <c r="L473" s="189"/>
      <c r="M473" s="189"/>
      <c r="N473" s="189"/>
      <c r="O473" s="189"/>
      <c r="P473" s="189"/>
    </row>
    <row r="474" spans="1:16" ht="21.75" customHeight="1" x14ac:dyDescent="0.35">
      <c r="A474" s="408"/>
      <c r="B474" s="409"/>
      <c r="C474" s="409"/>
      <c r="D474" s="410"/>
      <c r="E474" s="203"/>
      <c r="F474" s="203"/>
      <c r="G474" s="204"/>
      <c r="H474" s="424" t="s">
        <v>36</v>
      </c>
      <c r="I474" s="425">
        <f ca="1">IFERROR(__xludf.DUMMYFUNCTION("IMPORTRANGE(""https://docs.google.com/spreadsheets/d/1IYY_tgx_IHuhSq3AJ5eI5OnqOPBNLWSHKh2a30DoXe8/edit?usp=sharing"",""กระบี่!I369"")"),4051)</f>
        <v>4051</v>
      </c>
      <c r="J474" s="426">
        <f ca="1">IFERROR(__xludf.DUMMYFUNCTION("IMPORTRANGE(""https://docs.google.com/spreadsheets/d/1IYY_tgx_IHuhSq3AJ5eI5OnqOPBNLWSHKh2a30DoXe8/edit?usp=sharing"",""กระบี่!J369"")"),0)</f>
        <v>0</v>
      </c>
      <c r="K474" s="169">
        <f t="shared" ca="1" si="117"/>
        <v>0</v>
      </c>
      <c r="L474" s="189"/>
      <c r="M474" s="189"/>
      <c r="N474" s="189"/>
      <c r="O474" s="189"/>
      <c r="P474" s="189"/>
    </row>
    <row r="475" spans="1:16" ht="21.75" customHeight="1" x14ac:dyDescent="0.35">
      <c r="A475" s="408"/>
      <c r="B475" s="409"/>
      <c r="C475" s="409"/>
      <c r="D475" s="410"/>
      <c r="E475" s="203"/>
      <c r="F475" s="202" t="s">
        <v>172</v>
      </c>
      <c r="G475" s="427"/>
      <c r="H475" s="428" t="s">
        <v>122</v>
      </c>
      <c r="I475" s="210">
        <f ca="1">IFERROR(__xludf.DUMMYFUNCTION("IMPORTRANGE(""https://docs.google.com/spreadsheets/d/1IYY_tgx_IHuhSq3AJ5eI5OnqOPBNLWSHKh2a30DoXe8/edit?usp=sharing"",""กระบี่!I370"")"),0)</f>
        <v>0</v>
      </c>
      <c r="J475" s="196">
        <f ca="1">IFERROR(__xludf.DUMMYFUNCTION("IMPORTRANGE(""https://docs.google.com/spreadsheets/d/1IYY_tgx_IHuhSq3AJ5eI5OnqOPBNLWSHKh2a30DoXe8/edit?usp=sharing"",""กระบี่!J370"")"),0)</f>
        <v>0</v>
      </c>
      <c r="K475" s="169">
        <f t="shared" ca="1" si="117"/>
        <v>0</v>
      </c>
      <c r="L475" s="189"/>
      <c r="M475" s="189"/>
      <c r="N475" s="189"/>
      <c r="O475" s="189"/>
      <c r="P475" s="189"/>
    </row>
    <row r="476" spans="1:16" ht="21.75" customHeight="1" x14ac:dyDescent="0.35">
      <c r="A476" s="408"/>
      <c r="B476" s="409"/>
      <c r="C476" s="409"/>
      <c r="D476" s="410"/>
      <c r="E476" s="203"/>
      <c r="F476" s="203"/>
      <c r="G476" s="427"/>
      <c r="H476" s="428" t="s">
        <v>36</v>
      </c>
      <c r="I476" s="210">
        <f ca="1">IFERROR(__xludf.DUMMYFUNCTION("IMPORTRANGE(""https://docs.google.com/spreadsheets/d/1IYY_tgx_IHuhSq3AJ5eI5OnqOPBNLWSHKh2a30DoXe8/edit?usp=sharing"",""กระบี่!I371"")"),0)</f>
        <v>0</v>
      </c>
      <c r="J476" s="196">
        <f ca="1">IFERROR(__xludf.DUMMYFUNCTION("IMPORTRANGE(""https://docs.google.com/spreadsheets/d/1IYY_tgx_IHuhSq3AJ5eI5OnqOPBNLWSHKh2a30DoXe8/edit?usp=sharing"",""กระบี่!J371"")"),0)</f>
        <v>0</v>
      </c>
      <c r="K476" s="169">
        <f t="shared" ca="1" si="117"/>
        <v>0</v>
      </c>
      <c r="L476" s="189"/>
      <c r="M476" s="189"/>
      <c r="N476" s="189"/>
      <c r="O476" s="189"/>
      <c r="P476" s="189"/>
    </row>
    <row r="477" spans="1:16" ht="21.75" customHeight="1" x14ac:dyDescent="0.35">
      <c r="A477" s="408"/>
      <c r="B477" s="409"/>
      <c r="C477" s="409"/>
      <c r="D477" s="410"/>
      <c r="E477" s="203"/>
      <c r="F477" s="202" t="s">
        <v>173</v>
      </c>
      <c r="G477" s="427"/>
      <c r="H477" s="428" t="s">
        <v>122</v>
      </c>
      <c r="I477" s="210">
        <f ca="1">IFERROR(__xludf.DUMMYFUNCTION("IMPORTRANGE(""https://docs.google.com/spreadsheets/d/1IYY_tgx_IHuhSq3AJ5eI5OnqOPBNLWSHKh2a30DoXe8/edit?usp=sharing"",""กระบี่!I372"")"),0)</f>
        <v>0</v>
      </c>
      <c r="J477" s="196">
        <f ca="1">IFERROR(__xludf.DUMMYFUNCTION("IMPORTRANGE(""https://docs.google.com/spreadsheets/d/1IYY_tgx_IHuhSq3AJ5eI5OnqOPBNLWSHKh2a30DoXe8/edit?usp=sharing"",""กระบี่!J372"")"),0)</f>
        <v>0</v>
      </c>
      <c r="K477" s="169">
        <f t="shared" ca="1" si="117"/>
        <v>0</v>
      </c>
      <c r="L477" s="189"/>
      <c r="M477" s="189"/>
      <c r="N477" s="189"/>
      <c r="O477" s="189"/>
      <c r="P477" s="189"/>
    </row>
    <row r="478" spans="1:16" ht="21.75" customHeight="1" x14ac:dyDescent="0.35">
      <c r="A478" s="408"/>
      <c r="B478" s="409"/>
      <c r="C478" s="409"/>
      <c r="D478" s="410"/>
      <c r="E478" s="203"/>
      <c r="F478" s="203"/>
      <c r="G478" s="427"/>
      <c r="H478" s="428" t="s">
        <v>36</v>
      </c>
      <c r="I478" s="210">
        <f ca="1">IFERROR(__xludf.DUMMYFUNCTION("IMPORTRANGE(""https://docs.google.com/spreadsheets/d/1IYY_tgx_IHuhSq3AJ5eI5OnqOPBNLWSHKh2a30DoXe8/edit?usp=sharing"",""กระบี่!I373"")"),0)</f>
        <v>0</v>
      </c>
      <c r="J478" s="196">
        <f ca="1">IFERROR(__xludf.DUMMYFUNCTION("IMPORTRANGE(""https://docs.google.com/spreadsheets/d/1IYY_tgx_IHuhSq3AJ5eI5OnqOPBNLWSHKh2a30DoXe8/edit?usp=sharing"",""กระบี่!J373"")"),0)</f>
        <v>0</v>
      </c>
      <c r="K478" s="169">
        <f t="shared" ca="1" si="117"/>
        <v>0</v>
      </c>
      <c r="L478" s="189"/>
      <c r="M478" s="189"/>
      <c r="N478" s="189"/>
      <c r="O478" s="189"/>
      <c r="P478" s="189"/>
    </row>
    <row r="479" spans="1:16" ht="21.75" customHeight="1" x14ac:dyDescent="0.35">
      <c r="A479" s="408"/>
      <c r="B479" s="409"/>
      <c r="C479" s="409"/>
      <c r="D479" s="410"/>
      <c r="E479" s="203"/>
      <c r="F479" s="202" t="s">
        <v>174</v>
      </c>
      <c r="G479" s="427"/>
      <c r="H479" s="428" t="s">
        <v>122</v>
      </c>
      <c r="I479" s="210">
        <f ca="1">IFERROR(__xludf.DUMMYFUNCTION("IMPORTRANGE(""https://docs.google.com/spreadsheets/d/1IYY_tgx_IHuhSq3AJ5eI5OnqOPBNLWSHKh2a30DoXe8/edit?usp=sharing"",""กระบี่!I374"")"),0)</f>
        <v>0</v>
      </c>
      <c r="J479" s="196">
        <f ca="1">IFERROR(__xludf.DUMMYFUNCTION("IMPORTRANGE(""https://docs.google.com/spreadsheets/d/1IYY_tgx_IHuhSq3AJ5eI5OnqOPBNLWSHKh2a30DoXe8/edit?usp=sharing"",""กระบี่!J374"")"),0)</f>
        <v>0</v>
      </c>
      <c r="K479" s="169">
        <f t="shared" ca="1" si="117"/>
        <v>0</v>
      </c>
      <c r="L479" s="189"/>
      <c r="M479" s="189"/>
      <c r="N479" s="189"/>
      <c r="O479" s="189"/>
      <c r="P479" s="189"/>
    </row>
    <row r="480" spans="1:16" ht="21.75" customHeight="1" x14ac:dyDescent="0.35">
      <c r="A480" s="408"/>
      <c r="B480" s="409"/>
      <c r="C480" s="409"/>
      <c r="D480" s="410"/>
      <c r="E480" s="203"/>
      <c r="F480" s="203"/>
      <c r="G480" s="204"/>
      <c r="H480" s="428" t="s">
        <v>36</v>
      </c>
      <c r="I480" s="210">
        <f ca="1">IFERROR(__xludf.DUMMYFUNCTION("IMPORTRANGE(""https://docs.google.com/spreadsheets/d/1IYY_tgx_IHuhSq3AJ5eI5OnqOPBNLWSHKh2a30DoXe8/edit?usp=sharing"",""กระบี่!I375"")"),0)</f>
        <v>0</v>
      </c>
      <c r="J480" s="196">
        <f ca="1">IFERROR(__xludf.DUMMYFUNCTION("IMPORTRANGE(""https://docs.google.com/spreadsheets/d/1IYY_tgx_IHuhSq3AJ5eI5OnqOPBNLWSHKh2a30DoXe8/edit?usp=sharing"",""กระบี่!J375"")"),0)</f>
        <v>0</v>
      </c>
      <c r="K480" s="169">
        <f t="shared" ca="1" si="117"/>
        <v>0</v>
      </c>
      <c r="L480" s="189"/>
      <c r="M480" s="189"/>
      <c r="N480" s="189"/>
      <c r="O480" s="189"/>
      <c r="P480" s="189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IFERROR(__xludf.DUMMYFUNCTION("IMPORTRANGE(""https://docs.google.com/spreadsheets/d/1IYY_tgx_IHuhSq3AJ5eI5OnqOPBNLWSHKh2a30DoXe8/edit?usp=sharing"",""กระบี่!I376"")"),66369)</f>
        <v>66369</v>
      </c>
      <c r="J481" s="426">
        <f ca="1">IFERROR(__xludf.DUMMYFUNCTION("IMPORTRANGE(""https://docs.google.com/spreadsheets/d/1IYY_tgx_IHuhSq3AJ5eI5OnqOPBNLWSHKh2a30DoXe8/edit?usp=sharing"",""กระบี่!J376"")"),0)</f>
        <v>0</v>
      </c>
      <c r="K481" s="209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3"/>
      <c r="F482" s="203"/>
      <c r="G482" s="204"/>
      <c r="H482" s="424" t="s">
        <v>36</v>
      </c>
      <c r="I482" s="425">
        <f ca="1">IFERROR(__xludf.DUMMYFUNCTION("IMPORTRANGE(""https://docs.google.com/spreadsheets/d/1IYY_tgx_IHuhSq3AJ5eI5OnqOPBNLWSHKh2a30DoXe8/edit?usp=sharing"",""กระบี่!I377"")"),4051)</f>
        <v>4051</v>
      </c>
      <c r="J482" s="426">
        <f ca="1">IFERROR(__xludf.DUMMYFUNCTION("IMPORTRANGE(""https://docs.google.com/spreadsheets/d/1IYY_tgx_IHuhSq3AJ5eI5OnqOPBNLWSHKh2a30DoXe8/edit?usp=sharing"",""กระบี่!J377"")"),0)</f>
        <v>0</v>
      </c>
      <c r="K482" s="169">
        <f t="shared" ca="1" si="117"/>
        <v>0</v>
      </c>
      <c r="L482" s="189"/>
      <c r="M482" s="189"/>
      <c r="N482" s="189"/>
      <c r="O482" s="189"/>
      <c r="P482" s="189"/>
    </row>
    <row r="483" spans="1:16" ht="21.75" customHeight="1" x14ac:dyDescent="0.35">
      <c r="A483" s="408"/>
      <c r="B483" s="409"/>
      <c r="C483" s="409"/>
      <c r="D483" s="410"/>
      <c r="E483" s="203"/>
      <c r="F483" s="202" t="s">
        <v>176</v>
      </c>
      <c r="G483" s="427"/>
      <c r="H483" s="428" t="s">
        <v>122</v>
      </c>
      <c r="I483" s="210">
        <f ca="1">IFERROR(__xludf.DUMMYFUNCTION("IMPORTRANGE(""https://docs.google.com/spreadsheets/d/1IYY_tgx_IHuhSq3AJ5eI5OnqOPBNLWSHKh2a30DoXe8/edit?usp=sharing"",""กระบี่!I378"")"),0)</f>
        <v>0</v>
      </c>
      <c r="J483" s="196">
        <f ca="1">IFERROR(__xludf.DUMMYFUNCTION("IMPORTRANGE(""https://docs.google.com/spreadsheets/d/1IYY_tgx_IHuhSq3AJ5eI5OnqOPBNLWSHKh2a30DoXe8/edit?usp=sharing"",""กระบี่!J378"")"),0)</f>
        <v>0</v>
      </c>
      <c r="K483" s="169">
        <f t="shared" ca="1" si="117"/>
        <v>0</v>
      </c>
      <c r="L483" s="189"/>
      <c r="M483" s="189"/>
      <c r="N483" s="189"/>
      <c r="O483" s="189"/>
      <c r="P483" s="189"/>
    </row>
    <row r="484" spans="1:16" ht="21.75" customHeight="1" x14ac:dyDescent="0.35">
      <c r="A484" s="408"/>
      <c r="B484" s="409"/>
      <c r="C484" s="409"/>
      <c r="D484" s="410"/>
      <c r="E484" s="203"/>
      <c r="F484" s="203"/>
      <c r="G484" s="427"/>
      <c r="H484" s="428" t="s">
        <v>36</v>
      </c>
      <c r="I484" s="210">
        <f ca="1">IFERROR(__xludf.DUMMYFUNCTION("IMPORTRANGE(""https://docs.google.com/spreadsheets/d/1IYY_tgx_IHuhSq3AJ5eI5OnqOPBNLWSHKh2a30DoXe8/edit?usp=sharing"",""กระบี่!I379"")"),0)</f>
        <v>0</v>
      </c>
      <c r="J484" s="196">
        <f ca="1">IFERROR(__xludf.DUMMYFUNCTION("IMPORTRANGE(""https://docs.google.com/spreadsheets/d/1IYY_tgx_IHuhSq3AJ5eI5OnqOPBNLWSHKh2a30DoXe8/edit?usp=sharing"",""กระบี่!J379"")"),0)</f>
        <v>0</v>
      </c>
      <c r="K484" s="169">
        <f t="shared" ca="1" si="117"/>
        <v>0</v>
      </c>
      <c r="L484" s="189"/>
      <c r="M484" s="189"/>
      <c r="N484" s="189"/>
      <c r="O484" s="189"/>
      <c r="P484" s="189"/>
    </row>
    <row r="485" spans="1:16" ht="21.75" customHeight="1" x14ac:dyDescent="0.35">
      <c r="A485" s="408"/>
      <c r="B485" s="409"/>
      <c r="C485" s="409"/>
      <c r="D485" s="410"/>
      <c r="E485" s="203"/>
      <c r="F485" s="202" t="s">
        <v>177</v>
      </c>
      <c r="G485" s="427"/>
      <c r="H485" s="428" t="s">
        <v>122</v>
      </c>
      <c r="I485" s="210">
        <f ca="1">IFERROR(__xludf.DUMMYFUNCTION("IMPORTRANGE(""https://docs.google.com/spreadsheets/d/1IYY_tgx_IHuhSq3AJ5eI5OnqOPBNLWSHKh2a30DoXe8/edit?usp=sharing"",""กระบี่!I380"")"),0)</f>
        <v>0</v>
      </c>
      <c r="J485" s="196">
        <f ca="1">IFERROR(__xludf.DUMMYFUNCTION("IMPORTRANGE(""https://docs.google.com/spreadsheets/d/1IYY_tgx_IHuhSq3AJ5eI5OnqOPBNLWSHKh2a30DoXe8/edit?usp=sharing"",""กระบี่!J380"")"),0)</f>
        <v>0</v>
      </c>
      <c r="K485" s="169">
        <f t="shared" ca="1" si="117"/>
        <v>0</v>
      </c>
      <c r="L485" s="189"/>
      <c r="M485" s="189"/>
      <c r="N485" s="189"/>
      <c r="O485" s="189"/>
      <c r="P485" s="189"/>
    </row>
    <row r="486" spans="1:16" ht="21.75" customHeight="1" x14ac:dyDescent="0.35">
      <c r="A486" s="408"/>
      <c r="B486" s="409"/>
      <c r="C486" s="409"/>
      <c r="D486" s="410"/>
      <c r="E486" s="203"/>
      <c r="F486" s="203"/>
      <c r="G486" s="427"/>
      <c r="H486" s="428" t="s">
        <v>36</v>
      </c>
      <c r="I486" s="210">
        <f ca="1">IFERROR(__xludf.DUMMYFUNCTION("IMPORTRANGE(""https://docs.google.com/spreadsheets/d/1IYY_tgx_IHuhSq3AJ5eI5OnqOPBNLWSHKh2a30DoXe8/edit?usp=sharing"",""กระบี่!I381"")"),0)</f>
        <v>0</v>
      </c>
      <c r="J486" s="196">
        <f ca="1">IFERROR(__xludf.DUMMYFUNCTION("IMPORTRANGE(""https://docs.google.com/spreadsheets/d/1IYY_tgx_IHuhSq3AJ5eI5OnqOPBNLWSHKh2a30DoXe8/edit?usp=sharing"",""กระบี่!J381"")"),0)</f>
        <v>0</v>
      </c>
      <c r="K486" s="169">
        <f t="shared" ca="1" si="117"/>
        <v>0</v>
      </c>
      <c r="L486" s="189"/>
      <c r="M486" s="189"/>
      <c r="N486" s="189"/>
      <c r="O486" s="189"/>
      <c r="P486" s="189"/>
    </row>
    <row r="487" spans="1:16" ht="21.75" customHeight="1" x14ac:dyDescent="0.35">
      <c r="A487" s="408"/>
      <c r="B487" s="409"/>
      <c r="C487" s="409"/>
      <c r="D487" s="410"/>
      <c r="E487" s="203"/>
      <c r="F487" s="202" t="s">
        <v>178</v>
      </c>
      <c r="G487" s="427"/>
      <c r="H487" s="428" t="s">
        <v>122</v>
      </c>
      <c r="I487" s="210">
        <f ca="1">IFERROR(__xludf.DUMMYFUNCTION("IMPORTRANGE(""https://docs.google.com/spreadsheets/d/1IYY_tgx_IHuhSq3AJ5eI5OnqOPBNLWSHKh2a30DoXe8/edit?usp=sharing"",""กระบี่!I382"")"),0)</f>
        <v>0</v>
      </c>
      <c r="J487" s="426">
        <f ca="1">IFERROR(__xludf.DUMMYFUNCTION("IMPORTRANGE(""https://docs.google.com/spreadsheets/d/1IYY_tgx_IHuhSq3AJ5eI5OnqOPBNLWSHKh2a30DoXe8/edit?usp=sharing"",""กระบี่!J382"")"),0)</f>
        <v>0</v>
      </c>
      <c r="K487" s="169">
        <f t="shared" ca="1" si="117"/>
        <v>0</v>
      </c>
      <c r="L487" s="189"/>
      <c r="M487" s="189"/>
      <c r="N487" s="189"/>
      <c r="O487" s="189"/>
      <c r="P487" s="189"/>
    </row>
    <row r="488" spans="1:16" ht="21.75" customHeight="1" x14ac:dyDescent="0.35">
      <c r="A488" s="408"/>
      <c r="B488" s="409"/>
      <c r="C488" s="409"/>
      <c r="D488" s="410"/>
      <c r="E488" s="203"/>
      <c r="F488" s="203"/>
      <c r="G488" s="203"/>
      <c r="H488" s="428" t="s">
        <v>36</v>
      </c>
      <c r="I488" s="210">
        <f ca="1">IFERROR(__xludf.DUMMYFUNCTION("IMPORTRANGE(""https://docs.google.com/spreadsheets/d/1IYY_tgx_IHuhSq3AJ5eI5OnqOPBNLWSHKh2a30DoXe8/edit?usp=sharing"",""กระบี่!I383"")"),0)</f>
        <v>0</v>
      </c>
      <c r="J488" s="426">
        <f ca="1">IFERROR(__xludf.DUMMYFUNCTION("IMPORTRANGE(""https://docs.google.com/spreadsheets/d/1IYY_tgx_IHuhSq3AJ5eI5OnqOPBNLWSHKh2a30DoXe8/edit?usp=sharing"",""กระบี่!J383"")"),0)</f>
        <v>0</v>
      </c>
      <c r="K488" s="169">
        <f t="shared" ca="1" si="117"/>
        <v>0</v>
      </c>
      <c r="L488" s="189"/>
      <c r="M488" s="189"/>
      <c r="N488" s="189"/>
      <c r="O488" s="189"/>
      <c r="P488" s="189"/>
    </row>
    <row r="489" spans="1:16" ht="21.75" customHeight="1" x14ac:dyDescent="0.35">
      <c r="A489" s="408"/>
      <c r="B489" s="409"/>
      <c r="C489" s="409"/>
      <c r="D489" s="410"/>
      <c r="E489" s="203"/>
      <c r="F489" s="203"/>
      <c r="G489" s="202" t="s">
        <v>179</v>
      </c>
      <c r="H489" s="428" t="s">
        <v>122</v>
      </c>
      <c r="I489" s="210">
        <f ca="1">IFERROR(__xludf.DUMMYFUNCTION("IMPORTRANGE(""https://docs.google.com/spreadsheets/d/1IYY_tgx_IHuhSq3AJ5eI5OnqOPBNLWSHKh2a30DoXe8/edit?usp=sharing"",""กระบี่!I384"")"),0)</f>
        <v>0</v>
      </c>
      <c r="J489" s="196">
        <f ca="1">IFERROR(__xludf.DUMMYFUNCTION("IMPORTRANGE(""https://docs.google.com/spreadsheets/d/1IYY_tgx_IHuhSq3AJ5eI5OnqOPBNLWSHKh2a30DoXe8/edit?usp=sharing"",""กระบี่!J384"")"),0)</f>
        <v>0</v>
      </c>
      <c r="K489" s="169">
        <f t="shared" ca="1" si="117"/>
        <v>0</v>
      </c>
      <c r="L489" s="189"/>
      <c r="M489" s="189"/>
      <c r="N489" s="189"/>
      <c r="O489" s="189"/>
      <c r="P489" s="189"/>
    </row>
    <row r="490" spans="1:16" ht="21.75" customHeight="1" x14ac:dyDescent="0.35">
      <c r="A490" s="408"/>
      <c r="B490" s="409"/>
      <c r="C490" s="409"/>
      <c r="D490" s="410"/>
      <c r="E490" s="203"/>
      <c r="F490" s="203"/>
      <c r="G490" s="203"/>
      <c r="H490" s="428" t="s">
        <v>36</v>
      </c>
      <c r="I490" s="210">
        <f ca="1">IFERROR(__xludf.DUMMYFUNCTION("IMPORTRANGE(""https://docs.google.com/spreadsheets/d/1IYY_tgx_IHuhSq3AJ5eI5OnqOPBNLWSHKh2a30DoXe8/edit?usp=sharing"",""กระบี่!I385"")"),0)</f>
        <v>0</v>
      </c>
      <c r="J490" s="196">
        <f ca="1">IFERROR(__xludf.DUMMYFUNCTION("IMPORTRANGE(""https://docs.google.com/spreadsheets/d/1IYY_tgx_IHuhSq3AJ5eI5OnqOPBNLWSHKh2a30DoXe8/edit?usp=sharing"",""กระบี่!J385"")"),0)</f>
        <v>0</v>
      </c>
      <c r="K490" s="169">
        <f t="shared" ca="1" si="117"/>
        <v>0</v>
      </c>
      <c r="L490" s="189"/>
      <c r="M490" s="189"/>
      <c r="N490" s="189"/>
      <c r="O490" s="189"/>
      <c r="P490" s="189"/>
    </row>
    <row r="491" spans="1:16" ht="21.75" customHeight="1" x14ac:dyDescent="0.35">
      <c r="A491" s="408"/>
      <c r="B491" s="409"/>
      <c r="C491" s="409"/>
      <c r="D491" s="410"/>
      <c r="E491" s="203"/>
      <c r="F491" s="203"/>
      <c r="G491" s="202" t="s">
        <v>180</v>
      </c>
      <c r="H491" s="428" t="s">
        <v>122</v>
      </c>
      <c r="I491" s="210">
        <f ca="1">IFERROR(__xludf.DUMMYFUNCTION("IMPORTRANGE(""https://docs.google.com/spreadsheets/d/1IYY_tgx_IHuhSq3AJ5eI5OnqOPBNLWSHKh2a30DoXe8/edit?usp=sharing"",""กระบี่!I386"")"),0)</f>
        <v>0</v>
      </c>
      <c r="J491" s="196">
        <f ca="1">IFERROR(__xludf.DUMMYFUNCTION("IMPORTRANGE(""https://docs.google.com/spreadsheets/d/1IYY_tgx_IHuhSq3AJ5eI5OnqOPBNLWSHKh2a30DoXe8/edit?usp=sharing"",""กระบี่!J386"")"),0)</f>
        <v>0</v>
      </c>
      <c r="K491" s="169">
        <f t="shared" ca="1" si="117"/>
        <v>0</v>
      </c>
      <c r="L491" s="189"/>
      <c r="M491" s="189"/>
      <c r="N491" s="189"/>
      <c r="O491" s="189"/>
      <c r="P491" s="189"/>
    </row>
    <row r="492" spans="1:16" ht="21.75" customHeight="1" x14ac:dyDescent="0.35">
      <c r="A492" s="408"/>
      <c r="B492" s="409"/>
      <c r="C492" s="409"/>
      <c r="D492" s="410"/>
      <c r="E492" s="203"/>
      <c r="F492" s="203"/>
      <c r="G492" s="204"/>
      <c r="H492" s="428" t="s">
        <v>36</v>
      </c>
      <c r="I492" s="210">
        <f ca="1">IFERROR(__xludf.DUMMYFUNCTION("IMPORTRANGE(""https://docs.google.com/spreadsheets/d/1IYY_tgx_IHuhSq3AJ5eI5OnqOPBNLWSHKh2a30DoXe8/edit?usp=sharing"",""กระบี่!I387"")"),0)</f>
        <v>0</v>
      </c>
      <c r="J492" s="196">
        <f ca="1">IFERROR(__xludf.DUMMYFUNCTION("IMPORTRANGE(""https://docs.google.com/spreadsheets/d/1IYY_tgx_IHuhSq3AJ5eI5OnqOPBNLWSHKh2a30DoXe8/edit?usp=sharing"",""กระบี่!J387"")"),0)</f>
        <v>0</v>
      </c>
      <c r="K492" s="169">
        <f t="shared" ca="1" si="117"/>
        <v>0</v>
      </c>
      <c r="L492" s="189"/>
      <c r="M492" s="189"/>
      <c r="N492" s="189"/>
      <c r="O492" s="189"/>
      <c r="P492" s="189"/>
    </row>
    <row r="493" spans="1:16" ht="21.75" customHeight="1" x14ac:dyDescent="0.35">
      <c r="A493" s="408"/>
      <c r="B493" s="409"/>
      <c r="C493" s="409"/>
      <c r="D493" s="410"/>
      <c r="E493" s="203"/>
      <c r="F493" s="202" t="s">
        <v>181</v>
      </c>
      <c r="G493" s="427"/>
      <c r="H493" s="428" t="s">
        <v>122</v>
      </c>
      <c r="I493" s="210">
        <f ca="1">IFERROR(__xludf.DUMMYFUNCTION("IMPORTRANGE(""https://docs.google.com/spreadsheets/d/1IYY_tgx_IHuhSq3AJ5eI5OnqOPBNLWSHKh2a30DoXe8/edit?usp=sharing"",""กระบี่!I388"")"),0)</f>
        <v>0</v>
      </c>
      <c r="J493" s="196">
        <f ca="1">IFERROR(__xludf.DUMMYFUNCTION("IMPORTRANGE(""https://docs.google.com/spreadsheets/d/1IYY_tgx_IHuhSq3AJ5eI5OnqOPBNLWSHKh2a30DoXe8/edit?usp=sharing"",""กระบี่!J388"")"),0)</f>
        <v>0</v>
      </c>
      <c r="K493" s="169">
        <f t="shared" ca="1" si="117"/>
        <v>0</v>
      </c>
      <c r="L493" s="189"/>
      <c r="M493" s="189"/>
      <c r="N493" s="189"/>
      <c r="O493" s="189"/>
      <c r="P493" s="189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IFERROR(__xludf.DUMMYFUNCTION("IMPORTRANGE(""https://docs.google.com/spreadsheets/d/1IYY_tgx_IHuhSq3AJ5eI5OnqOPBNLWSHKh2a30DoXe8/edit?usp=sharing"",""กระบี่!I389"")"),0)</f>
        <v>0</v>
      </c>
      <c r="J494" s="442">
        <f ca="1">IFERROR(__xludf.DUMMYFUNCTION("IMPORTRANGE(""https://docs.google.com/spreadsheets/d/1IYY_tgx_IHuhSq3AJ5eI5OnqOPBNLWSHKh2a30DoXe8/edit?usp=sharing"",""กระบี่!J389"")"),0)</f>
        <v>0</v>
      </c>
      <c r="K494" s="294">
        <f t="shared" ca="1" si="117"/>
        <v>0</v>
      </c>
      <c r="L494" s="252"/>
      <c r="M494" s="252"/>
      <c r="N494" s="252"/>
      <c r="O494" s="252"/>
      <c r="P494" s="252"/>
    </row>
    <row r="495" spans="1:16" ht="21.75" customHeight="1" x14ac:dyDescent="0.35">
      <c r="A495" s="408"/>
      <c r="B495" s="409"/>
      <c r="C495" s="409"/>
      <c r="D495" s="410"/>
      <c r="E495" s="203"/>
      <c r="F495" s="203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IFERROR(__xludf.DUMMYFUNCTION("IMPORTRANGE(""https://docs.google.com/spreadsheets/d/1IYY_tgx_IHuhSq3AJ5eI5OnqOPBNLWSHKh2a30DoXe8/edit?usp=sharing"",""กระบี่!I390"")"),0)</f>
        <v>0</v>
      </c>
      <c r="J495" s="442">
        <f ca="1">IFERROR(__xludf.DUMMYFUNCTION("IMPORTRANGE(""https://docs.google.com/spreadsheets/d/1IYY_tgx_IHuhSq3AJ5eI5OnqOPBNLWSHKh2a30DoXe8/edit?usp=sharing"",""กระบี่!J390"")"),0)</f>
        <v>0</v>
      </c>
      <c r="K495" s="169">
        <f t="shared" ca="1" si="117"/>
        <v>0</v>
      </c>
      <c r="L495" s="189"/>
      <c r="M495" s="189"/>
      <c r="N495" s="189"/>
      <c r="O495" s="189"/>
      <c r="P495" s="189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IFERROR(__xludf.DUMMYFUNCTION("IMPORTRANGE(""https://docs.google.com/spreadsheets/d/1IYY_tgx_IHuhSq3AJ5eI5OnqOPBNLWSHKh2a30DoXe8/edit?usp=sharing"",""กระบี่!I391"")"),0)</f>
        <v>0</v>
      </c>
      <c r="J496" s="442">
        <f ca="1">IFERROR(__xludf.DUMMYFUNCTION("IMPORTRANGE(""https://docs.google.com/spreadsheets/d/1IYY_tgx_IHuhSq3AJ5eI5OnqOPBNLWSHKh2a30DoXe8/edit?usp=sharing"",""กระบี่!J391"")"),0)</f>
        <v>0</v>
      </c>
      <c r="K496" s="294">
        <f t="shared" ca="1" si="117"/>
        <v>0</v>
      </c>
      <c r="L496" s="252"/>
      <c r="M496" s="252"/>
      <c r="N496" s="252"/>
      <c r="O496" s="252"/>
      <c r="P496" s="252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IFERROR(__xludf.DUMMYFUNCTION("IMPORTRANGE(""https://docs.google.com/spreadsheets/d/1IYY_tgx_IHuhSq3AJ5eI5OnqOPBNLWSHKh2a30DoXe8/edit?usp=sharing"",""กระบี่!I392"")"),497)</f>
        <v>497</v>
      </c>
      <c r="J497" s="449">
        <f ca="1">IFERROR(__xludf.DUMMYFUNCTION("IMPORTRANGE(""https://docs.google.com/spreadsheets/d/1IYY_tgx_IHuhSq3AJ5eI5OnqOPBNLWSHKh2a30DoXe8/edit?usp=sharing"",""กระบี่!J392"")"),0)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3"/>
      <c r="B498" s="184"/>
      <c r="C498" s="184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IFERROR(__xludf.DUMMYFUNCTION("IMPORTRANGE(""https://docs.google.com/spreadsheets/d/1IYY_tgx_IHuhSq3AJ5eI5OnqOPBNLWSHKh2a30DoXe8/edit?usp=sharing"",""กระบี่!I393"")"),497)</f>
        <v>497</v>
      </c>
      <c r="J498" s="426">
        <f ca="1">IFERROR(__xludf.DUMMYFUNCTION("IMPORTRANGE(""https://docs.google.com/spreadsheets/d/1IYY_tgx_IHuhSq3AJ5eI5OnqOPBNLWSHKh2a30DoXe8/edit?usp=sharing"",""กระบี่!J393"")"),0)</f>
        <v>0</v>
      </c>
      <c r="K498" s="169">
        <f t="shared" ca="1" si="117"/>
        <v>0</v>
      </c>
      <c r="L498" s="189"/>
      <c r="M498" s="189"/>
      <c r="N498" s="189"/>
      <c r="O498" s="189"/>
      <c r="P498" s="189"/>
    </row>
    <row r="499" spans="1:16" ht="21.75" customHeight="1" x14ac:dyDescent="0.35">
      <c r="A499" s="183"/>
      <c r="B499" s="184"/>
      <c r="C499" s="184"/>
      <c r="D499" s="201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IFERROR(__xludf.DUMMYFUNCTION("IMPORTRANGE(""https://docs.google.com/spreadsheets/d/1IYY_tgx_IHuhSq3AJ5eI5OnqOPBNLWSHKh2a30DoXe8/edit?usp=sharing"",""กระบี่!I394"")"),55)</f>
        <v>55</v>
      </c>
      <c r="J499" s="426">
        <f ca="1">IFERROR(__xludf.DUMMYFUNCTION("IMPORTRANGE(""https://docs.google.com/spreadsheets/d/1IYY_tgx_IHuhSq3AJ5eI5OnqOPBNLWSHKh2a30DoXe8/edit?usp=sharing"",""กระบี่!J394"")"),0)</f>
        <v>0</v>
      </c>
      <c r="K499" s="209">
        <f t="shared" ca="1" si="117"/>
        <v>0</v>
      </c>
      <c r="L499" s="189"/>
      <c r="M499" s="189"/>
      <c r="N499" s="189"/>
      <c r="O499" s="189"/>
      <c r="P499" s="189"/>
    </row>
    <row r="500" spans="1:16" ht="21.75" customHeight="1" x14ac:dyDescent="0.35">
      <c r="A500" s="183"/>
      <c r="B500" s="184"/>
      <c r="C500" s="184"/>
      <c r="D500" s="410"/>
      <c r="E500" s="410" t="s">
        <v>185</v>
      </c>
      <c r="F500" s="203"/>
      <c r="G500" s="204"/>
      <c r="H500" s="428" t="s">
        <v>122</v>
      </c>
      <c r="I500" s="210">
        <f ca="1">IFERROR(__xludf.DUMMYFUNCTION("IMPORTRANGE(""https://docs.google.com/spreadsheets/d/1IYY_tgx_IHuhSq3AJ5eI5OnqOPBNLWSHKh2a30DoXe8/edit?usp=sharing"",""กระบี่!I395"")"),0)</f>
        <v>0</v>
      </c>
      <c r="J500" s="168">
        <f ca="1">IFERROR(__xludf.DUMMYFUNCTION("IMPORTRANGE(""https://docs.google.com/spreadsheets/d/1IYY_tgx_IHuhSq3AJ5eI5OnqOPBNLWSHKh2a30DoXe8/edit?usp=sharing"",""กระบี่!J395"")"),0)</f>
        <v>0</v>
      </c>
      <c r="K500" s="169">
        <f t="shared" ca="1" si="117"/>
        <v>0</v>
      </c>
      <c r="L500" s="189"/>
      <c r="M500" s="189"/>
      <c r="N500" s="189"/>
      <c r="O500" s="189"/>
      <c r="P500" s="189"/>
    </row>
    <row r="501" spans="1:16" ht="21.75" customHeight="1" x14ac:dyDescent="0.35">
      <c r="A501" s="183"/>
      <c r="B501" s="184"/>
      <c r="C501" s="184"/>
      <c r="D501" s="201"/>
      <c r="E501" s="203"/>
      <c r="F501" s="203"/>
      <c r="G501" s="204"/>
      <c r="H501" s="428" t="s">
        <v>36</v>
      </c>
      <c r="I501" s="210">
        <f ca="1">IFERROR(__xludf.DUMMYFUNCTION("IMPORTRANGE(""https://docs.google.com/spreadsheets/d/1IYY_tgx_IHuhSq3AJ5eI5OnqOPBNLWSHKh2a30DoXe8/edit?usp=sharing"",""กระบี่!I396"")"),0)</f>
        <v>0</v>
      </c>
      <c r="J501" s="168">
        <f ca="1">IFERROR(__xludf.DUMMYFUNCTION("IMPORTRANGE(""https://docs.google.com/spreadsheets/d/1IYY_tgx_IHuhSq3AJ5eI5OnqOPBNLWSHKh2a30DoXe8/edit?usp=sharing"",""กระบี่!J396"")"),0)</f>
        <v>0</v>
      </c>
      <c r="K501" s="169">
        <f t="shared" ca="1" si="117"/>
        <v>0</v>
      </c>
      <c r="L501" s="189"/>
      <c r="M501" s="189"/>
      <c r="N501" s="189"/>
      <c r="O501" s="189"/>
      <c r="P501" s="189"/>
    </row>
    <row r="502" spans="1:16" ht="21.75" customHeight="1" x14ac:dyDescent="0.35">
      <c r="A502" s="183"/>
      <c r="B502" s="184"/>
      <c r="C502" s="184"/>
      <c r="D502" s="201"/>
      <c r="E502" s="203"/>
      <c r="F502" s="405" t="s">
        <v>186</v>
      </c>
      <c r="G502" s="427"/>
      <c r="H502" s="428" t="s">
        <v>122</v>
      </c>
      <c r="I502" s="210">
        <f ca="1">IFERROR(__xludf.DUMMYFUNCTION("IMPORTRANGE(""https://docs.google.com/spreadsheets/d/1IYY_tgx_IHuhSq3AJ5eI5OnqOPBNLWSHKh2a30DoXe8/edit?usp=sharing"",""กระบี่!I397"")"),0)</f>
        <v>0</v>
      </c>
      <c r="J502" s="196">
        <f ca="1">IFERROR(__xludf.DUMMYFUNCTION("IMPORTRANGE(""https://docs.google.com/spreadsheets/d/1IYY_tgx_IHuhSq3AJ5eI5OnqOPBNLWSHKh2a30DoXe8/edit?usp=sharing"",""กระบี่!J397"")"),0)</f>
        <v>0</v>
      </c>
      <c r="K502" s="169">
        <f t="shared" ca="1" si="117"/>
        <v>0</v>
      </c>
      <c r="L502" s="189"/>
      <c r="M502" s="189"/>
      <c r="N502" s="189"/>
      <c r="O502" s="189"/>
      <c r="P502" s="189"/>
    </row>
    <row r="503" spans="1:16" ht="21.75" customHeight="1" x14ac:dyDescent="0.35">
      <c r="A503" s="183"/>
      <c r="B503" s="184"/>
      <c r="C503" s="184"/>
      <c r="D503" s="201"/>
      <c r="E503" s="203"/>
      <c r="F503" s="203"/>
      <c r="G503" s="427"/>
      <c r="H503" s="428" t="s">
        <v>36</v>
      </c>
      <c r="I503" s="195">
        <f ca="1">IFERROR(__xludf.DUMMYFUNCTION("IMPORTRANGE(""https://docs.google.com/spreadsheets/d/1IYY_tgx_IHuhSq3AJ5eI5OnqOPBNLWSHKh2a30DoXe8/edit?usp=sharing"",""กระบี่!I398"")"),0)</f>
        <v>0</v>
      </c>
      <c r="J503" s="205">
        <f ca="1">IFERROR(__xludf.DUMMYFUNCTION("IMPORTRANGE(""https://docs.google.com/spreadsheets/d/1IYY_tgx_IHuhSq3AJ5eI5OnqOPBNLWSHKh2a30DoXe8/edit?usp=sharing"",""กระบี่!J398"")"),0)</f>
        <v>0</v>
      </c>
      <c r="K503" s="169">
        <f t="shared" ca="1" si="117"/>
        <v>0</v>
      </c>
      <c r="L503" s="189"/>
      <c r="M503" s="189"/>
      <c r="N503" s="189"/>
      <c r="O503" s="189"/>
      <c r="P503" s="189"/>
    </row>
    <row r="504" spans="1:16" ht="21.75" customHeight="1" x14ac:dyDescent="0.35">
      <c r="A504" s="183"/>
      <c r="B504" s="184"/>
      <c r="C504" s="184"/>
      <c r="D504" s="201"/>
      <c r="E504" s="203"/>
      <c r="F504" s="396" t="s">
        <v>187</v>
      </c>
      <c r="G504" s="427"/>
      <c r="H504" s="428" t="s">
        <v>122</v>
      </c>
      <c r="I504" s="211">
        <f ca="1">IFERROR(__xludf.DUMMYFUNCTION("IMPORTRANGE(""https://docs.google.com/spreadsheets/d/1IYY_tgx_IHuhSq3AJ5eI5OnqOPBNLWSHKh2a30DoXe8/edit?usp=sharing"",""กระบี่!I399"")"),0)</f>
        <v>0</v>
      </c>
      <c r="J504" s="196">
        <f ca="1">IFERROR(__xludf.DUMMYFUNCTION("IMPORTRANGE(""https://docs.google.com/spreadsheets/d/1IYY_tgx_IHuhSq3AJ5eI5OnqOPBNLWSHKh2a30DoXe8/edit?usp=sharing"",""กระบี่!J399"")"),0)</f>
        <v>0</v>
      </c>
      <c r="K504" s="169">
        <f t="shared" ca="1" si="117"/>
        <v>0</v>
      </c>
      <c r="L504" s="189"/>
      <c r="M504" s="189"/>
      <c r="N504" s="189"/>
      <c r="O504" s="189"/>
      <c r="P504" s="189"/>
    </row>
    <row r="505" spans="1:16" ht="21.75" customHeight="1" x14ac:dyDescent="0.35">
      <c r="A505" s="183"/>
      <c r="B505" s="184"/>
      <c r="C505" s="184"/>
      <c r="D505" s="201"/>
      <c r="E505" s="203"/>
      <c r="F505" s="203"/>
      <c r="G505" s="427"/>
      <c r="H505" s="428" t="s">
        <v>36</v>
      </c>
      <c r="I505" s="195">
        <f ca="1">IFERROR(__xludf.DUMMYFUNCTION("IMPORTRANGE(""https://docs.google.com/spreadsheets/d/1IYY_tgx_IHuhSq3AJ5eI5OnqOPBNLWSHKh2a30DoXe8/edit?usp=sharing"",""กระบี่!I400"")"),0)</f>
        <v>0</v>
      </c>
      <c r="J505" s="205">
        <f ca="1">IFERROR(__xludf.DUMMYFUNCTION("IMPORTRANGE(""https://docs.google.com/spreadsheets/d/1IYY_tgx_IHuhSq3AJ5eI5OnqOPBNLWSHKh2a30DoXe8/edit?usp=sharing"",""กระบี่!J400"")"),0)</f>
        <v>0</v>
      </c>
      <c r="K505" s="169">
        <f t="shared" ca="1" si="117"/>
        <v>0</v>
      </c>
      <c r="L505" s="189"/>
      <c r="M505" s="189"/>
      <c r="N505" s="189"/>
      <c r="O505" s="189"/>
      <c r="P505" s="189"/>
    </row>
    <row r="506" spans="1:16" ht="21.75" customHeight="1" x14ac:dyDescent="0.35">
      <c r="A506" s="183"/>
      <c r="B506" s="184"/>
      <c r="C506" s="184"/>
      <c r="D506" s="201"/>
      <c r="E506" s="203"/>
      <c r="F506" s="405" t="s">
        <v>188</v>
      </c>
      <c r="G506" s="427"/>
      <c r="H506" s="428" t="s">
        <v>122</v>
      </c>
      <c r="I506" s="211">
        <f ca="1">IFERROR(__xludf.DUMMYFUNCTION("IMPORTRANGE(""https://docs.google.com/spreadsheets/d/1IYY_tgx_IHuhSq3AJ5eI5OnqOPBNLWSHKh2a30DoXe8/edit?usp=sharing"",""กระบี่!I401"")"),0)</f>
        <v>0</v>
      </c>
      <c r="J506" s="196">
        <f ca="1">IFERROR(__xludf.DUMMYFUNCTION("IMPORTRANGE(""https://docs.google.com/spreadsheets/d/1IYY_tgx_IHuhSq3AJ5eI5OnqOPBNLWSHKh2a30DoXe8/edit?usp=sharing"",""กระบี่!J401"")"),0)</f>
        <v>0</v>
      </c>
      <c r="K506" s="169">
        <f t="shared" ca="1" si="117"/>
        <v>0</v>
      </c>
      <c r="L506" s="189"/>
      <c r="M506" s="189"/>
      <c r="N506" s="189"/>
      <c r="O506" s="189"/>
      <c r="P506" s="189"/>
    </row>
    <row r="507" spans="1:16" ht="21.75" customHeight="1" x14ac:dyDescent="0.35">
      <c r="A507" s="183"/>
      <c r="B507" s="184"/>
      <c r="C507" s="184"/>
      <c r="D507" s="201"/>
      <c r="E507" s="203"/>
      <c r="F507" s="203"/>
      <c r="G507" s="203"/>
      <c r="H507" s="428" t="s">
        <v>36</v>
      </c>
      <c r="I507" s="195">
        <f ca="1">IFERROR(__xludf.DUMMYFUNCTION("IMPORTRANGE(""https://docs.google.com/spreadsheets/d/1IYY_tgx_IHuhSq3AJ5eI5OnqOPBNLWSHKh2a30DoXe8/edit?usp=sharing"",""กระบี่!I402"")"),0)</f>
        <v>0</v>
      </c>
      <c r="J507" s="205">
        <f ca="1">IFERROR(__xludf.DUMMYFUNCTION("IMPORTRANGE(""https://docs.google.com/spreadsheets/d/1IYY_tgx_IHuhSq3AJ5eI5OnqOPBNLWSHKh2a30DoXe8/edit?usp=sharing"",""กระบี่!J402"")"),0)</f>
        <v>0</v>
      </c>
      <c r="K507" s="169">
        <f t="shared" ca="1" si="117"/>
        <v>0</v>
      </c>
      <c r="L507" s="189"/>
      <c r="M507" s="189"/>
      <c r="N507" s="189"/>
      <c r="O507" s="189"/>
      <c r="P507" s="189"/>
    </row>
    <row r="508" spans="1:16" ht="21.75" customHeight="1" x14ac:dyDescent="0.35">
      <c r="A508" s="183"/>
      <c r="B508" s="184"/>
      <c r="C508" s="184"/>
      <c r="D508" s="201"/>
      <c r="E508" s="202" t="s">
        <v>189</v>
      </c>
      <c r="F508" s="203"/>
      <c r="G508" s="427"/>
      <c r="H508" s="428" t="s">
        <v>122</v>
      </c>
      <c r="I508" s="195">
        <f ca="1">IFERROR(__xludf.DUMMYFUNCTION("IMPORTRANGE(""https://docs.google.com/spreadsheets/d/1IYY_tgx_IHuhSq3AJ5eI5OnqOPBNLWSHKh2a30DoXe8/edit?usp=sharing"",""กระบี่!I403"")"),0)</f>
        <v>0</v>
      </c>
      <c r="J508" s="168">
        <f ca="1">IFERROR(__xludf.DUMMYFUNCTION("IMPORTRANGE(""https://docs.google.com/spreadsheets/d/1IYY_tgx_IHuhSq3AJ5eI5OnqOPBNLWSHKh2a30DoXe8/edit?usp=sharing"",""กระบี่!J403"")"),0)</f>
        <v>0</v>
      </c>
      <c r="K508" s="169">
        <f t="shared" ca="1" si="117"/>
        <v>0</v>
      </c>
      <c r="L508" s="189"/>
      <c r="M508" s="189"/>
      <c r="N508" s="189"/>
      <c r="O508" s="189"/>
      <c r="P508" s="189"/>
    </row>
    <row r="509" spans="1:16" ht="21.75" customHeight="1" x14ac:dyDescent="0.35">
      <c r="A509" s="183"/>
      <c r="B509" s="184"/>
      <c r="C509" s="184"/>
      <c r="D509" s="201"/>
      <c r="E509" s="203"/>
      <c r="F509" s="203"/>
      <c r="G509" s="203"/>
      <c r="H509" s="428" t="s">
        <v>36</v>
      </c>
      <c r="I509" s="195">
        <f ca="1">IFERROR(__xludf.DUMMYFUNCTION("IMPORTRANGE(""https://docs.google.com/spreadsheets/d/1IYY_tgx_IHuhSq3AJ5eI5OnqOPBNLWSHKh2a30DoXe8/edit?usp=sharing"",""กระบี่!I404"")"),0)</f>
        <v>0</v>
      </c>
      <c r="J509" s="168">
        <f ca="1">IFERROR(__xludf.DUMMYFUNCTION("IMPORTRANGE(""https://docs.google.com/spreadsheets/d/1IYY_tgx_IHuhSq3AJ5eI5OnqOPBNLWSHKh2a30DoXe8/edit?usp=sharing"",""กระบี่!J404"")"),0)</f>
        <v>0</v>
      </c>
      <c r="K509" s="169">
        <f t="shared" ca="1" si="117"/>
        <v>0</v>
      </c>
      <c r="L509" s="189"/>
      <c r="M509" s="189"/>
      <c r="N509" s="189"/>
      <c r="O509" s="189"/>
      <c r="P509" s="189"/>
    </row>
    <row r="510" spans="1:16" ht="21.75" customHeight="1" x14ac:dyDescent="0.35">
      <c r="A510" s="183"/>
      <c r="B510" s="184"/>
      <c r="C510" s="184"/>
      <c r="D510" s="201"/>
      <c r="E510" s="203"/>
      <c r="F510" s="202" t="s">
        <v>190</v>
      </c>
      <c r="G510" s="203"/>
      <c r="H510" s="428" t="s">
        <v>122</v>
      </c>
      <c r="I510" s="195">
        <f ca="1">IFERROR(__xludf.DUMMYFUNCTION("IMPORTRANGE(""https://docs.google.com/spreadsheets/d/1IYY_tgx_IHuhSq3AJ5eI5OnqOPBNLWSHKh2a30DoXe8/edit?usp=sharing"",""กระบี่!I405"")"),0)</f>
        <v>0</v>
      </c>
      <c r="J510" s="205">
        <f ca="1">IFERROR(__xludf.DUMMYFUNCTION("IMPORTRANGE(""https://docs.google.com/spreadsheets/d/1IYY_tgx_IHuhSq3AJ5eI5OnqOPBNLWSHKh2a30DoXe8/edit?usp=sharing"",""กระบี่!J405"")"),0)</f>
        <v>0</v>
      </c>
      <c r="K510" s="169">
        <f t="shared" ca="1" si="117"/>
        <v>0</v>
      </c>
      <c r="L510" s="189"/>
      <c r="M510" s="189"/>
      <c r="N510" s="189"/>
      <c r="O510" s="189"/>
      <c r="P510" s="189"/>
    </row>
    <row r="511" spans="1:16" ht="21.75" customHeight="1" x14ac:dyDescent="0.35">
      <c r="A511" s="183"/>
      <c r="B511" s="184"/>
      <c r="C511" s="184"/>
      <c r="D511" s="201"/>
      <c r="E511" s="203"/>
      <c r="F511" s="203"/>
      <c r="G511" s="203"/>
      <c r="H511" s="428" t="s">
        <v>36</v>
      </c>
      <c r="I511" s="195">
        <f ca="1">IFERROR(__xludf.DUMMYFUNCTION("IMPORTRANGE(""https://docs.google.com/spreadsheets/d/1IYY_tgx_IHuhSq3AJ5eI5OnqOPBNLWSHKh2a30DoXe8/edit?usp=sharing"",""กระบี่!I406"")"),0)</f>
        <v>0</v>
      </c>
      <c r="J511" s="205">
        <f ca="1">IFERROR(__xludf.DUMMYFUNCTION("IMPORTRANGE(""https://docs.google.com/spreadsheets/d/1IYY_tgx_IHuhSq3AJ5eI5OnqOPBNLWSHKh2a30DoXe8/edit?usp=sharing"",""กระบี่!J406"")"),0)</f>
        <v>0</v>
      </c>
      <c r="K511" s="169">
        <f t="shared" ca="1" si="117"/>
        <v>0</v>
      </c>
      <c r="L511" s="189"/>
      <c r="M511" s="189"/>
      <c r="N511" s="189"/>
      <c r="O511" s="189"/>
      <c r="P511" s="189"/>
    </row>
    <row r="512" spans="1:16" ht="21.75" customHeight="1" x14ac:dyDescent="0.35">
      <c r="A512" s="183"/>
      <c r="B512" s="184"/>
      <c r="C512" s="184"/>
      <c r="D512" s="201"/>
      <c r="E512" s="203"/>
      <c r="F512" s="202" t="s">
        <v>191</v>
      </c>
      <c r="G512" s="203"/>
      <c r="H512" s="428" t="s">
        <v>122</v>
      </c>
      <c r="I512" s="195">
        <f ca="1">IFERROR(__xludf.DUMMYFUNCTION("IMPORTRANGE(""https://docs.google.com/spreadsheets/d/1IYY_tgx_IHuhSq3AJ5eI5OnqOPBNLWSHKh2a30DoXe8/edit?usp=sharing"",""กระบี่!I407"")"),0)</f>
        <v>0</v>
      </c>
      <c r="J512" s="205">
        <f ca="1">IFERROR(__xludf.DUMMYFUNCTION("IMPORTRANGE(""https://docs.google.com/spreadsheets/d/1IYY_tgx_IHuhSq3AJ5eI5OnqOPBNLWSHKh2a30DoXe8/edit?usp=sharing"",""กระบี่!J407"")"),0)</f>
        <v>0</v>
      </c>
      <c r="K512" s="169">
        <f t="shared" ca="1" si="117"/>
        <v>0</v>
      </c>
      <c r="L512" s="189"/>
      <c r="M512" s="189"/>
      <c r="N512" s="189"/>
      <c r="O512" s="189"/>
      <c r="P512" s="189"/>
    </row>
    <row r="513" spans="1:16" ht="21.75" customHeight="1" x14ac:dyDescent="0.35">
      <c r="A513" s="183"/>
      <c r="B513" s="184"/>
      <c r="C513" s="184"/>
      <c r="D513" s="201"/>
      <c r="E513" s="203"/>
      <c r="F513" s="203"/>
      <c r="G513" s="204"/>
      <c r="H513" s="428" t="s">
        <v>36</v>
      </c>
      <c r="I513" s="195">
        <f ca="1">IFERROR(__xludf.DUMMYFUNCTION("IMPORTRANGE(""https://docs.google.com/spreadsheets/d/1IYY_tgx_IHuhSq3AJ5eI5OnqOPBNLWSHKh2a30DoXe8/edit?usp=sharing"",""กระบี่!I408"")"),0)</f>
        <v>0</v>
      </c>
      <c r="J513" s="205">
        <f ca="1">IFERROR(__xludf.DUMMYFUNCTION("IMPORTRANGE(""https://docs.google.com/spreadsheets/d/1IYY_tgx_IHuhSq3AJ5eI5OnqOPBNLWSHKh2a30DoXe8/edit?usp=sharing"",""กระบี่!J408"")"),0)</f>
        <v>0</v>
      </c>
      <c r="K513" s="169">
        <f t="shared" ca="1" si="117"/>
        <v>0</v>
      </c>
      <c r="L513" s="189"/>
      <c r="M513" s="189"/>
      <c r="N513" s="189"/>
      <c r="O513" s="189"/>
      <c r="P513" s="189"/>
    </row>
    <row r="514" spans="1:16" ht="21.75" customHeight="1" x14ac:dyDescent="0.35">
      <c r="A514" s="183"/>
      <c r="B514" s="184"/>
      <c r="C514" s="184"/>
      <c r="D514" s="410"/>
      <c r="E514" s="456" t="s">
        <v>192</v>
      </c>
      <c r="F514" s="203"/>
      <c r="G514" s="204"/>
      <c r="H514" s="428" t="s">
        <v>122</v>
      </c>
      <c r="I514" s="195">
        <f ca="1">IFERROR(__xludf.DUMMYFUNCTION("IMPORTRANGE(""https://docs.google.com/spreadsheets/d/1IYY_tgx_IHuhSq3AJ5eI5OnqOPBNLWSHKh2a30DoXe8/edit?usp=sharing"",""กระบี่!I409"")"),0)</f>
        <v>0</v>
      </c>
      <c r="J514" s="205">
        <f ca="1">IFERROR(__xludf.DUMMYFUNCTION("IMPORTRANGE(""https://docs.google.com/spreadsheets/d/1IYY_tgx_IHuhSq3AJ5eI5OnqOPBNLWSHKh2a30DoXe8/edit?usp=sharing"",""กระบี่!J409"")"),0)</f>
        <v>0</v>
      </c>
      <c r="K514" s="169">
        <f t="shared" ca="1" si="117"/>
        <v>0</v>
      </c>
      <c r="L514" s="189"/>
      <c r="M514" s="189"/>
      <c r="N514" s="189"/>
      <c r="O514" s="189"/>
      <c r="P514" s="189"/>
    </row>
    <row r="515" spans="1:16" ht="21.75" customHeight="1" x14ac:dyDescent="0.35">
      <c r="A515" s="183"/>
      <c r="B515" s="184"/>
      <c r="C515" s="184"/>
      <c r="D515" s="201"/>
      <c r="E515" s="203"/>
      <c r="F515" s="203"/>
      <c r="G515" s="204"/>
      <c r="H515" s="428" t="s">
        <v>36</v>
      </c>
      <c r="I515" s="195">
        <f ca="1">IFERROR(__xludf.DUMMYFUNCTION("IMPORTRANGE(""https://docs.google.com/spreadsheets/d/1IYY_tgx_IHuhSq3AJ5eI5OnqOPBNLWSHKh2a30DoXe8/edit?usp=sharing"",""กระบี่!I410"")"),0)</f>
        <v>0</v>
      </c>
      <c r="J515" s="205">
        <f ca="1">IFERROR(__xludf.DUMMYFUNCTION("IMPORTRANGE(""https://docs.google.com/spreadsheets/d/1IYY_tgx_IHuhSq3AJ5eI5OnqOPBNLWSHKh2a30DoXe8/edit?usp=sharing"",""กระบี่!J410"")"),0)</f>
        <v>0</v>
      </c>
      <c r="K515" s="169">
        <f t="shared" ca="1" si="117"/>
        <v>0</v>
      </c>
      <c r="L515" s="189"/>
      <c r="M515" s="189"/>
      <c r="N515" s="189"/>
      <c r="O515" s="189"/>
      <c r="P515" s="189"/>
    </row>
    <row r="516" spans="1:16" ht="21.75" customHeight="1" x14ac:dyDescent="0.35">
      <c r="A516" s="183"/>
      <c r="B516" s="184"/>
      <c r="C516" s="421" t="s">
        <v>193</v>
      </c>
      <c r="D516" s="421"/>
      <c r="E516" s="457"/>
      <c r="F516" s="457"/>
      <c r="G516" s="458"/>
      <c r="H516" s="459" t="s">
        <v>122</v>
      </c>
      <c r="I516" s="274">
        <f ca="1">IFERROR(__xludf.DUMMYFUNCTION("IMPORTRANGE(""https://docs.google.com/spreadsheets/d/1IYY_tgx_IHuhSq3AJ5eI5OnqOPBNLWSHKh2a30DoXe8/edit?usp=sharing"",""กระบี่!I411"")"),0)</f>
        <v>0</v>
      </c>
      <c r="J516" s="274">
        <f ca="1">IFERROR(__xludf.DUMMYFUNCTION("IMPORTRANGE(""https://docs.google.com/spreadsheets/d/1IYY_tgx_IHuhSq3AJ5eI5OnqOPBNLWSHKh2a30DoXe8/edit?usp=sharing"",""กระบี่!J411"")"),0)</f>
        <v>0</v>
      </c>
      <c r="K516" s="275">
        <v>0</v>
      </c>
      <c r="L516" s="189"/>
      <c r="M516" s="189"/>
      <c r="N516" s="189"/>
      <c r="O516" s="189"/>
      <c r="P516" s="189"/>
    </row>
    <row r="517" spans="1:16" ht="21.75" customHeight="1" x14ac:dyDescent="0.35">
      <c r="A517" s="183"/>
      <c r="B517" s="184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IFERROR(__xludf.DUMMYFUNCTION("IMPORTRANGE(""https://docs.google.com/spreadsheets/d/1IYY_tgx_IHuhSq3AJ5eI5OnqOPBNLWSHKh2a30DoXe8/edit?usp=sharing"",""กระบี่!I412"")"),0)</f>
        <v>0</v>
      </c>
      <c r="J517" s="290">
        <f ca="1">IFERROR(__xludf.DUMMYFUNCTION("IMPORTRANGE(""https://docs.google.com/spreadsheets/d/1IYY_tgx_IHuhSq3AJ5eI5OnqOPBNLWSHKh2a30DoXe8/edit?usp=sharing"",""กระบี่!J412"")"),0)</f>
        <v>0</v>
      </c>
      <c r="K517" s="291">
        <v>0</v>
      </c>
      <c r="L517" s="189"/>
      <c r="M517" s="189"/>
      <c r="N517" s="189"/>
      <c r="O517" s="189"/>
      <c r="P517" s="189"/>
    </row>
    <row r="518" spans="1:16" ht="21.75" customHeight="1" x14ac:dyDescent="0.35">
      <c r="A518" s="183"/>
      <c r="B518" s="184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IFERROR(__xludf.DUMMYFUNCTION("IMPORTRANGE(""https://docs.google.com/spreadsheets/d/1IYY_tgx_IHuhSq3AJ5eI5OnqOPBNLWSHKh2a30DoXe8/edit?usp=sharing"",""กระบี่!I413"")"),0)</f>
        <v>0</v>
      </c>
      <c r="J518" s="290">
        <f ca="1">IFERROR(__xludf.DUMMYFUNCTION("IMPORTRANGE(""https://docs.google.com/spreadsheets/d/1IYY_tgx_IHuhSq3AJ5eI5OnqOPBNLWSHKh2a30DoXe8/edit?usp=sharing"",""กระบี่!J413"")"),0)</f>
        <v>0</v>
      </c>
      <c r="K518" s="291">
        <v>0</v>
      </c>
      <c r="L518" s="189"/>
      <c r="M518" s="189"/>
      <c r="N518" s="189"/>
      <c r="O518" s="189"/>
      <c r="P518" s="189"/>
    </row>
    <row r="519" spans="1:16" ht="21.75" customHeight="1" x14ac:dyDescent="0.35">
      <c r="A519" s="183"/>
      <c r="B519" s="184"/>
      <c r="C519" s="184"/>
      <c r="D519" s="201"/>
      <c r="E519" s="203"/>
      <c r="F519" s="203"/>
      <c r="G519" s="233" t="s">
        <v>196</v>
      </c>
      <c r="H519" s="428" t="s">
        <v>122</v>
      </c>
      <c r="I519" s="195">
        <f ca="1">IFERROR(__xludf.DUMMYFUNCTION("IMPORTRANGE(""https://docs.google.com/spreadsheets/d/1IYY_tgx_IHuhSq3AJ5eI5OnqOPBNLWSHKh2a30DoXe8/edit?usp=sharing"",""กระบี่!I414"")"),0)</f>
        <v>0</v>
      </c>
      <c r="J519" s="195">
        <f ca="1">IFERROR(__xludf.DUMMYFUNCTION("IMPORTRANGE(""https://docs.google.com/spreadsheets/d/1IYY_tgx_IHuhSq3AJ5eI5OnqOPBNLWSHKh2a30DoXe8/edit?usp=sharing"",""กระบี่!J414"")"),0)</f>
        <v>0</v>
      </c>
      <c r="K519" s="169">
        <v>0</v>
      </c>
      <c r="L519" s="189"/>
      <c r="M519" s="189"/>
      <c r="N519" s="189"/>
      <c r="O519" s="189"/>
      <c r="P519" s="189"/>
    </row>
    <row r="520" spans="1:16" ht="21.75" customHeight="1" x14ac:dyDescent="0.35">
      <c r="A520" s="183"/>
      <c r="B520" s="184"/>
      <c r="C520" s="184"/>
      <c r="D520" s="201"/>
      <c r="E520" s="203"/>
      <c r="F520" s="203"/>
      <c r="G520" s="204"/>
      <c r="H520" s="428" t="s">
        <v>36</v>
      </c>
      <c r="I520" s="195">
        <f ca="1">IFERROR(__xludf.DUMMYFUNCTION("IMPORTRANGE(""https://docs.google.com/spreadsheets/d/1IYY_tgx_IHuhSq3AJ5eI5OnqOPBNLWSHKh2a30DoXe8/edit?usp=sharing"",""กระบี่!I415"")"),0)</f>
        <v>0</v>
      </c>
      <c r="J520" s="195">
        <f ca="1">IFERROR(__xludf.DUMMYFUNCTION("IMPORTRANGE(""https://docs.google.com/spreadsheets/d/1IYY_tgx_IHuhSq3AJ5eI5OnqOPBNLWSHKh2a30DoXe8/edit?usp=sharing"",""กระบี่!J415"")"),0)</f>
        <v>0</v>
      </c>
      <c r="K520" s="169">
        <v>0</v>
      </c>
      <c r="L520" s="189"/>
      <c r="M520" s="189"/>
      <c r="N520" s="189"/>
      <c r="O520" s="189"/>
      <c r="P520" s="189"/>
    </row>
    <row r="521" spans="1:16" ht="21.75" customHeight="1" x14ac:dyDescent="0.35">
      <c r="A521" s="183"/>
      <c r="B521" s="184"/>
      <c r="C521" s="184"/>
      <c r="D521" s="201"/>
      <c r="E521" s="203"/>
      <c r="F521" s="203"/>
      <c r="G521" s="233" t="s">
        <v>197</v>
      </c>
      <c r="H521" s="428" t="s">
        <v>122</v>
      </c>
      <c r="I521" s="195">
        <f ca="1">IFERROR(__xludf.DUMMYFUNCTION("IMPORTRANGE(""https://docs.google.com/spreadsheets/d/1IYY_tgx_IHuhSq3AJ5eI5OnqOPBNLWSHKh2a30DoXe8/edit?usp=sharing"",""กระบี่!I416"")"),0)</f>
        <v>0</v>
      </c>
      <c r="J521" s="195">
        <f ca="1">IFERROR(__xludf.DUMMYFUNCTION("IMPORTRANGE(""https://docs.google.com/spreadsheets/d/1IYY_tgx_IHuhSq3AJ5eI5OnqOPBNLWSHKh2a30DoXe8/edit?usp=sharing"",""กระบี่!J416"")"),0)</f>
        <v>0</v>
      </c>
      <c r="K521" s="169">
        <v>0</v>
      </c>
      <c r="L521" s="189"/>
      <c r="M521" s="189"/>
      <c r="N521" s="189"/>
      <c r="O521" s="189"/>
      <c r="P521" s="189"/>
    </row>
    <row r="522" spans="1:16" ht="21.75" customHeight="1" x14ac:dyDescent="0.35">
      <c r="A522" s="183"/>
      <c r="B522" s="184"/>
      <c r="C522" s="184"/>
      <c r="D522" s="201"/>
      <c r="E522" s="203"/>
      <c r="F522" s="203"/>
      <c r="G522" s="204"/>
      <c r="H522" s="428" t="s">
        <v>36</v>
      </c>
      <c r="I522" s="195">
        <f ca="1">IFERROR(__xludf.DUMMYFUNCTION("IMPORTRANGE(""https://docs.google.com/spreadsheets/d/1IYY_tgx_IHuhSq3AJ5eI5OnqOPBNLWSHKh2a30DoXe8/edit?usp=sharing"",""กระบี่!I417"")"),0)</f>
        <v>0</v>
      </c>
      <c r="J522" s="195">
        <f ca="1">IFERROR(__xludf.DUMMYFUNCTION("IMPORTRANGE(""https://docs.google.com/spreadsheets/d/1IYY_tgx_IHuhSq3AJ5eI5OnqOPBNLWSHKh2a30DoXe8/edit?usp=sharing"",""กระบี่!J417"")"),0)</f>
        <v>0</v>
      </c>
      <c r="K522" s="169">
        <v>0</v>
      </c>
      <c r="L522" s="189"/>
      <c r="M522" s="189"/>
      <c r="N522" s="189"/>
      <c r="O522" s="189"/>
      <c r="P522" s="189"/>
    </row>
    <row r="523" spans="1:16" ht="21.75" customHeight="1" x14ac:dyDescent="0.35">
      <c r="A523" s="183"/>
      <c r="B523" s="184"/>
      <c r="C523" s="184"/>
      <c r="D523" s="201"/>
      <c r="E523" s="203"/>
      <c r="F523" s="203"/>
      <c r="G523" s="464" t="s">
        <v>198</v>
      </c>
      <c r="H523" s="428" t="s">
        <v>122</v>
      </c>
      <c r="I523" s="195">
        <f ca="1">IFERROR(__xludf.DUMMYFUNCTION("IMPORTRANGE(""https://docs.google.com/spreadsheets/d/1IYY_tgx_IHuhSq3AJ5eI5OnqOPBNLWSHKh2a30DoXe8/edit?usp=sharing"",""กระบี่!I418"")"),0)</f>
        <v>0</v>
      </c>
      <c r="J523" s="195">
        <f ca="1">IFERROR(__xludf.DUMMYFUNCTION("IMPORTRANGE(""https://docs.google.com/spreadsheets/d/1IYY_tgx_IHuhSq3AJ5eI5OnqOPBNLWSHKh2a30DoXe8/edit?usp=sharing"",""กระบี่!J418"")"),288)</f>
        <v>288</v>
      </c>
      <c r="K523" s="169">
        <v>0</v>
      </c>
      <c r="L523" s="189"/>
      <c r="M523" s="189"/>
      <c r="N523" s="189"/>
      <c r="O523" s="189"/>
      <c r="P523" s="189"/>
    </row>
    <row r="524" spans="1:16" ht="21.75" customHeight="1" x14ac:dyDescent="0.35">
      <c r="A524" s="183"/>
      <c r="B524" s="184"/>
      <c r="C524" s="184"/>
      <c r="D524" s="201"/>
      <c r="E524" s="203"/>
      <c r="F524" s="203"/>
      <c r="G524" s="204"/>
      <c r="H524" s="428" t="s">
        <v>36</v>
      </c>
      <c r="I524" s="195">
        <f ca="1">IFERROR(__xludf.DUMMYFUNCTION("IMPORTRANGE(""https://docs.google.com/spreadsheets/d/1IYY_tgx_IHuhSq3AJ5eI5OnqOPBNLWSHKh2a30DoXe8/edit?usp=sharing"",""กระบี่!I419"")"),0)</f>
        <v>0</v>
      </c>
      <c r="J524" s="195">
        <f ca="1">IFERROR(__xludf.DUMMYFUNCTION("IMPORTRANGE(""https://docs.google.com/spreadsheets/d/1IYY_tgx_IHuhSq3AJ5eI5OnqOPBNLWSHKh2a30DoXe8/edit?usp=sharing"",""กระบี่!J419"")"),22)</f>
        <v>22</v>
      </c>
      <c r="K524" s="169">
        <v>0</v>
      </c>
      <c r="L524" s="189"/>
      <c r="M524" s="189"/>
      <c r="N524" s="189"/>
      <c r="O524" s="189"/>
      <c r="P524" s="189"/>
    </row>
    <row r="525" spans="1:16" ht="21.75" customHeight="1" x14ac:dyDescent="0.35">
      <c r="A525" s="183"/>
      <c r="B525" s="184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IFERROR(__xludf.DUMMYFUNCTION("IMPORTRANGE(""https://docs.google.com/spreadsheets/d/1IYY_tgx_IHuhSq3AJ5eI5OnqOPBNLWSHKh2a30DoXe8/edit?usp=sharing"",""กระบี่!I420"")"),288)</f>
        <v>288</v>
      </c>
      <c r="J525" s="290">
        <f ca="1">IFERROR(__xludf.DUMMYFUNCTION("IMPORTRANGE(""https://docs.google.com/spreadsheets/d/1IYY_tgx_IHuhSq3AJ5eI5OnqOPBNLWSHKh2a30DoXe8/edit?usp=sharing"",""กระบี่!J420"")"),0)</f>
        <v>0</v>
      </c>
      <c r="K525" s="291">
        <v>0</v>
      </c>
      <c r="L525" s="189"/>
      <c r="M525" s="189"/>
      <c r="N525" s="189"/>
      <c r="O525" s="189"/>
      <c r="P525" s="189"/>
    </row>
    <row r="526" spans="1:16" ht="21.75" customHeight="1" x14ac:dyDescent="0.35">
      <c r="A526" s="183"/>
      <c r="B526" s="184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IFERROR(__xludf.DUMMYFUNCTION("IMPORTRANGE(""https://docs.google.com/spreadsheets/d/1IYY_tgx_IHuhSq3AJ5eI5OnqOPBNLWSHKh2a30DoXe8/edit?usp=sharing"",""กระบี่!I421"")"),22)</f>
        <v>22</v>
      </c>
      <c r="J526" s="290">
        <f ca="1">IFERROR(__xludf.DUMMYFUNCTION("IMPORTRANGE(""https://docs.google.com/spreadsheets/d/1IYY_tgx_IHuhSq3AJ5eI5OnqOPBNLWSHKh2a30DoXe8/edit?usp=sharing"",""กระบี่!J421"")"),0)</f>
        <v>0</v>
      </c>
      <c r="K526" s="291">
        <v>0</v>
      </c>
      <c r="L526" s="189"/>
      <c r="M526" s="189"/>
      <c r="N526" s="189"/>
      <c r="O526" s="189"/>
      <c r="P526" s="189"/>
    </row>
    <row r="527" spans="1:16" ht="21.75" customHeight="1" x14ac:dyDescent="0.35">
      <c r="A527" s="183"/>
      <c r="B527" s="184"/>
      <c r="C527" s="184"/>
      <c r="D527" s="201"/>
      <c r="E527" s="203"/>
      <c r="F527" s="203"/>
      <c r="G527" s="233" t="s">
        <v>196</v>
      </c>
      <c r="H527" s="428" t="s">
        <v>122</v>
      </c>
      <c r="I527" s="195">
        <f ca="1">IFERROR(__xludf.DUMMYFUNCTION("IMPORTRANGE(""https://docs.google.com/spreadsheets/d/1IYY_tgx_IHuhSq3AJ5eI5OnqOPBNLWSHKh2a30DoXe8/edit?usp=sharing"",""กระบี่!I422"")"),0)</f>
        <v>0</v>
      </c>
      <c r="J527" s="205">
        <f ca="1">IFERROR(__xludf.DUMMYFUNCTION("IMPORTRANGE(""https://docs.google.com/spreadsheets/d/1IYY_tgx_IHuhSq3AJ5eI5OnqOPBNLWSHKh2a30DoXe8/edit?usp=sharing"",""กระบี่!J422"")"),0)</f>
        <v>0</v>
      </c>
      <c r="K527" s="169">
        <v>0</v>
      </c>
      <c r="L527" s="189"/>
      <c r="M527" s="189"/>
      <c r="N527" s="189"/>
      <c r="O527" s="189"/>
      <c r="P527" s="189"/>
    </row>
    <row r="528" spans="1:16" ht="21.75" customHeight="1" x14ac:dyDescent="0.35">
      <c r="A528" s="183"/>
      <c r="B528" s="184"/>
      <c r="C528" s="184"/>
      <c r="D528" s="201"/>
      <c r="E528" s="203"/>
      <c r="F528" s="203"/>
      <c r="G528" s="204"/>
      <c r="H528" s="428" t="s">
        <v>36</v>
      </c>
      <c r="I528" s="195">
        <f ca="1">IFERROR(__xludf.DUMMYFUNCTION("IMPORTRANGE(""https://docs.google.com/spreadsheets/d/1IYY_tgx_IHuhSq3AJ5eI5OnqOPBNLWSHKh2a30DoXe8/edit?usp=sharing"",""กระบี่!I423"")"),0)</f>
        <v>0</v>
      </c>
      <c r="J528" s="205">
        <f ca="1">IFERROR(__xludf.DUMMYFUNCTION("IMPORTRANGE(""https://docs.google.com/spreadsheets/d/1IYY_tgx_IHuhSq3AJ5eI5OnqOPBNLWSHKh2a30DoXe8/edit?usp=sharing"",""กระบี่!J423"")"),0)</f>
        <v>0</v>
      </c>
      <c r="K528" s="169">
        <v>0</v>
      </c>
      <c r="L528" s="189"/>
      <c r="M528" s="189"/>
      <c r="N528" s="189"/>
      <c r="O528" s="189"/>
      <c r="P528" s="189"/>
    </row>
    <row r="529" spans="1:16" ht="21.75" customHeight="1" x14ac:dyDescent="0.35">
      <c r="A529" s="183"/>
      <c r="B529" s="184"/>
      <c r="C529" s="184"/>
      <c r="D529" s="201"/>
      <c r="E529" s="203"/>
      <c r="F529" s="203"/>
      <c r="G529" s="233" t="s">
        <v>197</v>
      </c>
      <c r="H529" s="428" t="s">
        <v>122</v>
      </c>
      <c r="I529" s="195">
        <f ca="1">IFERROR(__xludf.DUMMYFUNCTION("IMPORTRANGE(""https://docs.google.com/spreadsheets/d/1IYY_tgx_IHuhSq3AJ5eI5OnqOPBNLWSHKh2a30DoXe8/edit?usp=sharing"",""กระบี่!I424"")"),0)</f>
        <v>0</v>
      </c>
      <c r="J529" s="205">
        <f ca="1">IFERROR(__xludf.DUMMYFUNCTION("IMPORTRANGE(""https://docs.google.com/spreadsheets/d/1IYY_tgx_IHuhSq3AJ5eI5OnqOPBNLWSHKh2a30DoXe8/edit?usp=sharing"",""กระบี่!J424"")"),0)</f>
        <v>0</v>
      </c>
      <c r="K529" s="169">
        <v>0</v>
      </c>
      <c r="L529" s="189"/>
      <c r="M529" s="189"/>
      <c r="N529" s="189"/>
      <c r="O529" s="189"/>
      <c r="P529" s="189"/>
    </row>
    <row r="530" spans="1:16" ht="21.75" customHeight="1" x14ac:dyDescent="0.35">
      <c r="A530" s="183"/>
      <c r="B530" s="184"/>
      <c r="C530" s="184"/>
      <c r="D530" s="201"/>
      <c r="E530" s="203"/>
      <c r="F530" s="203"/>
      <c r="G530" s="204"/>
      <c r="H530" s="428" t="s">
        <v>36</v>
      </c>
      <c r="I530" s="195">
        <f ca="1">IFERROR(__xludf.DUMMYFUNCTION("IMPORTRANGE(""https://docs.google.com/spreadsheets/d/1IYY_tgx_IHuhSq3AJ5eI5OnqOPBNLWSHKh2a30DoXe8/edit?usp=sharing"",""กระบี่!I425"")"),0)</f>
        <v>0</v>
      </c>
      <c r="J530" s="205">
        <f ca="1">IFERROR(__xludf.DUMMYFUNCTION("IMPORTRANGE(""https://docs.google.com/spreadsheets/d/1IYY_tgx_IHuhSq3AJ5eI5OnqOPBNLWSHKh2a30DoXe8/edit?usp=sharing"",""กระบี่!J425"")"),0)</f>
        <v>0</v>
      </c>
      <c r="K530" s="169">
        <v>0</v>
      </c>
      <c r="L530" s="189"/>
      <c r="M530" s="189"/>
      <c r="N530" s="189"/>
      <c r="O530" s="189"/>
      <c r="P530" s="189"/>
    </row>
    <row r="531" spans="1:16" ht="21.75" customHeight="1" x14ac:dyDescent="0.35">
      <c r="A531" s="183"/>
      <c r="B531" s="184"/>
      <c r="C531" s="184"/>
      <c r="D531" s="201"/>
      <c r="E531" s="203"/>
      <c r="F531" s="203"/>
      <c r="G531" s="233" t="s">
        <v>201</v>
      </c>
      <c r="H531" s="428" t="s">
        <v>122</v>
      </c>
      <c r="I531" s="195">
        <f ca="1">IFERROR(__xludf.DUMMYFUNCTION("IMPORTRANGE(""https://docs.google.com/spreadsheets/d/1IYY_tgx_IHuhSq3AJ5eI5OnqOPBNLWSHKh2a30DoXe8/edit?usp=sharing"",""กระบี่!I426"")"),0)</f>
        <v>0</v>
      </c>
      <c r="J531" s="205">
        <f ca="1">IFERROR(__xludf.DUMMYFUNCTION("IMPORTRANGE(""https://docs.google.com/spreadsheets/d/1IYY_tgx_IHuhSq3AJ5eI5OnqOPBNLWSHKh2a30DoXe8/edit?usp=sharing"",""กระบี่!J426"")"),0)</f>
        <v>0</v>
      </c>
      <c r="K531" s="169">
        <v>0</v>
      </c>
      <c r="L531" s="189"/>
      <c r="M531" s="189"/>
      <c r="N531" s="189"/>
      <c r="O531" s="189"/>
      <c r="P531" s="189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IFERROR(__xludf.DUMMYFUNCTION("IMPORTRANGE(""https://docs.google.com/spreadsheets/d/1IYY_tgx_IHuhSq3AJ5eI5OnqOPBNLWSHKh2a30DoXe8/edit?usp=sharing"",""กระบี่!I427"")"),0)</f>
        <v>0</v>
      </c>
      <c r="J532" s="472">
        <f ca="1">IFERROR(__xludf.DUMMYFUNCTION("IMPORTRANGE(""https://docs.google.com/spreadsheets/d/1IYY_tgx_IHuhSq3AJ5eI5OnqOPBNLWSHKh2a30DoXe8/edit?usp=sharing"",""กระบี่!J427"")"),0)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IFERROR(__xludf.DUMMYFUNCTION("IMPORTRANGE(""https://docs.google.com/spreadsheets/d/1IYY_tgx_IHuhSq3AJ5eI5OnqOPBNLWSHKh2a30DoXe8/edit?usp=sharing"",""กระบี่!I428"")"),22)</f>
        <v>22</v>
      </c>
      <c r="J533" s="416">
        <f ca="1">IFERROR(__xludf.DUMMYFUNCTION("IMPORTRANGE(""https://docs.google.com/spreadsheets/d/1IYY_tgx_IHuhSq3AJ5eI5OnqOPBNLWSHKh2a30DoXe8/edit?usp=sharing"",""กระบี่!J428"")"),22)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IFERROR(__xludf.DUMMYFUNCTION("IMPORTRANGE(""https://docs.google.com/spreadsheets/d/1IYY_tgx_IHuhSq3AJ5eI5OnqOPBNLWSHKh2a30DoXe8/edit?usp=sharing"",""กระบี่!L428"")"),34340)</f>
        <v>34340</v>
      </c>
      <c r="M533" s="418"/>
      <c r="N533" s="418">
        <f ca="1">IFERROR(__xludf.DUMMYFUNCTION("IMPORTRANGE(""https://docs.google.com/spreadsheets/d/1IYY_tgx_IHuhSq3AJ5eI5OnqOPBNLWSHKh2a30DoXe8/edit?usp=sharing"",""กระบี่!M428"")"),20700)</f>
        <v>20700</v>
      </c>
      <c r="O533" s="418">
        <f t="shared" ref="O533:O537" ca="1" si="118">+IF(L533&gt;0,N533*100/L533,0)</f>
        <v>60.279557367501454</v>
      </c>
      <c r="P533" s="418"/>
    </row>
    <row r="534" spans="1:16" ht="21.75" customHeight="1" x14ac:dyDescent="0.35">
      <c r="A534" s="162"/>
      <c r="B534" s="163"/>
      <c r="C534" s="163" t="s">
        <v>16</v>
      </c>
      <c r="D534" s="164" t="s">
        <v>38</v>
      </c>
      <c r="E534" s="165"/>
      <c r="F534" s="165"/>
      <c r="G534" s="166" t="s">
        <v>39</v>
      </c>
      <c r="H534" s="167" t="s">
        <v>12</v>
      </c>
      <c r="I534" s="168" t="s">
        <v>40</v>
      </c>
      <c r="J534" s="168"/>
      <c r="K534" s="169"/>
      <c r="L534" s="170">
        <f ca="1">IFERROR(__xludf.DUMMYFUNCTION("IMPORTRANGE(""https://docs.google.com/spreadsheets/d/1IYY_tgx_IHuhSq3AJ5eI5OnqOPBNLWSHKh2a30DoXe8/edit?usp=sharing"",""กระบี่!L429"")"),0)</f>
        <v>0</v>
      </c>
      <c r="M534" s="170"/>
      <c r="N534" s="176">
        <f ca="1">IFERROR(__xludf.DUMMYFUNCTION("IMPORTRANGE(""https://docs.google.com/spreadsheets/d/1IYY_tgx_IHuhSq3AJ5eI5OnqOPBNLWSHKh2a30DoXe8/edit?usp=sharing"",""กระบี่!M429"")"),0)</f>
        <v>0</v>
      </c>
      <c r="O534" s="176">
        <f t="shared" ca="1" si="118"/>
        <v>0</v>
      </c>
      <c r="P534" s="176"/>
    </row>
    <row r="535" spans="1:16" ht="21.75" customHeight="1" x14ac:dyDescent="0.35">
      <c r="A535" s="162"/>
      <c r="B535" s="163"/>
      <c r="C535" s="163"/>
      <c r="D535" s="172"/>
      <c r="E535" s="165"/>
      <c r="F535" s="165" t="s">
        <v>40</v>
      </c>
      <c r="G535" s="166" t="s">
        <v>41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IFERROR(__xludf.DUMMYFUNCTION("IMPORTRANGE(""https://docs.google.com/spreadsheets/d/1IYY_tgx_IHuhSq3AJ5eI5OnqOPBNLWSHKh2a30DoXe8/edit?usp=sharing"",""กระบี่!L430"")"),34340)</f>
        <v>34340</v>
      </c>
      <c r="M535" s="171"/>
      <c r="N535" s="176">
        <f ca="1">IFERROR(__xludf.DUMMYFUNCTION("IMPORTRANGE(""https://docs.google.com/spreadsheets/d/1IYY_tgx_IHuhSq3AJ5eI5OnqOPBNLWSHKh2a30DoXe8/edit?usp=sharing"",""กระบี่!M430"")"),20700)</f>
        <v>20700</v>
      </c>
      <c r="O535" s="176">
        <f t="shared" ca="1" si="118"/>
        <v>60.279557367501454</v>
      </c>
      <c r="P535" s="176"/>
    </row>
    <row r="536" spans="1:16" ht="21.75" customHeight="1" x14ac:dyDescent="0.35">
      <c r="A536" s="162"/>
      <c r="B536" s="163"/>
      <c r="C536" s="163"/>
      <c r="D536" s="172"/>
      <c r="E536" s="165"/>
      <c r="F536" s="165"/>
      <c r="G536" s="380" t="s">
        <v>129</v>
      </c>
      <c r="H536" s="167" t="s">
        <v>12</v>
      </c>
      <c r="I536" s="168"/>
      <c r="J536" s="168"/>
      <c r="K536" s="169"/>
      <c r="L536" s="176">
        <f ca="1">IFERROR(__xludf.DUMMYFUNCTION("IMPORTRANGE(""https://docs.google.com/spreadsheets/d/1IYY_tgx_IHuhSq3AJ5eI5OnqOPBNLWSHKh2a30DoXe8/edit?usp=sharing"",""กระบี่!L431"")"),0)</f>
        <v>0</v>
      </c>
      <c r="M536" s="176"/>
      <c r="N536" s="176">
        <f ca="1">IFERROR(__xludf.DUMMYFUNCTION("IMPORTRANGE(""https://docs.google.com/spreadsheets/d/1IYY_tgx_IHuhSq3AJ5eI5OnqOPBNLWSHKh2a30DoXe8/edit?usp=sharing"",""กระบี่!M431"")"),0)</f>
        <v>0</v>
      </c>
      <c r="O536" s="176">
        <f t="shared" ca="1" si="118"/>
        <v>0</v>
      </c>
      <c r="P536" s="176"/>
    </row>
    <row r="537" spans="1:16" ht="21.75" customHeight="1" x14ac:dyDescent="0.35">
      <c r="A537" s="162"/>
      <c r="B537" s="163"/>
      <c r="C537" s="163"/>
      <c r="D537" s="172"/>
      <c r="E537" s="165"/>
      <c r="F537" s="165"/>
      <c r="G537" s="380" t="s">
        <v>130</v>
      </c>
      <c r="H537" s="167" t="s">
        <v>12</v>
      </c>
      <c r="I537" s="168"/>
      <c r="J537" s="168"/>
      <c r="K537" s="169"/>
      <c r="L537" s="176">
        <f ca="1">IFERROR(__xludf.DUMMYFUNCTION("IMPORTRANGE(""https://docs.google.com/spreadsheets/d/1IYY_tgx_IHuhSq3AJ5eI5OnqOPBNLWSHKh2a30DoXe8/edit?usp=sharing"",""กระบี่!L432"")"),34340)</f>
        <v>34340</v>
      </c>
      <c r="M537" s="176"/>
      <c r="N537" s="176">
        <f ca="1">IFERROR(__xludf.DUMMYFUNCTION("IMPORTRANGE(""https://docs.google.com/spreadsheets/d/1IYY_tgx_IHuhSq3AJ5eI5OnqOPBNLWSHKh2a30DoXe8/edit?usp=sharing"",""กระบี่!M432"")"),20700)</f>
        <v>20700</v>
      </c>
      <c r="O537" s="176">
        <f t="shared" ca="1" si="118"/>
        <v>60.279557367501454</v>
      </c>
      <c r="P537" s="176"/>
    </row>
    <row r="538" spans="1:16" ht="21.75" customHeight="1" x14ac:dyDescent="0.35">
      <c r="A538" s="381"/>
      <c r="B538" s="382"/>
      <c r="C538" s="163"/>
      <c r="D538" s="383"/>
      <c r="E538" s="165"/>
      <c r="F538" s="165"/>
      <c r="G538" s="384" t="s">
        <v>131</v>
      </c>
      <c r="H538" s="167" t="s">
        <v>12</v>
      </c>
      <c r="I538" s="195"/>
      <c r="J538" s="195"/>
      <c r="K538" s="231"/>
      <c r="L538" s="176"/>
      <c r="M538" s="176"/>
      <c r="N538" s="385">
        <f ca="1">IFERROR(__xludf.DUMMYFUNCTION("IMPORTRANGE(""https://docs.google.com/spreadsheets/d/1IYY_tgx_IHuhSq3AJ5eI5OnqOPBNLWSHKh2a30DoXe8/edit?usp=sharing"",""กระบี่!M433"")"),18740)</f>
        <v>18740</v>
      </c>
      <c r="O538" s="176"/>
      <c r="P538" s="176"/>
    </row>
    <row r="539" spans="1:16" ht="21.75" customHeight="1" x14ac:dyDescent="0.35">
      <c r="A539" s="381"/>
      <c r="B539" s="382"/>
      <c r="C539" s="163"/>
      <c r="D539" s="383"/>
      <c r="E539" s="165"/>
      <c r="F539" s="165"/>
      <c r="G539" s="384" t="s">
        <v>132</v>
      </c>
      <c r="H539" s="167" t="s">
        <v>12</v>
      </c>
      <c r="I539" s="195"/>
      <c r="J539" s="195"/>
      <c r="K539" s="231"/>
      <c r="L539" s="176"/>
      <c r="M539" s="176"/>
      <c r="N539" s="385">
        <f ca="1">IFERROR(__xludf.DUMMYFUNCTION("IMPORTRANGE(""https://docs.google.com/spreadsheets/d/1IYY_tgx_IHuhSq3AJ5eI5OnqOPBNLWSHKh2a30DoXe8/edit?usp=sharing"",""กระบี่!M434"")"),0)</f>
        <v>0</v>
      </c>
      <c r="O539" s="176"/>
      <c r="P539" s="176"/>
    </row>
    <row r="540" spans="1:16" ht="21.75" customHeight="1" x14ac:dyDescent="0.35">
      <c r="A540" s="381"/>
      <c r="B540" s="382"/>
      <c r="C540" s="163"/>
      <c r="D540" s="383"/>
      <c r="E540" s="165"/>
      <c r="F540" s="165"/>
      <c r="G540" s="384" t="s">
        <v>133</v>
      </c>
      <c r="H540" s="167" t="s">
        <v>12</v>
      </c>
      <c r="I540" s="195"/>
      <c r="J540" s="195"/>
      <c r="K540" s="231"/>
      <c r="L540" s="176"/>
      <c r="M540" s="176"/>
      <c r="N540" s="385">
        <f ca="1">IFERROR(__xludf.DUMMYFUNCTION("IMPORTRANGE(""https://docs.google.com/spreadsheets/d/1IYY_tgx_IHuhSq3AJ5eI5OnqOPBNLWSHKh2a30DoXe8/edit?usp=sharing"",""กระบี่!M435"")"),0)</f>
        <v>0</v>
      </c>
      <c r="O540" s="176"/>
      <c r="P540" s="176"/>
    </row>
    <row r="541" spans="1:16" ht="21.75" customHeight="1" x14ac:dyDescent="0.35">
      <c r="A541" s="381"/>
      <c r="B541" s="382"/>
      <c r="C541" s="163"/>
      <c r="D541" s="383"/>
      <c r="E541" s="165"/>
      <c r="F541" s="165"/>
      <c r="G541" s="384" t="s">
        <v>134</v>
      </c>
      <c r="H541" s="167" t="s">
        <v>12</v>
      </c>
      <c r="I541" s="195"/>
      <c r="J541" s="195"/>
      <c r="K541" s="231"/>
      <c r="L541" s="176"/>
      <c r="M541" s="176"/>
      <c r="N541" s="385">
        <f ca="1">IFERROR(__xludf.DUMMYFUNCTION("IMPORTRANGE(""https://docs.google.com/spreadsheets/d/1IYY_tgx_IHuhSq3AJ5eI5OnqOPBNLWSHKh2a30DoXe8/edit?usp=sharing"",""กระบี่!M436"")"),1960)</f>
        <v>1960</v>
      </c>
      <c r="O541" s="176"/>
      <c r="P541" s="176"/>
    </row>
    <row r="542" spans="1:16" ht="21.75" customHeight="1" x14ac:dyDescent="0.35">
      <c r="A542" s="183"/>
      <c r="B542" s="184"/>
      <c r="C542" s="163" t="s">
        <v>16</v>
      </c>
      <c r="D542" s="185" t="s">
        <v>44</v>
      </c>
      <c r="E542" s="186"/>
      <c r="F542" s="186"/>
      <c r="G542" s="187"/>
      <c r="H542" s="188"/>
      <c r="I542" s="168"/>
      <c r="J542" s="168"/>
      <c r="K542" s="169"/>
      <c r="L542" s="189"/>
      <c r="M542" s="189"/>
      <c r="N542" s="189"/>
      <c r="O542" s="189"/>
      <c r="P542" s="189"/>
    </row>
    <row r="543" spans="1:16" ht="21.75" customHeight="1" x14ac:dyDescent="0.35">
      <c r="A543" s="183"/>
      <c r="B543" s="184"/>
      <c r="C543" s="184"/>
      <c r="D543" s="190">
        <v>1</v>
      </c>
      <c r="E543" s="191" t="s">
        <v>45</v>
      </c>
      <c r="F543" s="192"/>
      <c r="G543" s="193"/>
      <c r="H543" s="194"/>
      <c r="I543" s="195"/>
      <c r="J543" s="205">
        <f ca="1">IFERROR(__xludf.DUMMYFUNCTION("IMPORTRANGE(""https://docs.google.com/spreadsheets/d/1IYY_tgx_IHuhSq3AJ5eI5OnqOPBNLWSHKh2a30DoXe8/edit?usp=sharing"",""กระบี่!J438"")"),0)</f>
        <v>0</v>
      </c>
      <c r="K543" s="169"/>
      <c r="L543" s="189"/>
      <c r="M543" s="189"/>
      <c r="N543" s="189"/>
      <c r="O543" s="189"/>
      <c r="P543" s="189"/>
    </row>
    <row r="544" spans="1:16" ht="21.75" customHeight="1" x14ac:dyDescent="0.35">
      <c r="A544" s="183"/>
      <c r="B544" s="184"/>
      <c r="C544" s="184"/>
      <c r="D544" s="197">
        <v>2</v>
      </c>
      <c r="E544" s="198" t="s">
        <v>46</v>
      </c>
      <c r="F544" s="199"/>
      <c r="G544" s="200"/>
      <c r="H544" s="194"/>
      <c r="I544" s="195"/>
      <c r="J544" s="196">
        <f ca="1">IFERROR(__xludf.DUMMYFUNCTION("IMPORTRANGE(""https://docs.google.com/spreadsheets/d/1IYY_tgx_IHuhSq3AJ5eI5OnqOPBNLWSHKh2a30DoXe8/edit?usp=sharing"",""กระบี่!J439"")"),1)</f>
        <v>1</v>
      </c>
      <c r="K544" s="169"/>
      <c r="L544" s="189" t="s">
        <v>40</v>
      </c>
      <c r="M544" s="189"/>
      <c r="N544" s="189" t="s">
        <v>40</v>
      </c>
      <c r="O544" s="189"/>
      <c r="P544" s="189"/>
    </row>
    <row r="545" spans="1:16" ht="21.75" customHeight="1" x14ac:dyDescent="0.35">
      <c r="A545" s="183"/>
      <c r="B545" s="184"/>
      <c r="C545" s="184"/>
      <c r="D545" s="201"/>
      <c r="E545" s="202" t="s">
        <v>47</v>
      </c>
      <c r="F545" s="203"/>
      <c r="G545" s="204"/>
      <c r="H545" s="194"/>
      <c r="I545" s="195"/>
      <c r="J545" s="196">
        <f ca="1">IFERROR(__xludf.DUMMYFUNCTION("IMPORTRANGE(""https://docs.google.com/spreadsheets/d/1IYY_tgx_IHuhSq3AJ5eI5OnqOPBNLWSHKh2a30DoXe8/edit?usp=sharing"",""กระบี่!J440"")"),1)</f>
        <v>1</v>
      </c>
      <c r="K545" s="169"/>
      <c r="L545" s="189"/>
      <c r="M545" s="189"/>
      <c r="N545" s="189"/>
      <c r="O545" s="189"/>
      <c r="P545" s="189"/>
    </row>
    <row r="546" spans="1:16" ht="21.75" customHeight="1" x14ac:dyDescent="0.35">
      <c r="A546" s="183"/>
      <c r="B546" s="184"/>
      <c r="C546" s="184"/>
      <c r="D546" s="201"/>
      <c r="E546" s="202" t="s">
        <v>48</v>
      </c>
      <c r="F546" s="203"/>
      <c r="G546" s="204"/>
      <c r="H546" s="194"/>
      <c r="I546" s="195"/>
      <c r="J546" s="205">
        <f ca="1">IFERROR(__xludf.DUMMYFUNCTION("IMPORTRANGE(""https://docs.google.com/spreadsheets/d/1IYY_tgx_IHuhSq3AJ5eI5OnqOPBNLWSHKh2a30DoXe8/edit?usp=sharing"",""กระบี่!J441"")"),1)</f>
        <v>1</v>
      </c>
      <c r="K546" s="169"/>
      <c r="L546" s="189"/>
      <c r="M546" s="189"/>
      <c r="N546" s="189"/>
      <c r="O546" s="189"/>
      <c r="P546" s="189"/>
    </row>
    <row r="547" spans="1:16" ht="21.75" customHeight="1" x14ac:dyDescent="0.35">
      <c r="A547" s="183"/>
      <c r="B547" s="184"/>
      <c r="C547" s="184"/>
      <c r="D547" s="201"/>
      <c r="E547" s="206"/>
      <c r="F547" s="203"/>
      <c r="G547" s="233" t="s">
        <v>203</v>
      </c>
      <c r="H547" s="194" t="s">
        <v>37</v>
      </c>
      <c r="I547" s="211">
        <f ca="1">IFERROR(__xludf.DUMMYFUNCTION("IMPORTRANGE(""https://docs.google.com/spreadsheets/d/1IYY_tgx_IHuhSq3AJ5eI5OnqOPBNLWSHKh2a30DoXe8/edit?usp=sharing"",""กระบี่!I442"")"),22)</f>
        <v>22</v>
      </c>
      <c r="J547" s="196">
        <f ca="1">IFERROR(__xludf.DUMMYFUNCTION("IMPORTRANGE(""https://docs.google.com/spreadsheets/d/1IYY_tgx_IHuhSq3AJ5eI5OnqOPBNLWSHKh2a30DoXe8/edit?usp=sharing"",""กระบี่!J442"")"),22)</f>
        <v>22</v>
      </c>
      <c r="K547" s="169">
        <f t="shared" ref="K547:K548" ca="1" si="119">IF(I547&gt;0,J547*100/I547,0)</f>
        <v>100</v>
      </c>
      <c r="L547" s="189"/>
      <c r="M547" s="189"/>
      <c r="N547" s="189"/>
      <c r="O547" s="189"/>
      <c r="P547" s="189"/>
    </row>
    <row r="548" spans="1:16" ht="21.75" hidden="1" customHeight="1" x14ac:dyDescent="0.35">
      <c r="A548" s="183"/>
      <c r="B548" s="184"/>
      <c r="C548" s="184"/>
      <c r="D548" s="201"/>
      <c r="E548" s="206"/>
      <c r="F548" s="203"/>
      <c r="G548" s="233" t="s">
        <v>204</v>
      </c>
      <c r="H548" s="194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5">
        <f ca="1">IFERROR(__xludf.DUMMYFUNCTION("IMPORTRANGE(""https://docs.google.com/spreadsheets/d/1IYY_tgx_IHuhSq3AJ5eI5OnqOPBNLWSHKh2a30DoXe8/edit?usp=sharing"",""กระบี่!J166"")"),0)</f>
        <v>0</v>
      </c>
      <c r="K548" s="169">
        <f t="shared" ca="1" si="119"/>
        <v>0</v>
      </c>
      <c r="L548" s="189"/>
      <c r="M548" s="189"/>
      <c r="N548" s="189"/>
      <c r="O548" s="189"/>
      <c r="P548" s="189"/>
    </row>
    <row r="549" spans="1:16" ht="21.75" customHeight="1" x14ac:dyDescent="0.35">
      <c r="A549" s="183"/>
      <c r="B549" s="184"/>
      <c r="C549" s="184"/>
      <c r="D549" s="201"/>
      <c r="E549" s="202" t="s">
        <v>54</v>
      </c>
      <c r="F549" s="203"/>
      <c r="G549" s="204"/>
      <c r="H549" s="194"/>
      <c r="I549" s="195"/>
      <c r="J549" s="205">
        <f ca="1">IFERROR(__xludf.DUMMYFUNCTION("IMPORTRANGE(""https://docs.google.com/spreadsheets/d/1IYY_tgx_IHuhSq3AJ5eI5OnqOPBNLWSHKh2a30DoXe8/edit?usp=sharing"",""กระบี่!J444"")"),0)</f>
        <v>0</v>
      </c>
      <c r="K549" s="169"/>
      <c r="L549" s="189"/>
      <c r="M549" s="189"/>
      <c r="N549" s="189"/>
      <c r="O549" s="189"/>
      <c r="P549" s="189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IFERROR(__xludf.DUMMYFUNCTION("IMPORTRANGE(""https://docs.google.com/spreadsheets/d/1IYY_tgx_IHuhSq3AJ5eI5OnqOPBNLWSHKh2a30DoXe8/edit?usp=sharing"",""กระบี่!J445"")"),0)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IFERROR(__xludf.DUMMYFUNCTION("IMPORTRANGE(""https://docs.google.com/spreadsheets/d/1IYY_tgx_IHuhSq3AJ5eI5OnqOPBNLWSHKh2a30DoXe8/edit?usp=sharing"",""กระบี่!I446"")"),0)</f>
        <v>0</v>
      </c>
      <c r="J551" s="416">
        <f ca="1">IFERROR(__xludf.DUMMYFUNCTION("IMPORTRANGE(""https://docs.google.com/spreadsheets/d/1IYY_tgx_IHuhSq3AJ5eI5OnqOPBNLWSHKh2a30DoXe8/edit?usp=sharing"",""กระบี่!J446"")"),0)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IFERROR(__xludf.DUMMYFUNCTION("IMPORTRANGE(""https://docs.google.com/spreadsheets/d/1IYY_tgx_IHuhSq3AJ5eI5OnqOPBNLWSHKh2a30DoXe8/edit?usp=sharing"",""กระบี่!L446"")"),0)</f>
        <v>0</v>
      </c>
      <c r="M551" s="418"/>
      <c r="N551" s="418">
        <f ca="1">IFERROR(__xludf.DUMMYFUNCTION("IMPORTRANGE(""https://docs.google.com/spreadsheets/d/1IYY_tgx_IHuhSq3AJ5eI5OnqOPBNLWSHKh2a30DoXe8/edit?usp=sharing"",""กระบี่!M446"")"),0)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164" t="s">
        <v>38</v>
      </c>
      <c r="E552" s="165"/>
      <c r="F552" s="165"/>
      <c r="G552" s="166" t="s">
        <v>39</v>
      </c>
      <c r="H552" s="167" t="s">
        <v>12</v>
      </c>
      <c r="I552" s="168" t="s">
        <v>40</v>
      </c>
      <c r="J552" s="168"/>
      <c r="K552" s="169"/>
      <c r="L552" s="170">
        <f ca="1">IFERROR(__xludf.DUMMYFUNCTION("IMPORTRANGE(""https://docs.google.com/spreadsheets/d/1IYY_tgx_IHuhSq3AJ5eI5OnqOPBNLWSHKh2a30DoXe8/edit?usp=sharing"",""กระบี่!L447"")"),0)</f>
        <v>0</v>
      </c>
      <c r="M552" s="170"/>
      <c r="N552" s="176">
        <f ca="1">IFERROR(__xludf.DUMMYFUNCTION("IMPORTRANGE(""https://docs.google.com/spreadsheets/d/1IYY_tgx_IHuhSq3AJ5eI5OnqOPBNLWSHKh2a30DoXe8/edit?usp=sharing"",""กระบี่!M447"")"),0)</f>
        <v>0</v>
      </c>
      <c r="O552" s="176">
        <f t="shared" ca="1" si="120"/>
        <v>0</v>
      </c>
      <c r="P552" s="176"/>
    </row>
    <row r="553" spans="1:16" ht="21.75" customHeight="1" x14ac:dyDescent="0.35">
      <c r="A553" s="162"/>
      <c r="B553" s="163"/>
      <c r="C553" s="163"/>
      <c r="D553" s="172"/>
      <c r="E553" s="165"/>
      <c r="F553" s="165" t="s">
        <v>40</v>
      </c>
      <c r="G553" s="166" t="s">
        <v>41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IFERROR(__xludf.DUMMYFUNCTION("IMPORTRANGE(""https://docs.google.com/spreadsheets/d/1IYY_tgx_IHuhSq3AJ5eI5OnqOPBNLWSHKh2a30DoXe8/edit?usp=sharing"",""กระบี่!L448"")"),0)</f>
        <v>0</v>
      </c>
      <c r="M553" s="171"/>
      <c r="N553" s="176">
        <f ca="1">IFERROR(__xludf.DUMMYFUNCTION("IMPORTRANGE(""https://docs.google.com/spreadsheets/d/1IYY_tgx_IHuhSq3AJ5eI5OnqOPBNLWSHKh2a30DoXe8/edit?usp=sharing"",""กระบี่!M448"")"),0)</f>
        <v>0</v>
      </c>
      <c r="O553" s="176">
        <f t="shared" ca="1" si="120"/>
        <v>0</v>
      </c>
      <c r="P553" s="176"/>
    </row>
    <row r="554" spans="1:16" ht="21.75" customHeight="1" x14ac:dyDescent="0.35">
      <c r="A554" s="162"/>
      <c r="B554" s="163"/>
      <c r="C554" s="163"/>
      <c r="D554" s="172"/>
      <c r="E554" s="165"/>
      <c r="F554" s="165"/>
      <c r="G554" s="380" t="s">
        <v>129</v>
      </c>
      <c r="H554" s="167" t="s">
        <v>12</v>
      </c>
      <c r="I554" s="168"/>
      <c r="J554" s="168"/>
      <c r="K554" s="169"/>
      <c r="L554" s="176">
        <f ca="1">IFERROR(__xludf.DUMMYFUNCTION("IMPORTRANGE(""https://docs.google.com/spreadsheets/d/1IYY_tgx_IHuhSq3AJ5eI5OnqOPBNLWSHKh2a30DoXe8/edit?usp=sharing"",""กระบี่!L449"")"),0)</f>
        <v>0</v>
      </c>
      <c r="M554" s="176"/>
      <c r="N554" s="176">
        <f ca="1">IFERROR(__xludf.DUMMYFUNCTION("IMPORTRANGE(""https://docs.google.com/spreadsheets/d/1IYY_tgx_IHuhSq3AJ5eI5OnqOPBNLWSHKh2a30DoXe8/edit?usp=sharing"",""กระบี่!M449"")"),0)</f>
        <v>0</v>
      </c>
      <c r="O554" s="176">
        <f t="shared" ca="1" si="120"/>
        <v>0</v>
      </c>
      <c r="P554" s="176"/>
    </row>
    <row r="555" spans="1:16" ht="21.75" customHeight="1" x14ac:dyDescent="0.35">
      <c r="A555" s="162"/>
      <c r="B555" s="163"/>
      <c r="C555" s="163"/>
      <c r="D555" s="172"/>
      <c r="E555" s="165"/>
      <c r="F555" s="165"/>
      <c r="G555" s="380" t="s">
        <v>130</v>
      </c>
      <c r="H555" s="167" t="s">
        <v>12</v>
      </c>
      <c r="I555" s="168"/>
      <c r="J555" s="168"/>
      <c r="K555" s="169"/>
      <c r="L555" s="176">
        <f ca="1">IFERROR(__xludf.DUMMYFUNCTION("IMPORTRANGE(""https://docs.google.com/spreadsheets/d/1IYY_tgx_IHuhSq3AJ5eI5OnqOPBNLWSHKh2a30DoXe8/edit?usp=sharing"",""กระบี่!L450"")"),0)</f>
        <v>0</v>
      </c>
      <c r="M555" s="176"/>
      <c r="N555" s="176">
        <f ca="1">IFERROR(__xludf.DUMMYFUNCTION("IMPORTRANGE(""https://docs.google.com/spreadsheets/d/1IYY_tgx_IHuhSq3AJ5eI5OnqOPBNLWSHKh2a30DoXe8/edit?usp=sharing"",""กระบี่!M450"")"),0)</f>
        <v>0</v>
      </c>
      <c r="O555" s="176">
        <f t="shared" ca="1" si="120"/>
        <v>0</v>
      </c>
      <c r="P555" s="176"/>
    </row>
    <row r="556" spans="1:16" ht="21.75" customHeight="1" x14ac:dyDescent="0.35">
      <c r="A556" s="381"/>
      <c r="B556" s="382"/>
      <c r="C556" s="163"/>
      <c r="D556" s="383"/>
      <c r="E556" s="165"/>
      <c r="F556" s="165"/>
      <c r="G556" s="384" t="s">
        <v>131</v>
      </c>
      <c r="H556" s="167" t="s">
        <v>12</v>
      </c>
      <c r="I556" s="195"/>
      <c r="J556" s="195"/>
      <c r="K556" s="231"/>
      <c r="L556" s="176"/>
      <c r="M556" s="176"/>
      <c r="N556" s="173">
        <f ca="1">IFERROR(__xludf.DUMMYFUNCTION("IMPORTRANGE(""https://docs.google.com/spreadsheets/d/1IYY_tgx_IHuhSq3AJ5eI5OnqOPBNLWSHKh2a30DoXe8/edit?usp=sharing"",""กระบี่!M451"")"),0)</f>
        <v>0</v>
      </c>
      <c r="O556" s="176"/>
      <c r="P556" s="176"/>
    </row>
    <row r="557" spans="1:16" ht="21.75" customHeight="1" x14ac:dyDescent="0.35">
      <c r="A557" s="381"/>
      <c r="B557" s="382"/>
      <c r="C557" s="163"/>
      <c r="D557" s="383"/>
      <c r="E557" s="165"/>
      <c r="F557" s="165"/>
      <c r="G557" s="384" t="s">
        <v>132</v>
      </c>
      <c r="H557" s="167" t="s">
        <v>12</v>
      </c>
      <c r="I557" s="195"/>
      <c r="J557" s="195"/>
      <c r="K557" s="231"/>
      <c r="L557" s="176"/>
      <c r="M557" s="176"/>
      <c r="N557" s="173">
        <f ca="1">IFERROR(__xludf.DUMMYFUNCTION("IMPORTRANGE(""https://docs.google.com/spreadsheets/d/1IYY_tgx_IHuhSq3AJ5eI5OnqOPBNLWSHKh2a30DoXe8/edit?usp=sharing"",""กระบี่!M452"")"),0)</f>
        <v>0</v>
      </c>
      <c r="O557" s="176"/>
      <c r="P557" s="176"/>
    </row>
    <row r="558" spans="1:16" ht="21.75" customHeight="1" x14ac:dyDescent="0.35">
      <c r="A558" s="381"/>
      <c r="B558" s="382"/>
      <c r="C558" s="163"/>
      <c r="D558" s="383"/>
      <c r="E558" s="165"/>
      <c r="F558" s="165"/>
      <c r="G558" s="384" t="s">
        <v>133</v>
      </c>
      <c r="H558" s="167" t="s">
        <v>12</v>
      </c>
      <c r="I558" s="195"/>
      <c r="J558" s="195"/>
      <c r="K558" s="231"/>
      <c r="L558" s="176"/>
      <c r="M558" s="176"/>
      <c r="N558" s="173">
        <f ca="1">IFERROR(__xludf.DUMMYFUNCTION("IMPORTRANGE(""https://docs.google.com/spreadsheets/d/1IYY_tgx_IHuhSq3AJ5eI5OnqOPBNLWSHKh2a30DoXe8/edit?usp=sharing"",""กระบี่!M453"")"),0)</f>
        <v>0</v>
      </c>
      <c r="O558" s="176"/>
      <c r="P558" s="176"/>
    </row>
    <row r="559" spans="1:16" ht="21.75" customHeight="1" x14ac:dyDescent="0.35">
      <c r="A559" s="381"/>
      <c r="B559" s="382"/>
      <c r="C559" s="163"/>
      <c r="D559" s="383"/>
      <c r="E559" s="165"/>
      <c r="F559" s="165"/>
      <c r="G559" s="384" t="s">
        <v>134</v>
      </c>
      <c r="H559" s="167" t="s">
        <v>12</v>
      </c>
      <c r="I559" s="195"/>
      <c r="J559" s="195"/>
      <c r="K559" s="231"/>
      <c r="L559" s="176"/>
      <c r="M559" s="176"/>
      <c r="N559" s="173">
        <f ca="1">IFERROR(__xludf.DUMMYFUNCTION("IMPORTRANGE(""https://docs.google.com/spreadsheets/d/1IYY_tgx_IHuhSq3AJ5eI5OnqOPBNLWSHKh2a30DoXe8/edit?usp=sharing"",""กระบี่!M454"")"),0)</f>
        <v>0</v>
      </c>
      <c r="O559" s="176"/>
      <c r="P559" s="176"/>
    </row>
    <row r="560" spans="1:16" ht="21.75" customHeight="1" x14ac:dyDescent="0.35">
      <c r="A560" s="183"/>
      <c r="B560" s="184"/>
      <c r="C560" s="184"/>
      <c r="D560" s="201"/>
      <c r="E560" s="203"/>
      <c r="F560" s="285" t="s">
        <v>206</v>
      </c>
      <c r="G560" s="204"/>
      <c r="H560" s="481" t="s">
        <v>122</v>
      </c>
      <c r="I560" s="168">
        <f ca="1">IFERROR(__xludf.DUMMYFUNCTION("IMPORTRANGE(""https://docs.google.com/spreadsheets/d/1IYY_tgx_IHuhSq3AJ5eI5OnqOPBNLWSHKh2a30DoXe8/edit?usp=sharing"",""กระบี่!I455"")"),0)</f>
        <v>0</v>
      </c>
      <c r="J560" s="168">
        <f ca="1">IFERROR(__xludf.DUMMYFUNCTION("IMPORTRANGE(""https://docs.google.com/spreadsheets/d/1IYY_tgx_IHuhSq3AJ5eI5OnqOPBNLWSHKh2a30DoXe8/edit?usp=sharing"",""กระบี่!J455"")"),0)</f>
        <v>0</v>
      </c>
      <c r="K560" s="231">
        <f t="shared" ref="K560:K564" ca="1" si="121">IF(I560&gt;0,J560*100/I560,0)</f>
        <v>0</v>
      </c>
      <c r="L560" s="176"/>
      <c r="M560" s="176"/>
      <c r="N560" s="176"/>
      <c r="O560" s="189"/>
      <c r="P560" s="189"/>
    </row>
    <row r="561" spans="1:16" ht="21.75" customHeight="1" x14ac:dyDescent="0.35">
      <c r="A561" s="183"/>
      <c r="B561" s="184"/>
      <c r="C561" s="184"/>
      <c r="D561" s="201"/>
      <c r="E561" s="203"/>
      <c r="F561" s="203"/>
      <c r="G561" s="204"/>
      <c r="H561" s="481" t="s">
        <v>36</v>
      </c>
      <c r="I561" s="168">
        <f ca="1">IFERROR(__xludf.DUMMYFUNCTION("IMPORTRANGE(""https://docs.google.com/spreadsheets/d/1IYY_tgx_IHuhSq3AJ5eI5OnqOPBNLWSHKh2a30DoXe8/edit?usp=sharing"",""กระบี่!I456"")"),0)</f>
        <v>0</v>
      </c>
      <c r="J561" s="211">
        <f ca="1">IFERROR(__xludf.DUMMYFUNCTION("IMPORTRANGE(""https://docs.google.com/spreadsheets/d/1IYY_tgx_IHuhSq3AJ5eI5OnqOPBNLWSHKh2a30DoXe8/edit?usp=sharing"",""กระบี่!J456"")"),0)</f>
        <v>0</v>
      </c>
      <c r="K561" s="231">
        <f t="shared" ca="1" si="121"/>
        <v>0</v>
      </c>
      <c r="L561" s="176"/>
      <c r="M561" s="176"/>
      <c r="N561" s="176"/>
      <c r="O561" s="189"/>
      <c r="P561" s="189"/>
    </row>
    <row r="562" spans="1:16" ht="21.75" customHeight="1" x14ac:dyDescent="0.35">
      <c r="A562" s="183"/>
      <c r="B562" s="184"/>
      <c r="C562" s="184"/>
      <c r="D562" s="201"/>
      <c r="E562" s="203"/>
      <c r="F562" s="203" t="s">
        <v>207</v>
      </c>
      <c r="G562" s="204"/>
      <c r="H562" s="481" t="s">
        <v>122</v>
      </c>
      <c r="I562" s="168">
        <f ca="1">IFERROR(__xludf.DUMMYFUNCTION("IMPORTRANGE(""https://docs.google.com/spreadsheets/d/1IYY_tgx_IHuhSq3AJ5eI5OnqOPBNLWSHKh2a30DoXe8/edit?usp=sharing"",""กระบี่!I457"")"),0)</f>
        <v>0</v>
      </c>
      <c r="J562" s="211" t="str">
        <f ca="1">IFERROR(__xludf.DUMMYFUNCTION("IMPORTRANGE(""https://docs.google.com/spreadsheets/d/1IYY_tgx_IHuhSq3AJ5eI5OnqOPBNLWSHKh2a30DoXe8/edit?usp=sharing"",""กระบี่!J457"")"),"")</f>
        <v/>
      </c>
      <c r="K562" s="169">
        <f t="shared" ca="1" si="121"/>
        <v>0</v>
      </c>
      <c r="L562" s="189"/>
      <c r="M562" s="189"/>
      <c r="N562" s="189"/>
      <c r="O562" s="189"/>
      <c r="P562" s="189"/>
    </row>
    <row r="563" spans="1:16" ht="21.75" customHeight="1" x14ac:dyDescent="0.35">
      <c r="A563" s="183"/>
      <c r="B563" s="184"/>
      <c r="C563" s="184"/>
      <c r="D563" s="201"/>
      <c r="E563" s="203"/>
      <c r="F563" s="203"/>
      <c r="G563" s="204"/>
      <c r="H563" s="481" t="s">
        <v>36</v>
      </c>
      <c r="I563" s="168">
        <f ca="1">IFERROR(__xludf.DUMMYFUNCTION("IMPORTRANGE(""https://docs.google.com/spreadsheets/d/1IYY_tgx_IHuhSq3AJ5eI5OnqOPBNLWSHKh2a30DoXe8/edit?usp=sharing"",""กระบี่!I458"")"),0)</f>
        <v>0</v>
      </c>
      <c r="J563" s="195" t="str">
        <f ca="1">IFERROR(__xludf.DUMMYFUNCTION("IMPORTRANGE(""https://docs.google.com/spreadsheets/d/1IYY_tgx_IHuhSq3AJ5eI5OnqOPBNLWSHKh2a30DoXe8/edit?usp=sharing"",""กระบี่!J458"")"),"")</f>
        <v/>
      </c>
      <c r="K563" s="169">
        <f t="shared" ca="1" si="121"/>
        <v>0</v>
      </c>
      <c r="L563" s="189"/>
      <c r="M563" s="189"/>
      <c r="N563" s="189"/>
      <c r="O563" s="189"/>
      <c r="P563" s="189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IFERROR(__xludf.DUMMYFUNCTION("IMPORTRANGE(""https://docs.google.com/spreadsheets/d/1IYY_tgx_IHuhSq3AJ5eI5OnqOPBNLWSHKh2a30DoXe8/edit?usp=sharing"",""กระบี่!I459"")"),1100)</f>
        <v>1100</v>
      </c>
      <c r="J564" s="377">
        <f ca="1">IFERROR(__xludf.DUMMYFUNCTION("IMPORTRANGE(""https://docs.google.com/spreadsheets/d/1IYY_tgx_IHuhSq3AJ5eI5OnqOPBNLWSHKh2a30DoXe8/edit?usp=sharing"",""กระบี่!J459"")"),1338)</f>
        <v>1338</v>
      </c>
      <c r="K564" s="378">
        <f t="shared" ca="1" si="121"/>
        <v>121.63636363636364</v>
      </c>
      <c r="L564" s="379">
        <f ca="1">IFERROR(__xludf.DUMMYFUNCTION("IMPORTRANGE(""https://docs.google.com/spreadsheets/d/1IYY_tgx_IHuhSq3AJ5eI5OnqOPBNLWSHKh2a30DoXe8/edit?usp=sharing"",""กระบี่!L459"")"),122800)</f>
        <v>122800</v>
      </c>
      <c r="M564" s="379"/>
      <c r="N564" s="379">
        <f ca="1">IFERROR(__xludf.DUMMYFUNCTION("IMPORTRANGE(""https://docs.google.com/spreadsheets/d/1IYY_tgx_IHuhSq3AJ5eI5OnqOPBNLWSHKh2a30DoXe8/edit?usp=sharing"",""กระบี่!M459"")"),33000)</f>
        <v>33000</v>
      </c>
      <c r="O564" s="379">
        <f t="shared" ref="O564:O568" ca="1" si="122">+IF(L564&gt;0,N564*100/L564,0)</f>
        <v>26.872964169381106</v>
      </c>
      <c r="P564" s="379"/>
    </row>
    <row r="565" spans="1:16" ht="21.75" customHeight="1" x14ac:dyDescent="0.35">
      <c r="A565" s="162"/>
      <c r="B565" s="163"/>
      <c r="C565" s="163" t="s">
        <v>16</v>
      </c>
      <c r="D565" s="164" t="s">
        <v>38</v>
      </c>
      <c r="E565" s="165"/>
      <c r="F565" s="165"/>
      <c r="G565" s="166" t="s">
        <v>39</v>
      </c>
      <c r="H565" s="167" t="s">
        <v>12</v>
      </c>
      <c r="I565" s="168" t="s">
        <v>40</v>
      </c>
      <c r="J565" s="168"/>
      <c r="K565" s="169"/>
      <c r="L565" s="170">
        <f ca="1">IFERROR(__xludf.DUMMYFUNCTION("IMPORTRANGE(""https://docs.google.com/spreadsheets/d/1IYY_tgx_IHuhSq3AJ5eI5OnqOPBNLWSHKh2a30DoXe8/edit?usp=sharing"",""กระบี่!L460"")"),0)</f>
        <v>0</v>
      </c>
      <c r="M565" s="170"/>
      <c r="N565" s="176">
        <f ca="1">IFERROR(__xludf.DUMMYFUNCTION("IMPORTRANGE(""https://docs.google.com/spreadsheets/d/1IYY_tgx_IHuhSq3AJ5eI5OnqOPBNLWSHKh2a30DoXe8/edit?usp=sharing"",""กระบี่!M460"")"),0)</f>
        <v>0</v>
      </c>
      <c r="O565" s="176">
        <f t="shared" ca="1" si="122"/>
        <v>0</v>
      </c>
      <c r="P565" s="176"/>
    </row>
    <row r="566" spans="1:16" ht="21.75" customHeight="1" x14ac:dyDescent="0.35">
      <c r="A566" s="162"/>
      <c r="B566" s="163"/>
      <c r="C566" s="163"/>
      <c r="D566" s="172"/>
      <c r="E566" s="165"/>
      <c r="F566" s="165" t="s">
        <v>40</v>
      </c>
      <c r="G566" s="166" t="s">
        <v>41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IFERROR(__xludf.DUMMYFUNCTION("IMPORTRANGE(""https://docs.google.com/spreadsheets/d/1IYY_tgx_IHuhSq3AJ5eI5OnqOPBNLWSHKh2a30DoXe8/edit?usp=sharing"",""กระบี่!L461"")"),122800)</f>
        <v>122800</v>
      </c>
      <c r="M566" s="171"/>
      <c r="N566" s="176">
        <f ca="1">IFERROR(__xludf.DUMMYFUNCTION("IMPORTRANGE(""https://docs.google.com/spreadsheets/d/1IYY_tgx_IHuhSq3AJ5eI5OnqOPBNLWSHKh2a30DoXe8/edit?usp=sharing"",""กระบี่!M461"")"),33000)</f>
        <v>33000</v>
      </c>
      <c r="O566" s="176">
        <f t="shared" ca="1" si="122"/>
        <v>26.872964169381106</v>
      </c>
      <c r="P566" s="176"/>
    </row>
    <row r="567" spans="1:16" ht="21.75" customHeight="1" x14ac:dyDescent="0.35">
      <c r="A567" s="162"/>
      <c r="B567" s="163"/>
      <c r="C567" s="163"/>
      <c r="D567" s="172"/>
      <c r="E567" s="165"/>
      <c r="F567" s="165"/>
      <c r="G567" s="380" t="s">
        <v>129</v>
      </c>
      <c r="H567" s="167" t="s">
        <v>12</v>
      </c>
      <c r="I567" s="168"/>
      <c r="J567" s="168"/>
      <c r="K567" s="169"/>
      <c r="L567" s="176">
        <f ca="1">IFERROR(__xludf.DUMMYFUNCTION("IMPORTRANGE(""https://docs.google.com/spreadsheets/d/1IYY_tgx_IHuhSq3AJ5eI5OnqOPBNLWSHKh2a30DoXe8/edit?usp=sharing"",""กระบี่!L462"")"),0)</f>
        <v>0</v>
      </c>
      <c r="M567" s="176"/>
      <c r="N567" s="176">
        <f ca="1">IFERROR(__xludf.DUMMYFUNCTION("IMPORTRANGE(""https://docs.google.com/spreadsheets/d/1IYY_tgx_IHuhSq3AJ5eI5OnqOPBNLWSHKh2a30DoXe8/edit?usp=sharing"",""กระบี่!M462"")"),0)</f>
        <v>0</v>
      </c>
      <c r="O567" s="176">
        <f t="shared" ca="1" si="122"/>
        <v>0</v>
      </c>
      <c r="P567" s="176"/>
    </row>
    <row r="568" spans="1:16" ht="21.75" customHeight="1" x14ac:dyDescent="0.35">
      <c r="A568" s="162"/>
      <c r="B568" s="163"/>
      <c r="C568" s="163"/>
      <c r="D568" s="172"/>
      <c r="E568" s="165"/>
      <c r="F568" s="165"/>
      <c r="G568" s="380" t="s">
        <v>130</v>
      </c>
      <c r="H568" s="167" t="s">
        <v>12</v>
      </c>
      <c r="I568" s="168"/>
      <c r="J568" s="168"/>
      <c r="K568" s="169"/>
      <c r="L568" s="176">
        <f ca="1">IFERROR(__xludf.DUMMYFUNCTION("IMPORTRANGE(""https://docs.google.com/spreadsheets/d/1IYY_tgx_IHuhSq3AJ5eI5OnqOPBNLWSHKh2a30DoXe8/edit?usp=sharing"",""กระบี่!L463"")"),122800)</f>
        <v>122800</v>
      </c>
      <c r="M568" s="176"/>
      <c r="N568" s="176">
        <f ca="1">IFERROR(__xludf.DUMMYFUNCTION("IMPORTRANGE(""https://docs.google.com/spreadsheets/d/1IYY_tgx_IHuhSq3AJ5eI5OnqOPBNLWSHKh2a30DoXe8/edit?usp=sharing"",""กระบี่!M463"")"),33000)</f>
        <v>33000</v>
      </c>
      <c r="O568" s="176">
        <f t="shared" ca="1" si="122"/>
        <v>26.872964169381106</v>
      </c>
      <c r="P568" s="176"/>
    </row>
    <row r="569" spans="1:16" ht="21.75" customHeight="1" x14ac:dyDescent="0.35">
      <c r="A569" s="381"/>
      <c r="B569" s="382"/>
      <c r="C569" s="163"/>
      <c r="D569" s="383"/>
      <c r="E569" s="165"/>
      <c r="F569" s="165"/>
      <c r="G569" s="384" t="s">
        <v>131</v>
      </c>
      <c r="H569" s="167" t="s">
        <v>12</v>
      </c>
      <c r="I569" s="195"/>
      <c r="J569" s="195"/>
      <c r="K569" s="231"/>
      <c r="L569" s="176"/>
      <c r="M569" s="176"/>
      <c r="N569" s="173">
        <f ca="1">IFERROR(__xludf.DUMMYFUNCTION("IMPORTRANGE(""https://docs.google.com/spreadsheets/d/1IYY_tgx_IHuhSq3AJ5eI5OnqOPBNLWSHKh2a30DoXe8/edit?usp=sharing"",""กระบี่!M464"")"),0)</f>
        <v>0</v>
      </c>
      <c r="O569" s="176"/>
      <c r="P569" s="176"/>
    </row>
    <row r="570" spans="1:16" ht="21.75" customHeight="1" x14ac:dyDescent="0.35">
      <c r="A570" s="381"/>
      <c r="B570" s="382"/>
      <c r="C570" s="163"/>
      <c r="D570" s="383"/>
      <c r="E570" s="165"/>
      <c r="F570" s="165"/>
      <c r="G570" s="384" t="s">
        <v>132</v>
      </c>
      <c r="H570" s="167" t="s">
        <v>12</v>
      </c>
      <c r="I570" s="195"/>
      <c r="J570" s="195"/>
      <c r="K570" s="231"/>
      <c r="L570" s="176"/>
      <c r="M570" s="176"/>
      <c r="N570" s="173">
        <f ca="1">IFERROR(__xludf.DUMMYFUNCTION("IMPORTRANGE(""https://docs.google.com/spreadsheets/d/1IYY_tgx_IHuhSq3AJ5eI5OnqOPBNLWSHKh2a30DoXe8/edit?usp=sharing"",""กระบี่!M465"")"),0)</f>
        <v>0</v>
      </c>
      <c r="O570" s="176"/>
      <c r="P570" s="176"/>
    </row>
    <row r="571" spans="1:16" ht="21.75" customHeight="1" x14ac:dyDescent="0.35">
      <c r="A571" s="381"/>
      <c r="B571" s="382"/>
      <c r="C571" s="163"/>
      <c r="D571" s="383"/>
      <c r="E571" s="165"/>
      <c r="F571" s="165"/>
      <c r="G571" s="384" t="s">
        <v>133</v>
      </c>
      <c r="H571" s="167" t="s">
        <v>12</v>
      </c>
      <c r="I571" s="195"/>
      <c r="J571" s="195"/>
      <c r="K571" s="231"/>
      <c r="L571" s="176"/>
      <c r="M571" s="176"/>
      <c r="N571" s="385">
        <f ca="1">IFERROR(__xludf.DUMMYFUNCTION("IMPORTRANGE(""https://docs.google.com/spreadsheets/d/1IYY_tgx_IHuhSq3AJ5eI5OnqOPBNLWSHKh2a30DoXe8/edit?usp=sharing"",""กระบี่!M466"")"),33000)</f>
        <v>33000</v>
      </c>
      <c r="O571" s="176"/>
      <c r="P571" s="176"/>
    </row>
    <row r="572" spans="1:16" ht="21.75" customHeight="1" x14ac:dyDescent="0.35">
      <c r="A572" s="381"/>
      <c r="B572" s="382"/>
      <c r="C572" s="163"/>
      <c r="D572" s="383"/>
      <c r="E572" s="165"/>
      <c r="F572" s="165"/>
      <c r="G572" s="384" t="s">
        <v>134</v>
      </c>
      <c r="H572" s="167" t="s">
        <v>12</v>
      </c>
      <c r="I572" s="195"/>
      <c r="J572" s="195"/>
      <c r="K572" s="231"/>
      <c r="L572" s="176"/>
      <c r="M572" s="176"/>
      <c r="N572" s="385">
        <f ca="1">IFERROR(__xludf.DUMMYFUNCTION("IMPORTRANGE(""https://docs.google.com/spreadsheets/d/1IYY_tgx_IHuhSq3AJ5eI5OnqOPBNLWSHKh2a30DoXe8/edit?usp=sharing"",""กระบี่!M467"")"),0)</f>
        <v>0</v>
      </c>
      <c r="O572" s="176"/>
      <c r="P572" s="176"/>
    </row>
    <row r="573" spans="1:16" ht="21.75" customHeight="1" x14ac:dyDescent="0.35">
      <c r="A573" s="183"/>
      <c r="B573" s="184"/>
      <c r="C573" s="184"/>
      <c r="D573" s="203"/>
      <c r="E573" s="202" t="s">
        <v>40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IFERROR(__xludf.DUMMYFUNCTION("IMPORTRANGE(""https://docs.google.com/spreadsheets/d/1IYY_tgx_IHuhSq3AJ5eI5OnqOPBNLWSHKh2a30DoXe8/edit?usp=sharing"",""กระบี่!I468"")"),1100)</f>
        <v>1100</v>
      </c>
      <c r="J573" s="426">
        <f ca="1">IFERROR(__xludf.DUMMYFUNCTION("IMPORTRANGE(""https://docs.google.com/spreadsheets/d/1IYY_tgx_IHuhSq3AJ5eI5OnqOPBNLWSHKh2a30DoXe8/edit?usp=sharing"",""กระบี่!J468"")"),1338)</f>
        <v>1338</v>
      </c>
      <c r="K573" s="209">
        <f ca="1">IF(I573&gt;0,J573*100/I573,0)</f>
        <v>121.63636363636364</v>
      </c>
      <c r="L573" s="189"/>
      <c r="M573" s="189"/>
      <c r="N573" s="189"/>
      <c r="O573" s="189"/>
      <c r="P573" s="189"/>
    </row>
    <row r="574" spans="1:16" ht="21.75" customHeight="1" x14ac:dyDescent="0.35">
      <c r="A574" s="183"/>
      <c r="B574" s="184"/>
      <c r="C574" s="184"/>
      <c r="D574" s="203"/>
      <c r="E574" s="203"/>
      <c r="F574" s="202" t="s">
        <v>210</v>
      </c>
      <c r="G574" s="204"/>
      <c r="H574" s="481"/>
      <c r="I574" s="168"/>
      <c r="J574" s="168"/>
      <c r="K574" s="169"/>
      <c r="L574" s="189"/>
      <c r="M574" s="189"/>
      <c r="N574" s="189"/>
      <c r="O574" s="189"/>
      <c r="P574" s="189"/>
    </row>
    <row r="575" spans="1:16" ht="21.75" customHeight="1" x14ac:dyDescent="0.35">
      <c r="A575" s="183"/>
      <c r="B575" s="184"/>
      <c r="C575" s="184"/>
      <c r="D575" s="203"/>
      <c r="E575" s="202" t="s">
        <v>40</v>
      </c>
      <c r="F575" s="202" t="s">
        <v>211</v>
      </c>
      <c r="G575" s="204"/>
      <c r="H575" s="481" t="s">
        <v>77</v>
      </c>
      <c r="I575" s="210">
        <f ca="1">IFERROR(__xludf.DUMMYFUNCTION("IMPORTRANGE(""https://docs.google.com/spreadsheets/d/1IYY_tgx_IHuhSq3AJ5eI5OnqOPBNLWSHKh2a30DoXe8/edit?usp=sharing"",""กระบี่!I470"")"),0)</f>
        <v>0</v>
      </c>
      <c r="J575" s="205">
        <f ca="1">IFERROR(__xludf.DUMMYFUNCTION("IMPORTRANGE(""https://docs.google.com/spreadsheets/d/1IYY_tgx_IHuhSq3AJ5eI5OnqOPBNLWSHKh2a30DoXe8/edit?usp=sharing"",""กระบี่!J470"")"),3)</f>
        <v>3</v>
      </c>
      <c r="K575" s="169">
        <f t="shared" ref="K575:K579" ca="1" si="123">IF(I575&gt;0,J575*100/I575,0)</f>
        <v>0</v>
      </c>
      <c r="L575" s="189"/>
      <c r="M575" s="189"/>
      <c r="N575" s="189"/>
      <c r="O575" s="189"/>
      <c r="P575" s="189"/>
    </row>
    <row r="576" spans="1:16" ht="21.75" customHeight="1" x14ac:dyDescent="0.35">
      <c r="A576" s="183"/>
      <c r="B576" s="184"/>
      <c r="C576" s="184"/>
      <c r="D576" s="203"/>
      <c r="E576" s="203"/>
      <c r="F576" s="202" t="s">
        <v>212</v>
      </c>
      <c r="G576" s="204"/>
      <c r="H576" s="481" t="s">
        <v>37</v>
      </c>
      <c r="I576" s="210">
        <f ca="1">IFERROR(__xludf.DUMMYFUNCTION("IMPORTRANGE(""https://docs.google.com/spreadsheets/d/1IYY_tgx_IHuhSq3AJ5eI5OnqOPBNLWSHKh2a30DoXe8/edit?usp=sharing"",""กระบี่!I471"")"),0)</f>
        <v>0</v>
      </c>
      <c r="J576" s="205">
        <f ca="1">IFERROR(__xludf.DUMMYFUNCTION("IMPORTRANGE(""https://docs.google.com/spreadsheets/d/1IYY_tgx_IHuhSq3AJ5eI5OnqOPBNLWSHKh2a30DoXe8/edit?usp=sharing"",""กระบี่!J471"")"),91)</f>
        <v>91</v>
      </c>
      <c r="K576" s="169">
        <f t="shared" ca="1" si="123"/>
        <v>0</v>
      </c>
      <c r="L576" s="189"/>
      <c r="M576" s="189"/>
      <c r="N576" s="189"/>
      <c r="O576" s="189"/>
      <c r="P576" s="189"/>
    </row>
    <row r="577" spans="1:16" ht="21.75" customHeight="1" x14ac:dyDescent="0.35">
      <c r="A577" s="183"/>
      <c r="B577" s="184"/>
      <c r="C577" s="184"/>
      <c r="D577" s="203"/>
      <c r="E577" s="203"/>
      <c r="F577" s="202" t="s">
        <v>213</v>
      </c>
      <c r="G577" s="204"/>
      <c r="H577" s="481" t="s">
        <v>37</v>
      </c>
      <c r="I577" s="210">
        <f ca="1">IFERROR(__xludf.DUMMYFUNCTION("IMPORTRANGE(""https://docs.google.com/spreadsheets/d/1IYY_tgx_IHuhSq3AJ5eI5OnqOPBNLWSHKh2a30DoXe8/edit?usp=sharing"",""กระบี่!I472"")"),0)</f>
        <v>0</v>
      </c>
      <c r="J577" s="196">
        <f ca="1">IFERROR(__xludf.DUMMYFUNCTION("IMPORTRANGE(""https://docs.google.com/spreadsheets/d/1IYY_tgx_IHuhSq3AJ5eI5OnqOPBNLWSHKh2a30DoXe8/edit?usp=sharing"",""กระบี่!J472"")"),1247)</f>
        <v>1247</v>
      </c>
      <c r="K577" s="169">
        <f t="shared" ca="1" si="123"/>
        <v>0</v>
      </c>
      <c r="L577" s="189"/>
      <c r="M577" s="189"/>
      <c r="N577" s="189"/>
      <c r="O577" s="189"/>
      <c r="P577" s="189"/>
    </row>
    <row r="578" spans="1:16" ht="21.75" customHeight="1" x14ac:dyDescent="0.35">
      <c r="A578" s="183"/>
      <c r="B578" s="184"/>
      <c r="C578" s="184"/>
      <c r="D578" s="203"/>
      <c r="E578" s="203"/>
      <c r="F578" s="202" t="s">
        <v>214</v>
      </c>
      <c r="G578" s="427"/>
      <c r="H578" s="481" t="s">
        <v>37</v>
      </c>
      <c r="I578" s="210">
        <f ca="1">IFERROR(__xludf.DUMMYFUNCTION("IMPORTRANGE(""https://docs.google.com/spreadsheets/d/1IYY_tgx_IHuhSq3AJ5eI5OnqOPBNLWSHKh2a30DoXe8/edit?usp=sharing"",""กระบี่!I473"")"),0)</f>
        <v>0</v>
      </c>
      <c r="J578" s="205">
        <f ca="1">IFERROR(__xludf.DUMMYFUNCTION("IMPORTRANGE(""https://docs.google.com/spreadsheets/d/1IYY_tgx_IHuhSq3AJ5eI5OnqOPBNLWSHKh2a30DoXe8/edit?usp=sharing"",""กระบี่!J473"")"),0)</f>
        <v>0</v>
      </c>
      <c r="K578" s="169">
        <f t="shared" ca="1" si="123"/>
        <v>0</v>
      </c>
      <c r="L578" s="189"/>
      <c r="M578" s="189"/>
      <c r="N578" s="189"/>
      <c r="O578" s="189"/>
      <c r="P578" s="189"/>
    </row>
    <row r="579" spans="1:16" ht="21.75" customHeight="1" x14ac:dyDescent="0.35">
      <c r="A579" s="183"/>
      <c r="B579" s="184"/>
      <c r="C579" s="184"/>
      <c r="D579" s="203"/>
      <c r="E579" s="203"/>
      <c r="F579" s="202" t="s">
        <v>215</v>
      </c>
      <c r="G579" s="427"/>
      <c r="H579" s="481" t="s">
        <v>37</v>
      </c>
      <c r="I579" s="210">
        <f ca="1">IFERROR(__xludf.DUMMYFUNCTION("IMPORTRANGE(""https://docs.google.com/spreadsheets/d/1IYY_tgx_IHuhSq3AJ5eI5OnqOPBNLWSHKh2a30DoXe8/edit?usp=sharing"",""กระบี่!I474"")"),0)</f>
        <v>0</v>
      </c>
      <c r="J579" s="205">
        <f ca="1">IFERROR(__xludf.DUMMYFUNCTION("IMPORTRANGE(""https://docs.google.com/spreadsheets/d/1IYY_tgx_IHuhSq3AJ5eI5OnqOPBNLWSHKh2a30DoXe8/edit?usp=sharing"",""กระบี่!J474"")"),0)</f>
        <v>0</v>
      </c>
      <c r="K579" s="169">
        <f t="shared" ca="1" si="123"/>
        <v>0</v>
      </c>
      <c r="L579" s="189"/>
      <c r="M579" s="189"/>
      <c r="N579" s="189"/>
      <c r="O579" s="189"/>
      <c r="P579" s="189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IFERROR(__xludf.DUMMYFUNCTION("IMPORTRANGE(""https://docs.google.com/spreadsheets/d/1IYY_tgx_IHuhSq3AJ5eI5OnqOPBNLWSHKh2a30DoXe8/edit?usp=sharing"",""กระบี่!I475"")"),0)</f>
        <v>0</v>
      </c>
      <c r="J580" s="377">
        <f ca="1">IFERROR(__xludf.DUMMYFUNCTION("IMPORTRANGE(""https://docs.google.com/spreadsheets/d/1IYY_tgx_IHuhSq3AJ5eI5OnqOPBNLWSHKh2a30DoXe8/edit?usp=sharing"",""กระบี่!J475"")"),0)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IFERROR(__xludf.DUMMYFUNCTION("IMPORTRANGE(""https://docs.google.com/spreadsheets/d/1IYY_tgx_IHuhSq3AJ5eI5OnqOPBNLWSHKh2a30DoXe8/edit?usp=sharing"",""กระบี่!L475"")"),0)</f>
        <v>0</v>
      </c>
      <c r="M580" s="379"/>
      <c r="N580" s="379">
        <f ca="1">IFERROR(__xludf.DUMMYFUNCTION("IMPORTRANGE(""https://docs.google.com/spreadsheets/d/1IYY_tgx_IHuhSq3AJ5eI5OnqOPBNLWSHKh2a30DoXe8/edit?usp=sharing"",""กระบี่!M475"")"),0)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164" t="s">
        <v>38</v>
      </c>
      <c r="E581" s="165"/>
      <c r="F581" s="165"/>
      <c r="G581" s="166" t="s">
        <v>39</v>
      </c>
      <c r="H581" s="167" t="s">
        <v>12</v>
      </c>
      <c r="I581" s="168" t="s">
        <v>40</v>
      </c>
      <c r="J581" s="168"/>
      <c r="K581" s="169"/>
      <c r="L581" s="170">
        <f ca="1">IFERROR(__xludf.DUMMYFUNCTION("IMPORTRANGE(""https://docs.google.com/spreadsheets/d/1IYY_tgx_IHuhSq3AJ5eI5OnqOPBNLWSHKh2a30DoXe8/edit?usp=sharing"",""กระบี่!L476"")"),0)</f>
        <v>0</v>
      </c>
      <c r="M581" s="170"/>
      <c r="N581" s="176">
        <f ca="1">IFERROR(__xludf.DUMMYFUNCTION("IMPORTRANGE(""https://docs.google.com/spreadsheets/d/1IYY_tgx_IHuhSq3AJ5eI5OnqOPBNLWSHKh2a30DoXe8/edit?usp=sharing"",""กระบี่!M476"")"),0)</f>
        <v>0</v>
      </c>
      <c r="O581" s="176">
        <f t="shared" ca="1" si="124"/>
        <v>0</v>
      </c>
      <c r="P581" s="176"/>
    </row>
    <row r="582" spans="1:16" ht="21.75" customHeight="1" x14ac:dyDescent="0.35">
      <c r="A582" s="162"/>
      <c r="B582" s="163"/>
      <c r="C582" s="163"/>
      <c r="D582" s="172"/>
      <c r="E582" s="165"/>
      <c r="F582" s="165" t="s">
        <v>40</v>
      </c>
      <c r="G582" s="166" t="s">
        <v>41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IFERROR(__xludf.DUMMYFUNCTION("IMPORTRANGE(""https://docs.google.com/spreadsheets/d/1IYY_tgx_IHuhSq3AJ5eI5OnqOPBNLWSHKh2a30DoXe8/edit?usp=sharing"",""กระบี่!L477"")"),0)</f>
        <v>0</v>
      </c>
      <c r="M582" s="171"/>
      <c r="N582" s="176">
        <f ca="1">IFERROR(__xludf.DUMMYFUNCTION("IMPORTRANGE(""https://docs.google.com/spreadsheets/d/1IYY_tgx_IHuhSq3AJ5eI5OnqOPBNLWSHKh2a30DoXe8/edit?usp=sharing"",""กระบี่!M477"")"),0)</f>
        <v>0</v>
      </c>
      <c r="O582" s="176">
        <f t="shared" ca="1" si="124"/>
        <v>0</v>
      </c>
      <c r="P582" s="176"/>
    </row>
    <row r="583" spans="1:16" ht="21.75" customHeight="1" x14ac:dyDescent="0.35">
      <c r="A583" s="162"/>
      <c r="B583" s="163"/>
      <c r="C583" s="163"/>
      <c r="D583" s="172"/>
      <c r="E583" s="165"/>
      <c r="F583" s="165"/>
      <c r="G583" s="380" t="s">
        <v>129</v>
      </c>
      <c r="H583" s="167" t="s">
        <v>12</v>
      </c>
      <c r="I583" s="168"/>
      <c r="J583" s="168"/>
      <c r="K583" s="169"/>
      <c r="L583" s="176">
        <f ca="1">IFERROR(__xludf.DUMMYFUNCTION("IMPORTRANGE(""https://docs.google.com/spreadsheets/d/1IYY_tgx_IHuhSq3AJ5eI5OnqOPBNLWSHKh2a30DoXe8/edit?usp=sharing"",""กระบี่!L478"")"),0)</f>
        <v>0</v>
      </c>
      <c r="M583" s="176"/>
      <c r="N583" s="176">
        <f ca="1">IFERROR(__xludf.DUMMYFUNCTION("IMPORTRANGE(""https://docs.google.com/spreadsheets/d/1IYY_tgx_IHuhSq3AJ5eI5OnqOPBNLWSHKh2a30DoXe8/edit?usp=sharing"",""กระบี่!M478"")"),0)</f>
        <v>0</v>
      </c>
      <c r="O583" s="176">
        <f t="shared" ca="1" si="124"/>
        <v>0</v>
      </c>
      <c r="P583" s="176"/>
    </row>
    <row r="584" spans="1:16" ht="21.75" customHeight="1" x14ac:dyDescent="0.35">
      <c r="A584" s="162"/>
      <c r="B584" s="163"/>
      <c r="C584" s="163"/>
      <c r="D584" s="172"/>
      <c r="E584" s="165"/>
      <c r="F584" s="165"/>
      <c r="G584" s="380" t="s">
        <v>130</v>
      </c>
      <c r="H584" s="167" t="s">
        <v>12</v>
      </c>
      <c r="I584" s="168"/>
      <c r="J584" s="168"/>
      <c r="K584" s="169"/>
      <c r="L584" s="176">
        <f ca="1">IFERROR(__xludf.DUMMYFUNCTION("IMPORTRANGE(""https://docs.google.com/spreadsheets/d/1IYY_tgx_IHuhSq3AJ5eI5OnqOPBNLWSHKh2a30DoXe8/edit?usp=sharing"",""กระบี่!L479"")"),0)</f>
        <v>0</v>
      </c>
      <c r="M584" s="176"/>
      <c r="N584" s="176">
        <f ca="1">IFERROR(__xludf.DUMMYFUNCTION("IMPORTRANGE(""https://docs.google.com/spreadsheets/d/1IYY_tgx_IHuhSq3AJ5eI5OnqOPBNLWSHKh2a30DoXe8/edit?usp=sharing"",""กระบี่!M479"")"),0)</f>
        <v>0</v>
      </c>
      <c r="O584" s="176">
        <f t="shared" ca="1" si="124"/>
        <v>0</v>
      </c>
      <c r="P584" s="176"/>
    </row>
    <row r="585" spans="1:16" ht="21.75" customHeight="1" x14ac:dyDescent="0.35">
      <c r="A585" s="381"/>
      <c r="B585" s="382"/>
      <c r="C585" s="163"/>
      <c r="D585" s="383"/>
      <c r="E585" s="165"/>
      <c r="F585" s="165"/>
      <c r="G585" s="384" t="s">
        <v>131</v>
      </c>
      <c r="H585" s="167" t="s">
        <v>12</v>
      </c>
      <c r="I585" s="195"/>
      <c r="J585" s="195"/>
      <c r="K585" s="231"/>
      <c r="L585" s="176"/>
      <c r="M585" s="176"/>
      <c r="N585" s="173">
        <f ca="1">IFERROR(__xludf.DUMMYFUNCTION("IMPORTRANGE(""https://docs.google.com/spreadsheets/d/1IYY_tgx_IHuhSq3AJ5eI5OnqOPBNLWSHKh2a30DoXe8/edit?usp=sharing"",""กระบี่!M480"")"),0)</f>
        <v>0</v>
      </c>
      <c r="O585" s="176"/>
      <c r="P585" s="176"/>
    </row>
    <row r="586" spans="1:16" ht="21.75" customHeight="1" x14ac:dyDescent="0.35">
      <c r="A586" s="381"/>
      <c r="B586" s="382"/>
      <c r="C586" s="163"/>
      <c r="D586" s="383"/>
      <c r="E586" s="165"/>
      <c r="F586" s="165"/>
      <c r="G586" s="384" t="s">
        <v>132</v>
      </c>
      <c r="H586" s="167" t="s">
        <v>12</v>
      </c>
      <c r="I586" s="195"/>
      <c r="J586" s="195"/>
      <c r="K586" s="231"/>
      <c r="L586" s="176"/>
      <c r="M586" s="176"/>
      <c r="N586" s="173">
        <f ca="1">IFERROR(__xludf.DUMMYFUNCTION("IMPORTRANGE(""https://docs.google.com/spreadsheets/d/1IYY_tgx_IHuhSq3AJ5eI5OnqOPBNLWSHKh2a30DoXe8/edit?usp=sharing"",""กระบี่!M481"")"),0)</f>
        <v>0</v>
      </c>
      <c r="O586" s="176"/>
      <c r="P586" s="176"/>
    </row>
    <row r="587" spans="1:16" ht="21.75" customHeight="1" x14ac:dyDescent="0.35">
      <c r="A587" s="381"/>
      <c r="B587" s="382"/>
      <c r="C587" s="163"/>
      <c r="D587" s="383"/>
      <c r="E587" s="165"/>
      <c r="F587" s="165"/>
      <c r="G587" s="384" t="s">
        <v>133</v>
      </c>
      <c r="H587" s="167" t="s">
        <v>12</v>
      </c>
      <c r="I587" s="195"/>
      <c r="J587" s="195"/>
      <c r="K587" s="231"/>
      <c r="L587" s="176"/>
      <c r="M587" s="176"/>
      <c r="N587" s="173">
        <f ca="1">IFERROR(__xludf.DUMMYFUNCTION("IMPORTRANGE(""https://docs.google.com/spreadsheets/d/1IYY_tgx_IHuhSq3AJ5eI5OnqOPBNLWSHKh2a30DoXe8/edit?usp=sharing"",""กระบี่!M482"")"),0)</f>
        <v>0</v>
      </c>
      <c r="O587" s="176"/>
      <c r="P587" s="176"/>
    </row>
    <row r="588" spans="1:16" ht="21.75" customHeight="1" x14ac:dyDescent="0.35">
      <c r="A588" s="381"/>
      <c r="B588" s="382"/>
      <c r="C588" s="163"/>
      <c r="D588" s="383"/>
      <c r="E588" s="165"/>
      <c r="F588" s="165"/>
      <c r="G588" s="384" t="s">
        <v>134</v>
      </c>
      <c r="H588" s="167" t="s">
        <v>12</v>
      </c>
      <c r="I588" s="195"/>
      <c r="J588" s="195"/>
      <c r="K588" s="231"/>
      <c r="L588" s="176"/>
      <c r="M588" s="176"/>
      <c r="N588" s="173">
        <f ca="1">IFERROR(__xludf.DUMMYFUNCTION("IMPORTRANGE(""https://docs.google.com/spreadsheets/d/1IYY_tgx_IHuhSq3AJ5eI5OnqOPBNLWSHKh2a30DoXe8/edit?usp=sharing"",""กระบี่!M483"")"),0)</f>
        <v>0</v>
      </c>
      <c r="O588" s="176"/>
      <c r="P588" s="176"/>
    </row>
    <row r="589" spans="1:16" ht="21.75" customHeight="1" x14ac:dyDescent="0.35">
      <c r="A589" s="484"/>
      <c r="B589" s="172"/>
      <c r="C589" s="163"/>
      <c r="D589" s="297"/>
      <c r="E589" s="202" t="s">
        <v>217</v>
      </c>
      <c r="F589" s="203"/>
      <c r="G589" s="204"/>
      <c r="H589" s="188" t="s">
        <v>36</v>
      </c>
      <c r="I589" s="347">
        <f ca="1">IFERROR(__xludf.DUMMYFUNCTION("IMPORTRANGE(""https://docs.google.com/spreadsheets/d/1IYY_tgx_IHuhSq3AJ5eI5OnqOPBNLWSHKh2a30DoXe8/edit?usp=sharing"",""กระบี่!I484"")"),0)</f>
        <v>0</v>
      </c>
      <c r="J589" s="195">
        <f ca="1">IFERROR(__xludf.DUMMYFUNCTION("IMPORTRANGE(""https://docs.google.com/spreadsheets/d/1IYY_tgx_IHuhSq3AJ5eI5OnqOPBNLWSHKh2a30DoXe8/edit?usp=sharing"",""กระบี่!J484"")"),0)</f>
        <v>0</v>
      </c>
      <c r="K589" s="169">
        <f t="shared" ref="K589:K596" ca="1" si="125">IF(I589&gt;0,J589*100/I589,0)</f>
        <v>0</v>
      </c>
      <c r="L589" s="189"/>
      <c r="M589" s="189"/>
      <c r="N589" s="176"/>
      <c r="O589" s="189"/>
      <c r="P589" s="189"/>
    </row>
    <row r="590" spans="1:16" ht="21.75" customHeight="1" x14ac:dyDescent="0.35">
      <c r="A590" s="484"/>
      <c r="B590" s="172"/>
      <c r="C590" s="163"/>
      <c r="D590" s="297"/>
      <c r="E590" s="203"/>
      <c r="F590" s="203"/>
      <c r="G590" s="204"/>
      <c r="H590" s="188" t="s">
        <v>122</v>
      </c>
      <c r="I590" s="351">
        <f ca="1">IFERROR(__xludf.DUMMYFUNCTION("IMPORTRANGE(""https://docs.google.com/spreadsheets/d/1IYY_tgx_IHuhSq3AJ5eI5OnqOPBNLWSHKh2a30DoXe8/edit?usp=sharing"",""กระบี่!I485"")"),0)</f>
        <v>0</v>
      </c>
      <c r="J590" s="195">
        <f ca="1">IFERROR(__xludf.DUMMYFUNCTION("IMPORTRANGE(""https://docs.google.com/spreadsheets/d/1IYY_tgx_IHuhSq3AJ5eI5OnqOPBNLWSHKh2a30DoXe8/edit?usp=sharing"",""กระบี่!J485"")"),0)</f>
        <v>0</v>
      </c>
      <c r="K590" s="485">
        <f t="shared" ca="1" si="125"/>
        <v>0</v>
      </c>
      <c r="L590" s="189"/>
      <c r="M590" s="189"/>
      <c r="N590" s="176"/>
      <c r="O590" s="189"/>
      <c r="P590" s="189"/>
    </row>
    <row r="591" spans="1:16" ht="21.75" customHeight="1" x14ac:dyDescent="0.35">
      <c r="A591" s="484"/>
      <c r="B591" s="172"/>
      <c r="C591" s="163"/>
      <c r="D591" s="297"/>
      <c r="E591" s="202" t="s">
        <v>123</v>
      </c>
      <c r="F591" s="203"/>
      <c r="G591" s="204"/>
      <c r="H591" s="188" t="s">
        <v>37</v>
      </c>
      <c r="I591" s="347">
        <f ca="1">IFERROR(__xludf.DUMMYFUNCTION("IMPORTRANGE(""https://docs.google.com/spreadsheets/d/1IYY_tgx_IHuhSq3AJ5eI5OnqOPBNLWSHKh2a30DoXe8/edit?usp=sharing"",""กระบี่!I486"")"),0)</f>
        <v>0</v>
      </c>
      <c r="J591" s="195">
        <f ca="1">IFERROR(__xludf.DUMMYFUNCTION("IMPORTRANGE(""https://docs.google.com/spreadsheets/d/1IYY_tgx_IHuhSq3AJ5eI5OnqOPBNLWSHKh2a30DoXe8/edit?usp=sharing"",""กระบี่!J486"")"),0)</f>
        <v>0</v>
      </c>
      <c r="K591" s="169">
        <f t="shared" ca="1" si="125"/>
        <v>0</v>
      </c>
      <c r="L591" s="189"/>
      <c r="M591" s="189"/>
      <c r="N591" s="189"/>
      <c r="O591" s="189"/>
      <c r="P591" s="189"/>
    </row>
    <row r="592" spans="1:16" ht="21.75" customHeight="1" x14ac:dyDescent="0.35">
      <c r="A592" s="484"/>
      <c r="B592" s="172"/>
      <c r="C592" s="163"/>
      <c r="D592" s="297"/>
      <c r="E592" s="203"/>
      <c r="F592" s="203"/>
      <c r="G592" s="204"/>
      <c r="H592" s="188" t="s">
        <v>122</v>
      </c>
      <c r="I592" s="351">
        <f ca="1">IFERROR(__xludf.DUMMYFUNCTION("IMPORTRANGE(""https://docs.google.com/spreadsheets/d/1IYY_tgx_IHuhSq3AJ5eI5OnqOPBNLWSHKh2a30DoXe8/edit?usp=sharing"",""กระบี่!I487"")"),0)</f>
        <v>0</v>
      </c>
      <c r="J592" s="195">
        <f ca="1">IFERROR(__xludf.DUMMYFUNCTION("IMPORTRANGE(""https://docs.google.com/spreadsheets/d/1IYY_tgx_IHuhSq3AJ5eI5OnqOPBNLWSHKh2a30DoXe8/edit?usp=sharing"",""กระบี่!J487"")"),0)</f>
        <v>0</v>
      </c>
      <c r="K592" s="348">
        <f t="shared" ca="1" si="125"/>
        <v>0</v>
      </c>
      <c r="L592" s="189"/>
      <c r="M592" s="189"/>
      <c r="N592" s="189"/>
      <c r="O592" s="189"/>
      <c r="P592" s="189"/>
    </row>
    <row r="593" spans="1:16" ht="21.75" customHeight="1" x14ac:dyDescent="0.35">
      <c r="A593" s="484"/>
      <c r="B593" s="172"/>
      <c r="C593" s="163"/>
      <c r="D593" s="297"/>
      <c r="E593" s="202" t="s">
        <v>124</v>
      </c>
      <c r="F593" s="203"/>
      <c r="G593" s="204"/>
      <c r="H593" s="188" t="s">
        <v>37</v>
      </c>
      <c r="I593" s="347">
        <f ca="1">IFERROR(__xludf.DUMMYFUNCTION("IMPORTRANGE(""https://docs.google.com/spreadsheets/d/1IYY_tgx_IHuhSq3AJ5eI5OnqOPBNLWSHKh2a30DoXe8/edit?usp=sharing"",""กระบี่!I488"")"),0)</f>
        <v>0</v>
      </c>
      <c r="J593" s="195">
        <f ca="1">IFERROR(__xludf.DUMMYFUNCTION("IMPORTRANGE(""https://docs.google.com/spreadsheets/d/1IYY_tgx_IHuhSq3AJ5eI5OnqOPBNLWSHKh2a30DoXe8/edit?usp=sharing"",""กระบี่!J488"")"),0)</f>
        <v>0</v>
      </c>
      <c r="K593" s="169">
        <f t="shared" ca="1" si="125"/>
        <v>0</v>
      </c>
      <c r="L593" s="189"/>
      <c r="M593" s="189"/>
      <c r="N593" s="189"/>
      <c r="O593" s="189"/>
      <c r="P593" s="189"/>
    </row>
    <row r="594" spans="1:16" ht="21.75" customHeight="1" x14ac:dyDescent="0.35">
      <c r="A594" s="484"/>
      <c r="B594" s="172"/>
      <c r="C594" s="163"/>
      <c r="D594" s="297"/>
      <c r="E594" s="203"/>
      <c r="F594" s="203"/>
      <c r="G594" s="204"/>
      <c r="H594" s="188" t="s">
        <v>122</v>
      </c>
      <c r="I594" s="351">
        <f ca="1">IFERROR(__xludf.DUMMYFUNCTION("IMPORTRANGE(""https://docs.google.com/spreadsheets/d/1IYY_tgx_IHuhSq3AJ5eI5OnqOPBNLWSHKh2a30DoXe8/edit?usp=sharing"",""กระบี่!I489"")"),0)</f>
        <v>0</v>
      </c>
      <c r="J594" s="195">
        <f ca="1">IFERROR(__xludf.DUMMYFUNCTION("IMPORTRANGE(""https://docs.google.com/spreadsheets/d/1IYY_tgx_IHuhSq3AJ5eI5OnqOPBNLWSHKh2a30DoXe8/edit?usp=sharing"",""กระบี่!J489"")"),0)</f>
        <v>0</v>
      </c>
      <c r="K594" s="348">
        <f t="shared" ca="1" si="125"/>
        <v>0</v>
      </c>
      <c r="L594" s="189"/>
      <c r="M594" s="189"/>
      <c r="N594" s="189"/>
      <c r="O594" s="189"/>
      <c r="P594" s="189"/>
    </row>
    <row r="595" spans="1:16" ht="21.75" customHeight="1" x14ac:dyDescent="0.35">
      <c r="A595" s="484"/>
      <c r="B595" s="172"/>
      <c r="C595" s="163"/>
      <c r="D595" s="297"/>
      <c r="E595" s="202" t="s">
        <v>125</v>
      </c>
      <c r="F595" s="203"/>
      <c r="G595" s="204"/>
      <c r="H595" s="188" t="s">
        <v>37</v>
      </c>
      <c r="I595" s="347">
        <f ca="1">IFERROR(__xludf.DUMMYFUNCTION("IMPORTRANGE(""https://docs.google.com/spreadsheets/d/1IYY_tgx_IHuhSq3AJ5eI5OnqOPBNLWSHKh2a30DoXe8/edit?usp=sharing"",""กระบี่!I490"")"),0)</f>
        <v>0</v>
      </c>
      <c r="J595" s="195">
        <f ca="1">IFERROR(__xludf.DUMMYFUNCTION("IMPORTRANGE(""https://docs.google.com/spreadsheets/d/1IYY_tgx_IHuhSq3AJ5eI5OnqOPBNLWSHKh2a30DoXe8/edit?usp=sharing"",""กระบี่!J490"")"),0)</f>
        <v>0</v>
      </c>
      <c r="K595" s="169">
        <f t="shared" ca="1" si="125"/>
        <v>0</v>
      </c>
      <c r="L595" s="189"/>
      <c r="M595" s="189"/>
      <c r="N595" s="189"/>
      <c r="O595" s="189"/>
      <c r="P595" s="189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IFERROR(__xludf.DUMMYFUNCTION("IMPORTRANGE(""https://docs.google.com/spreadsheets/d/1IYY_tgx_IHuhSq3AJ5eI5OnqOPBNLWSHKh2a30DoXe8/edit?usp=sharing"",""กระบี่!I491"")"),0)</f>
        <v>0</v>
      </c>
      <c r="J596" s="248">
        <f ca="1">IFERROR(__xludf.DUMMYFUNCTION("IMPORTRANGE(""https://docs.google.com/spreadsheets/d/1IYY_tgx_IHuhSq3AJ5eI5OnqOPBNLWSHKh2a30DoXe8/edit?usp=sharing"",""กระบี่!J491"")"),0)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IFERROR(__xludf.DUMMYFUNCTION("IMPORTRANGE(""https://docs.google.com/spreadsheets/d/1IYY_tgx_IHuhSq3AJ5eI5OnqOPBNLWSHKh2a30DoXe8/edit?usp=sharing"",""กระบี่!I492"")"),428)</f>
        <v>428</v>
      </c>
      <c r="J597" s="493">
        <f ca="1">IFERROR(__xludf.DUMMYFUNCTION("IMPORTRANGE(""https://docs.google.com/spreadsheets/d/1IYY_tgx_IHuhSq3AJ5eI5OnqOPBNLWSHKh2a30DoXe8/edit?usp=sharing"",""กระบี่!J492"")"),0)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IFERROR(__xludf.DUMMYFUNCTION("IMPORTRANGE(""https://docs.google.com/spreadsheets/d/1IYY_tgx_IHuhSq3AJ5eI5OnqOPBNLWSHKh2a30DoXe8/edit?usp=sharing"",""กระบี่!L492"")"),26140)</f>
        <v>26140</v>
      </c>
      <c r="M597" s="418"/>
      <c r="N597" s="418">
        <f ca="1">IFERROR(__xludf.DUMMYFUNCTION("IMPORTRANGE(""https://docs.google.com/spreadsheets/d/1IYY_tgx_IHuhSq3AJ5eI5OnqOPBNLWSHKh2a30DoXe8/edit?usp=sharing"",""กระบี่!M492"")"),2600)</f>
        <v>2600</v>
      </c>
      <c r="O597" s="418">
        <f t="shared" ref="O597:O601" ca="1" si="126">+IF(L597&gt;0,N597*100/L597,0)</f>
        <v>9.946442234123948</v>
      </c>
      <c r="P597" s="418"/>
    </row>
    <row r="598" spans="1:16" ht="21.75" customHeight="1" x14ac:dyDescent="0.35">
      <c r="A598" s="162"/>
      <c r="B598" s="163"/>
      <c r="C598" s="163" t="s">
        <v>16</v>
      </c>
      <c r="D598" s="164" t="s">
        <v>38</v>
      </c>
      <c r="E598" s="165"/>
      <c r="F598" s="165"/>
      <c r="G598" s="166" t="s">
        <v>39</v>
      </c>
      <c r="H598" s="167" t="s">
        <v>12</v>
      </c>
      <c r="I598" s="168" t="s">
        <v>40</v>
      </c>
      <c r="J598" s="168"/>
      <c r="K598" s="169"/>
      <c r="L598" s="170">
        <f ca="1">IFERROR(__xludf.DUMMYFUNCTION("IMPORTRANGE(""https://docs.google.com/spreadsheets/d/1IYY_tgx_IHuhSq3AJ5eI5OnqOPBNLWSHKh2a30DoXe8/edit?usp=sharing"",""กระบี่!L493"")"),0)</f>
        <v>0</v>
      </c>
      <c r="M598" s="170"/>
      <c r="N598" s="176">
        <f ca="1">IFERROR(__xludf.DUMMYFUNCTION("IMPORTRANGE(""https://docs.google.com/spreadsheets/d/1IYY_tgx_IHuhSq3AJ5eI5OnqOPBNLWSHKh2a30DoXe8/edit?usp=sharing"",""กระบี่!M493"")"),0)</f>
        <v>0</v>
      </c>
      <c r="O598" s="176">
        <f t="shared" ca="1" si="126"/>
        <v>0</v>
      </c>
      <c r="P598" s="176"/>
    </row>
    <row r="599" spans="1:16" ht="21.75" customHeight="1" x14ac:dyDescent="0.35">
      <c r="A599" s="162"/>
      <c r="B599" s="163"/>
      <c r="C599" s="163"/>
      <c r="D599" s="172"/>
      <c r="E599" s="165"/>
      <c r="F599" s="165" t="s">
        <v>40</v>
      </c>
      <c r="G599" s="166" t="s">
        <v>41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IFERROR(__xludf.DUMMYFUNCTION("IMPORTRANGE(""https://docs.google.com/spreadsheets/d/1IYY_tgx_IHuhSq3AJ5eI5OnqOPBNLWSHKh2a30DoXe8/edit?usp=sharing"",""กระบี่!L494"")"),26140)</f>
        <v>26140</v>
      </c>
      <c r="M599" s="171"/>
      <c r="N599" s="176">
        <f ca="1">IFERROR(__xludf.DUMMYFUNCTION("IMPORTRANGE(""https://docs.google.com/spreadsheets/d/1IYY_tgx_IHuhSq3AJ5eI5OnqOPBNLWSHKh2a30DoXe8/edit?usp=sharing"",""กระบี่!M494"")"),2600)</f>
        <v>2600</v>
      </c>
      <c r="O599" s="176">
        <f t="shared" ca="1" si="126"/>
        <v>9.946442234123948</v>
      </c>
      <c r="P599" s="176"/>
    </row>
    <row r="600" spans="1:16" ht="21.75" customHeight="1" x14ac:dyDescent="0.35">
      <c r="A600" s="162"/>
      <c r="B600" s="163"/>
      <c r="C600" s="163"/>
      <c r="D600" s="172"/>
      <c r="E600" s="165"/>
      <c r="F600" s="165"/>
      <c r="G600" s="380" t="s">
        <v>129</v>
      </c>
      <c r="H600" s="167" t="s">
        <v>12</v>
      </c>
      <c r="I600" s="168"/>
      <c r="J600" s="168"/>
      <c r="K600" s="169"/>
      <c r="L600" s="176">
        <f ca="1">IFERROR(__xludf.DUMMYFUNCTION("IMPORTRANGE(""https://docs.google.com/spreadsheets/d/1IYY_tgx_IHuhSq3AJ5eI5OnqOPBNLWSHKh2a30DoXe8/edit?usp=sharing"",""กระบี่!L495"")"),0)</f>
        <v>0</v>
      </c>
      <c r="M600" s="176"/>
      <c r="N600" s="176">
        <f ca="1">IFERROR(__xludf.DUMMYFUNCTION("IMPORTRANGE(""https://docs.google.com/spreadsheets/d/1IYY_tgx_IHuhSq3AJ5eI5OnqOPBNLWSHKh2a30DoXe8/edit?usp=sharing"",""กระบี่!M495"")"),0)</f>
        <v>0</v>
      </c>
      <c r="O600" s="176">
        <f t="shared" ca="1" si="126"/>
        <v>0</v>
      </c>
      <c r="P600" s="176"/>
    </row>
    <row r="601" spans="1:16" ht="21.75" customHeight="1" x14ac:dyDescent="0.35">
      <c r="A601" s="162"/>
      <c r="B601" s="163"/>
      <c r="C601" s="163"/>
      <c r="D601" s="172"/>
      <c r="E601" s="165"/>
      <c r="F601" s="165"/>
      <c r="G601" s="380" t="s">
        <v>130</v>
      </c>
      <c r="H601" s="167" t="s">
        <v>12</v>
      </c>
      <c r="I601" s="168"/>
      <c r="J601" s="168"/>
      <c r="K601" s="169"/>
      <c r="L601" s="176">
        <f ca="1">IFERROR(__xludf.DUMMYFUNCTION("IMPORTRANGE(""https://docs.google.com/spreadsheets/d/1IYY_tgx_IHuhSq3AJ5eI5OnqOPBNLWSHKh2a30DoXe8/edit?usp=sharing"",""กระบี่!L496"")"),26140)</f>
        <v>26140</v>
      </c>
      <c r="M601" s="176"/>
      <c r="N601" s="176">
        <f ca="1">IFERROR(__xludf.DUMMYFUNCTION("IMPORTRANGE(""https://docs.google.com/spreadsheets/d/1IYY_tgx_IHuhSq3AJ5eI5OnqOPBNLWSHKh2a30DoXe8/edit?usp=sharing"",""กระบี่!M496"")"),2600)</f>
        <v>2600</v>
      </c>
      <c r="O601" s="176">
        <f t="shared" ca="1" si="126"/>
        <v>9.946442234123948</v>
      </c>
      <c r="P601" s="176"/>
    </row>
    <row r="602" spans="1:16" ht="21.75" customHeight="1" x14ac:dyDescent="0.35">
      <c r="A602" s="381"/>
      <c r="B602" s="382"/>
      <c r="C602" s="163"/>
      <c r="D602" s="383"/>
      <c r="E602" s="165"/>
      <c r="F602" s="165"/>
      <c r="G602" s="384" t="s">
        <v>131</v>
      </c>
      <c r="H602" s="167" t="s">
        <v>12</v>
      </c>
      <c r="I602" s="195"/>
      <c r="J602" s="195"/>
      <c r="K602" s="231"/>
      <c r="L602" s="176"/>
      <c r="M602" s="176"/>
      <c r="N602" s="173">
        <f ca="1">IFERROR(__xludf.DUMMYFUNCTION("IMPORTRANGE(""https://docs.google.com/spreadsheets/d/1IYY_tgx_IHuhSq3AJ5eI5OnqOPBNLWSHKh2a30DoXe8/edit?usp=sharing"",""กระบี่!M497"")"),0)</f>
        <v>0</v>
      </c>
      <c r="O602" s="176"/>
      <c r="P602" s="176"/>
    </row>
    <row r="603" spans="1:16" ht="21.75" customHeight="1" x14ac:dyDescent="0.35">
      <c r="A603" s="381"/>
      <c r="B603" s="382"/>
      <c r="C603" s="163"/>
      <c r="D603" s="383"/>
      <c r="E603" s="165"/>
      <c r="F603" s="165"/>
      <c r="G603" s="384" t="s">
        <v>132</v>
      </c>
      <c r="H603" s="167" t="s">
        <v>12</v>
      </c>
      <c r="I603" s="195"/>
      <c r="J603" s="195"/>
      <c r="K603" s="231"/>
      <c r="L603" s="176"/>
      <c r="M603" s="176"/>
      <c r="N603" s="173">
        <f ca="1">IFERROR(__xludf.DUMMYFUNCTION("IMPORTRANGE(""https://docs.google.com/spreadsheets/d/1IYY_tgx_IHuhSq3AJ5eI5OnqOPBNLWSHKh2a30DoXe8/edit?usp=sharing"",""กระบี่!M498"")"),0)</f>
        <v>0</v>
      </c>
      <c r="O603" s="176"/>
      <c r="P603" s="176"/>
    </row>
    <row r="604" spans="1:16" ht="21.75" customHeight="1" x14ac:dyDescent="0.35">
      <c r="A604" s="381"/>
      <c r="B604" s="382"/>
      <c r="C604" s="163"/>
      <c r="D604" s="383"/>
      <c r="E604" s="165"/>
      <c r="F604" s="165"/>
      <c r="G604" s="384" t="s">
        <v>133</v>
      </c>
      <c r="H604" s="167" t="s">
        <v>12</v>
      </c>
      <c r="I604" s="195"/>
      <c r="J604" s="195"/>
      <c r="K604" s="231"/>
      <c r="L604" s="176"/>
      <c r="M604" s="176"/>
      <c r="N604" s="385">
        <f ca="1">IFERROR(__xludf.DUMMYFUNCTION("IMPORTRANGE(""https://docs.google.com/spreadsheets/d/1IYY_tgx_IHuhSq3AJ5eI5OnqOPBNLWSHKh2a30DoXe8/edit?usp=sharing"",""กระบี่!M499"")"),0)</f>
        <v>0</v>
      </c>
      <c r="O604" s="176"/>
      <c r="P604" s="176"/>
    </row>
    <row r="605" spans="1:16" ht="21.75" customHeight="1" x14ac:dyDescent="0.35">
      <c r="A605" s="381"/>
      <c r="B605" s="382"/>
      <c r="C605" s="163"/>
      <c r="D605" s="383"/>
      <c r="E605" s="165"/>
      <c r="F605" s="165"/>
      <c r="G605" s="384" t="s">
        <v>134</v>
      </c>
      <c r="H605" s="167" t="s">
        <v>12</v>
      </c>
      <c r="I605" s="195"/>
      <c r="J605" s="195"/>
      <c r="K605" s="231"/>
      <c r="L605" s="176"/>
      <c r="M605" s="176"/>
      <c r="N605" s="385">
        <f ca="1">IFERROR(__xludf.DUMMYFUNCTION("IMPORTRANGE(""https://docs.google.com/spreadsheets/d/1IYY_tgx_IHuhSq3AJ5eI5OnqOPBNLWSHKh2a30DoXe8/edit?usp=sharing"",""กระบี่!M500"")"),2600)</f>
        <v>2600</v>
      </c>
      <c r="O605" s="176"/>
      <c r="P605" s="176"/>
    </row>
    <row r="606" spans="1:16" ht="21.75" customHeight="1" x14ac:dyDescent="0.35">
      <c r="A606" s="183"/>
      <c r="B606" s="184"/>
      <c r="C606" s="163" t="s">
        <v>16</v>
      </c>
      <c r="D606" s="185" t="s">
        <v>44</v>
      </c>
      <c r="E606" s="186"/>
      <c r="F606" s="186"/>
      <c r="G606" s="187"/>
      <c r="H606" s="188"/>
      <c r="I606" s="168"/>
      <c r="J606" s="168"/>
      <c r="K606" s="169"/>
      <c r="L606" s="189"/>
      <c r="M606" s="189"/>
      <c r="N606" s="189"/>
      <c r="O606" s="189"/>
      <c r="P606" s="189"/>
    </row>
    <row r="607" spans="1:16" ht="21.75" customHeight="1" x14ac:dyDescent="0.35">
      <c r="A607" s="183"/>
      <c r="B607" s="184"/>
      <c r="C607" s="184"/>
      <c r="D607" s="190">
        <v>1</v>
      </c>
      <c r="E607" s="191" t="s">
        <v>45</v>
      </c>
      <c r="F607" s="192"/>
      <c r="G607" s="193"/>
      <c r="H607" s="194"/>
      <c r="I607" s="195"/>
      <c r="J607" s="205">
        <f ca="1">IFERROR(__xludf.DUMMYFUNCTION("IMPORTRANGE(""https://docs.google.com/spreadsheets/d/1IYY_tgx_IHuhSq3AJ5eI5OnqOPBNLWSHKh2a30DoXe8/edit?usp=sharing"",""กระบี่!J502"")"),0)</f>
        <v>0</v>
      </c>
      <c r="K607" s="169"/>
      <c r="L607" s="189"/>
      <c r="M607" s="189"/>
      <c r="N607" s="189"/>
      <c r="O607" s="189"/>
      <c r="P607" s="189"/>
    </row>
    <row r="608" spans="1:16" ht="21.75" customHeight="1" x14ac:dyDescent="0.35">
      <c r="A608" s="183"/>
      <c r="B608" s="184"/>
      <c r="C608" s="184"/>
      <c r="D608" s="197">
        <v>2</v>
      </c>
      <c r="E608" s="198" t="s">
        <v>46</v>
      </c>
      <c r="F608" s="199"/>
      <c r="G608" s="200"/>
      <c r="H608" s="194"/>
      <c r="I608" s="195"/>
      <c r="J608" s="205">
        <f ca="1">IFERROR(__xludf.DUMMYFUNCTION("IMPORTRANGE(""https://docs.google.com/spreadsheets/d/1IYY_tgx_IHuhSq3AJ5eI5OnqOPBNLWSHKh2a30DoXe8/edit?usp=sharing"",""กระบี่!J503"")"),1)</f>
        <v>1</v>
      </c>
      <c r="K608" s="169"/>
      <c r="L608" s="189" t="s">
        <v>40</v>
      </c>
      <c r="M608" s="189"/>
      <c r="N608" s="189" t="s">
        <v>40</v>
      </c>
      <c r="O608" s="189"/>
      <c r="P608" s="189"/>
    </row>
    <row r="609" spans="1:16" ht="21.75" hidden="1" customHeight="1" x14ac:dyDescent="0.35">
      <c r="A609" s="494"/>
      <c r="B609" s="495"/>
      <c r="C609" s="495"/>
      <c r="D609" s="496"/>
      <c r="E609" s="497" t="s">
        <v>47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IFERROR(__xludf.DUMMYFUNCTION("IMPORTRANGE(""https://docs.google.com/spreadsheets/d/1IYY_tgx_IHuhSq3AJ5eI5OnqOPBNLWSHKh2a30DoXe8/edit?usp=sharing"",""กระบี่!J166"")"),0)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48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IFERROR(__xludf.DUMMYFUNCTION("IMPORTRANGE(""https://docs.google.com/spreadsheets/d/1IYY_tgx_IHuhSq3AJ5eI5OnqOPBNLWSHKh2a30DoXe8/edit?usp=sharing"",""กระบี่!J166"")"),0)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3"/>
      <c r="B611" s="184"/>
      <c r="C611" s="184"/>
      <c r="D611" s="201"/>
      <c r="E611" s="203"/>
      <c r="F611" s="203" t="s">
        <v>219</v>
      </c>
      <c r="G611" s="204"/>
      <c r="H611" s="188" t="s">
        <v>122</v>
      </c>
      <c r="I611" s="195">
        <f ca="1">IFERROR(__xludf.DUMMYFUNCTION("IMPORTRANGE(""https://docs.google.com/spreadsheets/d/1IYY_tgx_IHuhSq3AJ5eI5OnqOPBNLWSHKh2a30DoXe8/edit?usp=sharing"",""กระบี่!I506"")"),428)</f>
        <v>428</v>
      </c>
      <c r="J611" s="168">
        <f ca="1">IFERROR(__xludf.DUMMYFUNCTION("IMPORTRANGE(""https://docs.google.com/spreadsheets/d/1IYY_tgx_IHuhSq3AJ5eI5OnqOPBNLWSHKh2a30DoXe8/edit?usp=sharing"",""กระบี่!J506"")"),0)</f>
        <v>0</v>
      </c>
      <c r="K611" s="169">
        <f t="shared" ref="K611:K619" ca="1" si="127">IF(I$611&gt;0,J611*100/I$611,0)</f>
        <v>0</v>
      </c>
      <c r="L611" s="189"/>
      <c r="M611" s="189"/>
      <c r="N611" s="189"/>
      <c r="O611" s="189"/>
      <c r="P611" s="189"/>
    </row>
    <row r="612" spans="1:16" ht="21.75" customHeight="1" x14ac:dyDescent="0.35">
      <c r="A612" s="183"/>
      <c r="B612" s="184"/>
      <c r="C612" s="184"/>
      <c r="D612" s="201"/>
      <c r="E612" s="206"/>
      <c r="F612" s="203"/>
      <c r="G612" s="233" t="s">
        <v>220</v>
      </c>
      <c r="H612" s="188" t="s">
        <v>122</v>
      </c>
      <c r="I612" s="211">
        <f ca="1">IFERROR(__xludf.DUMMYFUNCTION("IMPORTRANGE(""https://docs.google.com/spreadsheets/d/1IYY_tgx_IHuhSq3AJ5eI5OnqOPBNLWSHKh2a30DoXe8/edit?usp=sharing"",""กระบี่!I507"")"),0)</f>
        <v>0</v>
      </c>
      <c r="J612" s="205">
        <f ca="1">IFERROR(__xludf.DUMMYFUNCTION("IMPORTRANGE(""https://docs.google.com/spreadsheets/d/1IYY_tgx_IHuhSq3AJ5eI5OnqOPBNLWSHKh2a30DoXe8/edit?usp=sharing"",""กระบี่!J507"")"),0)</f>
        <v>0</v>
      </c>
      <c r="K612" s="169">
        <f t="shared" ca="1" si="127"/>
        <v>0</v>
      </c>
      <c r="L612" s="189"/>
      <c r="M612" s="189"/>
      <c r="N612" s="189"/>
      <c r="O612" s="189"/>
      <c r="P612" s="189"/>
    </row>
    <row r="613" spans="1:16" ht="21.75" customHeight="1" x14ac:dyDescent="0.35">
      <c r="A613" s="183"/>
      <c r="B613" s="184"/>
      <c r="C613" s="184"/>
      <c r="D613" s="201"/>
      <c r="E613" s="206"/>
      <c r="F613" s="203"/>
      <c r="G613" s="233" t="s">
        <v>221</v>
      </c>
      <c r="H613" s="188" t="s">
        <v>122</v>
      </c>
      <c r="I613" s="211">
        <f ca="1">IFERROR(__xludf.DUMMYFUNCTION("IMPORTRANGE(""https://docs.google.com/spreadsheets/d/1IYY_tgx_IHuhSq3AJ5eI5OnqOPBNLWSHKh2a30DoXe8/edit?usp=sharing"",""กระบี่!I508"")"),0)</f>
        <v>0</v>
      </c>
      <c r="J613" s="205">
        <f ca="1">IFERROR(__xludf.DUMMYFUNCTION("IMPORTRANGE(""https://docs.google.com/spreadsheets/d/1IYY_tgx_IHuhSq3AJ5eI5OnqOPBNLWSHKh2a30DoXe8/edit?usp=sharing"",""กระบี่!J508"")"),0)</f>
        <v>0</v>
      </c>
      <c r="K613" s="169">
        <f t="shared" ca="1" si="127"/>
        <v>0</v>
      </c>
      <c r="L613" s="189"/>
      <c r="M613" s="189"/>
      <c r="N613" s="189"/>
      <c r="O613" s="189"/>
      <c r="P613" s="189"/>
    </row>
    <row r="614" spans="1:16" ht="21.75" customHeight="1" x14ac:dyDescent="0.35">
      <c r="A614" s="183"/>
      <c r="B614" s="184"/>
      <c r="C614" s="184"/>
      <c r="D614" s="201"/>
      <c r="E614" s="206"/>
      <c r="F614" s="203"/>
      <c r="G614" s="233" t="s">
        <v>222</v>
      </c>
      <c r="H614" s="188" t="s">
        <v>122</v>
      </c>
      <c r="I614" s="211">
        <f ca="1">IFERROR(__xludf.DUMMYFUNCTION("IMPORTRANGE(""https://docs.google.com/spreadsheets/d/1IYY_tgx_IHuhSq3AJ5eI5OnqOPBNLWSHKh2a30DoXe8/edit?usp=sharing"",""กระบี่!I509"")"),0)</f>
        <v>0</v>
      </c>
      <c r="J614" s="205">
        <f ca="1">IFERROR(__xludf.DUMMYFUNCTION("IMPORTRANGE(""https://docs.google.com/spreadsheets/d/1IYY_tgx_IHuhSq3AJ5eI5OnqOPBNLWSHKh2a30DoXe8/edit?usp=sharing"",""กระบี่!J509"")"),0)</f>
        <v>0</v>
      </c>
      <c r="K614" s="169">
        <f t="shared" ca="1" si="127"/>
        <v>0</v>
      </c>
      <c r="L614" s="189"/>
      <c r="M614" s="189"/>
      <c r="N614" s="189"/>
      <c r="O614" s="189"/>
      <c r="P614" s="189"/>
    </row>
    <row r="615" spans="1:16" ht="21.75" customHeight="1" x14ac:dyDescent="0.35">
      <c r="A615" s="183"/>
      <c r="B615" s="184"/>
      <c r="C615" s="184"/>
      <c r="D615" s="201"/>
      <c r="E615" s="206"/>
      <c r="F615" s="203"/>
      <c r="G615" s="233" t="s">
        <v>223</v>
      </c>
      <c r="H615" s="188" t="s">
        <v>122</v>
      </c>
      <c r="I615" s="211">
        <f ca="1">IFERROR(__xludf.DUMMYFUNCTION("IMPORTRANGE(""https://docs.google.com/spreadsheets/d/1IYY_tgx_IHuhSq3AJ5eI5OnqOPBNLWSHKh2a30DoXe8/edit?usp=sharing"",""กระบี่!I510"")"),0)</f>
        <v>0</v>
      </c>
      <c r="J615" s="205">
        <f ca="1">IFERROR(__xludf.DUMMYFUNCTION("IMPORTRANGE(""https://docs.google.com/spreadsheets/d/1IYY_tgx_IHuhSq3AJ5eI5OnqOPBNLWSHKh2a30DoXe8/edit?usp=sharing"",""กระบี่!J510"")"),0)</f>
        <v>0</v>
      </c>
      <c r="K615" s="169">
        <f t="shared" ca="1" si="127"/>
        <v>0</v>
      </c>
      <c r="L615" s="189"/>
      <c r="M615" s="189"/>
      <c r="N615" s="189"/>
      <c r="O615" s="189"/>
      <c r="P615" s="189"/>
    </row>
    <row r="616" spans="1:16" ht="21.75" customHeight="1" x14ac:dyDescent="0.35">
      <c r="A616" s="183"/>
      <c r="B616" s="184"/>
      <c r="C616" s="184"/>
      <c r="D616" s="201"/>
      <c r="E616" s="206"/>
      <c r="F616" s="203"/>
      <c r="G616" s="202" t="s">
        <v>224</v>
      </c>
      <c r="H616" s="188" t="s">
        <v>122</v>
      </c>
      <c r="I616" s="211">
        <f ca="1">IFERROR(__xludf.DUMMYFUNCTION("IMPORTRANGE(""https://docs.google.com/spreadsheets/d/1IYY_tgx_IHuhSq3AJ5eI5OnqOPBNLWSHKh2a30DoXe8/edit?usp=sharing"",""กระบี่!I511"")"),0)</f>
        <v>0</v>
      </c>
      <c r="J616" s="205">
        <f ca="1">IFERROR(__xludf.DUMMYFUNCTION("IMPORTRANGE(""https://docs.google.com/spreadsheets/d/1IYY_tgx_IHuhSq3AJ5eI5OnqOPBNLWSHKh2a30DoXe8/edit?usp=sharing"",""กระบี่!J511"")"),0)</f>
        <v>0</v>
      </c>
      <c r="K616" s="169">
        <f t="shared" ca="1" si="127"/>
        <v>0</v>
      </c>
      <c r="L616" s="189"/>
      <c r="M616" s="189"/>
      <c r="N616" s="189"/>
      <c r="O616" s="189"/>
      <c r="P616" s="189"/>
    </row>
    <row r="617" spans="1:16" ht="21.75" customHeight="1" x14ac:dyDescent="0.35">
      <c r="A617" s="183"/>
      <c r="B617" s="184"/>
      <c r="C617" s="184"/>
      <c r="D617" s="201"/>
      <c r="E617" s="206"/>
      <c r="F617" s="203"/>
      <c r="G617" s="202" t="s">
        <v>225</v>
      </c>
      <c r="H617" s="188" t="s">
        <v>122</v>
      </c>
      <c r="I617" s="195">
        <f ca="1">IFERROR(__xludf.DUMMYFUNCTION("IMPORTRANGE(""https://docs.google.com/spreadsheets/d/1IYY_tgx_IHuhSq3AJ5eI5OnqOPBNLWSHKh2a30DoXe8/edit?usp=sharing"",""กระบี่!I512"")"),0)</f>
        <v>0</v>
      </c>
      <c r="J617" s="195">
        <f ca="1">IFERROR(__xludf.DUMMYFUNCTION("IMPORTRANGE(""https://docs.google.com/spreadsheets/d/1IYY_tgx_IHuhSq3AJ5eI5OnqOPBNLWSHKh2a30DoXe8/edit?usp=sharing"",""กระบี่!J512"")"),0)</f>
        <v>0</v>
      </c>
      <c r="K617" s="169">
        <f t="shared" ca="1" si="127"/>
        <v>0</v>
      </c>
      <c r="L617" s="189"/>
      <c r="M617" s="189"/>
      <c r="N617" s="189"/>
      <c r="O617" s="189"/>
      <c r="P617" s="189"/>
    </row>
    <row r="618" spans="1:16" ht="21.75" customHeight="1" x14ac:dyDescent="0.35">
      <c r="A618" s="183"/>
      <c r="B618" s="184"/>
      <c r="C618" s="184"/>
      <c r="D618" s="201"/>
      <c r="E618" s="206"/>
      <c r="F618" s="203"/>
      <c r="G618" s="504" t="s">
        <v>226</v>
      </c>
      <c r="H618" s="188" t="s">
        <v>122</v>
      </c>
      <c r="I618" s="211">
        <f ca="1">IFERROR(__xludf.DUMMYFUNCTION("IMPORTRANGE(""https://docs.google.com/spreadsheets/d/1IYY_tgx_IHuhSq3AJ5eI5OnqOPBNLWSHKh2a30DoXe8/edit?usp=sharing"",""กระบี่!I513"")"),0)</f>
        <v>0</v>
      </c>
      <c r="J618" s="196">
        <f ca="1">IFERROR(__xludf.DUMMYFUNCTION("IMPORTRANGE(""https://docs.google.com/spreadsheets/d/1IYY_tgx_IHuhSq3AJ5eI5OnqOPBNLWSHKh2a30DoXe8/edit?usp=sharing"",""กระบี่!J513"")"),0)</f>
        <v>0</v>
      </c>
      <c r="K618" s="169">
        <f t="shared" ca="1" si="127"/>
        <v>0</v>
      </c>
      <c r="L618" s="189"/>
      <c r="M618" s="189"/>
      <c r="N618" s="189"/>
      <c r="O618" s="189"/>
      <c r="P618" s="189"/>
    </row>
    <row r="619" spans="1:16" ht="21.75" customHeight="1" x14ac:dyDescent="0.35">
      <c r="A619" s="183"/>
      <c r="B619" s="184"/>
      <c r="C619" s="184"/>
      <c r="D619" s="201"/>
      <c r="E619" s="206"/>
      <c r="F619" s="203"/>
      <c r="G619" s="504" t="s">
        <v>227</v>
      </c>
      <c r="H619" s="188" t="s">
        <v>122</v>
      </c>
      <c r="I619" s="211">
        <f ca="1">IFERROR(__xludf.DUMMYFUNCTION("IMPORTRANGE(""https://docs.google.com/spreadsheets/d/1IYY_tgx_IHuhSq3AJ5eI5OnqOPBNLWSHKh2a30DoXe8/edit?usp=sharing"",""กระบี่!I514"")"),0)</f>
        <v>0</v>
      </c>
      <c r="J619" s="196">
        <f ca="1">IFERROR(__xludf.DUMMYFUNCTION("IMPORTRANGE(""https://docs.google.com/spreadsheets/d/1IYY_tgx_IHuhSq3AJ5eI5OnqOPBNLWSHKh2a30DoXe8/edit?usp=sharing"",""กระบี่!J514"")"),0)</f>
        <v>0</v>
      </c>
      <c r="K619" s="169">
        <f t="shared" ca="1" si="127"/>
        <v>0</v>
      </c>
      <c r="L619" s="189"/>
      <c r="M619" s="189"/>
      <c r="N619" s="189"/>
      <c r="O619" s="189"/>
      <c r="P619" s="189"/>
    </row>
    <row r="620" spans="1:16" ht="21.75" customHeight="1" x14ac:dyDescent="0.35">
      <c r="A620" s="183"/>
      <c r="B620" s="184"/>
      <c r="C620" s="184"/>
      <c r="D620" s="201"/>
      <c r="E620" s="203"/>
      <c r="F620" s="202" t="s">
        <v>228</v>
      </c>
      <c r="G620" s="204"/>
      <c r="H620" s="188" t="s">
        <v>122</v>
      </c>
      <c r="I620" s="195">
        <f ca="1">IFERROR(__xludf.DUMMYFUNCTION("IMPORTRANGE(""https://docs.google.com/spreadsheets/d/1IYY_tgx_IHuhSq3AJ5eI5OnqOPBNLWSHKh2a30DoXe8/edit?usp=sharing"",""กระบี่!I515"")"),0)</f>
        <v>0</v>
      </c>
      <c r="J620" s="210">
        <f ca="1">IFERROR(__xludf.DUMMYFUNCTION("IMPORTRANGE(""https://docs.google.com/spreadsheets/d/1IYY_tgx_IHuhSq3AJ5eI5OnqOPBNLWSHKh2a30DoXe8/edit?usp=sharing"",""กระบี่!J515"")"),0)</f>
        <v>0</v>
      </c>
      <c r="K620" s="169">
        <f t="shared" ref="K620:K626" ca="1" si="128">IF(I$620&gt;0,J620*100/I$620,0)</f>
        <v>0</v>
      </c>
      <c r="L620" s="189"/>
      <c r="M620" s="189"/>
      <c r="N620" s="189"/>
      <c r="O620" s="189"/>
      <c r="P620" s="189"/>
    </row>
    <row r="621" spans="1:16" ht="21.75" customHeight="1" x14ac:dyDescent="0.35">
      <c r="A621" s="183"/>
      <c r="B621" s="184"/>
      <c r="C621" s="184"/>
      <c r="D621" s="201"/>
      <c r="E621" s="206"/>
      <c r="F621" s="203"/>
      <c r="G621" s="233" t="s">
        <v>225</v>
      </c>
      <c r="H621" s="188" t="s">
        <v>122</v>
      </c>
      <c r="I621" s="210">
        <f ca="1">IFERROR(__xludf.DUMMYFUNCTION("IMPORTRANGE(""https://docs.google.com/spreadsheets/d/1IYY_tgx_IHuhSq3AJ5eI5OnqOPBNLWSHKh2a30DoXe8/edit?usp=sharing"",""กระบี่!I516"")"),0)</f>
        <v>0</v>
      </c>
      <c r="J621" s="210">
        <f ca="1">IFERROR(__xludf.DUMMYFUNCTION("IMPORTRANGE(""https://docs.google.com/spreadsheets/d/1IYY_tgx_IHuhSq3AJ5eI5OnqOPBNLWSHKh2a30DoXe8/edit?usp=sharing"",""กระบี่!J516"")"),0)</f>
        <v>0</v>
      </c>
      <c r="K621" s="169">
        <f t="shared" ca="1" si="128"/>
        <v>0</v>
      </c>
      <c r="L621" s="189"/>
      <c r="M621" s="189"/>
      <c r="N621" s="189"/>
      <c r="O621" s="189"/>
      <c r="P621" s="189"/>
    </row>
    <row r="622" spans="1:16" ht="21.75" customHeight="1" x14ac:dyDescent="0.35">
      <c r="A622" s="183"/>
      <c r="B622" s="184"/>
      <c r="C622" s="184"/>
      <c r="D622" s="201"/>
      <c r="E622" s="206"/>
      <c r="F622" s="203"/>
      <c r="G622" s="504" t="s">
        <v>226</v>
      </c>
      <c r="H622" s="188" t="s">
        <v>122</v>
      </c>
      <c r="I622" s="211">
        <f ca="1">IFERROR(__xludf.DUMMYFUNCTION("IMPORTRANGE(""https://docs.google.com/spreadsheets/d/1IYY_tgx_IHuhSq3AJ5eI5OnqOPBNLWSHKh2a30DoXe8/edit?usp=sharing"",""กระบี่!I517"")"),0)</f>
        <v>0</v>
      </c>
      <c r="J622" s="196">
        <f ca="1">IFERROR(__xludf.DUMMYFUNCTION("IMPORTRANGE(""https://docs.google.com/spreadsheets/d/1IYY_tgx_IHuhSq3AJ5eI5OnqOPBNLWSHKh2a30DoXe8/edit?usp=sharing"",""กระบี่!J517"")"),0)</f>
        <v>0</v>
      </c>
      <c r="K622" s="169">
        <f t="shared" ca="1" si="128"/>
        <v>0</v>
      </c>
      <c r="L622" s="189"/>
      <c r="M622" s="189"/>
      <c r="N622" s="189"/>
      <c r="O622" s="189"/>
      <c r="P622" s="189"/>
    </row>
    <row r="623" spans="1:16" ht="21.75" customHeight="1" x14ac:dyDescent="0.35">
      <c r="A623" s="183"/>
      <c r="B623" s="184"/>
      <c r="C623" s="184"/>
      <c r="D623" s="201"/>
      <c r="E623" s="206"/>
      <c r="F623" s="203"/>
      <c r="G623" s="504" t="s">
        <v>227</v>
      </c>
      <c r="H623" s="188" t="s">
        <v>122</v>
      </c>
      <c r="I623" s="211">
        <f ca="1">IFERROR(__xludf.DUMMYFUNCTION("IMPORTRANGE(""https://docs.google.com/spreadsheets/d/1IYY_tgx_IHuhSq3AJ5eI5OnqOPBNLWSHKh2a30DoXe8/edit?usp=sharing"",""กระบี่!I518"")"),0)</f>
        <v>0</v>
      </c>
      <c r="J623" s="196">
        <f ca="1">IFERROR(__xludf.DUMMYFUNCTION("IMPORTRANGE(""https://docs.google.com/spreadsheets/d/1IYY_tgx_IHuhSq3AJ5eI5OnqOPBNLWSHKh2a30DoXe8/edit?usp=sharing"",""กระบี่!J518"")"),0)</f>
        <v>0</v>
      </c>
      <c r="K623" s="169">
        <f t="shared" ca="1" si="128"/>
        <v>0</v>
      </c>
      <c r="L623" s="189"/>
      <c r="M623" s="189"/>
      <c r="N623" s="189"/>
      <c r="O623" s="189"/>
      <c r="P623" s="189"/>
    </row>
    <row r="624" spans="1:16" ht="21.75" customHeight="1" x14ac:dyDescent="0.35">
      <c r="A624" s="183"/>
      <c r="B624" s="184"/>
      <c r="C624" s="184"/>
      <c r="D624" s="201"/>
      <c r="E624" s="206"/>
      <c r="F624" s="203"/>
      <c r="G624" s="233" t="s">
        <v>229</v>
      </c>
      <c r="H624" s="188" t="s">
        <v>122</v>
      </c>
      <c r="I624" s="195">
        <f ca="1">IFERROR(__xludf.DUMMYFUNCTION("IMPORTRANGE(""https://docs.google.com/spreadsheets/d/1IYY_tgx_IHuhSq3AJ5eI5OnqOPBNLWSHKh2a30DoXe8/edit?usp=sharing"",""กระบี่!I519"")"),0)</f>
        <v>0</v>
      </c>
      <c r="J624" s="195">
        <f ca="1">IFERROR(__xludf.DUMMYFUNCTION("IMPORTRANGE(""https://docs.google.com/spreadsheets/d/1IYY_tgx_IHuhSq3AJ5eI5OnqOPBNLWSHKh2a30DoXe8/edit?usp=sharing"",""กระบี่!J519"")"),0)</f>
        <v>0</v>
      </c>
      <c r="K624" s="169">
        <f t="shared" ca="1" si="128"/>
        <v>0</v>
      </c>
      <c r="L624" s="189"/>
      <c r="M624" s="189"/>
      <c r="N624" s="189"/>
      <c r="O624" s="189"/>
      <c r="P624" s="189"/>
    </row>
    <row r="625" spans="1:16" ht="21.75" customHeight="1" x14ac:dyDescent="0.35">
      <c r="A625" s="183"/>
      <c r="B625" s="184"/>
      <c r="C625" s="184"/>
      <c r="D625" s="201"/>
      <c r="E625" s="206"/>
      <c r="F625" s="203"/>
      <c r="G625" s="504" t="s">
        <v>230</v>
      </c>
      <c r="H625" s="188" t="s">
        <v>122</v>
      </c>
      <c r="I625" s="211">
        <f ca="1">IFERROR(__xludf.DUMMYFUNCTION("IMPORTRANGE(""https://docs.google.com/spreadsheets/d/1IYY_tgx_IHuhSq3AJ5eI5OnqOPBNLWSHKh2a30DoXe8/edit?usp=sharing"",""กระบี่!I520"")"),0)</f>
        <v>0</v>
      </c>
      <c r="J625" s="196">
        <f ca="1">IFERROR(__xludf.DUMMYFUNCTION("IMPORTRANGE(""https://docs.google.com/spreadsheets/d/1IYY_tgx_IHuhSq3AJ5eI5OnqOPBNLWSHKh2a30DoXe8/edit?usp=sharing"",""กระบี่!J520"")"),0)</f>
        <v>0</v>
      </c>
      <c r="K625" s="169">
        <f t="shared" ca="1" si="128"/>
        <v>0</v>
      </c>
      <c r="L625" s="189"/>
      <c r="M625" s="189"/>
      <c r="N625" s="189"/>
      <c r="O625" s="189"/>
      <c r="P625" s="189"/>
    </row>
    <row r="626" spans="1:16" ht="21.75" customHeight="1" x14ac:dyDescent="0.35">
      <c r="A626" s="183"/>
      <c r="B626" s="184"/>
      <c r="C626" s="184"/>
      <c r="D626" s="201"/>
      <c r="E626" s="206"/>
      <c r="F626" s="203"/>
      <c r="G626" s="504" t="s">
        <v>231</v>
      </c>
      <c r="H626" s="188" t="s">
        <v>122</v>
      </c>
      <c r="I626" s="211">
        <f ca="1">IFERROR(__xludf.DUMMYFUNCTION("IMPORTRANGE(""https://docs.google.com/spreadsheets/d/1IYY_tgx_IHuhSq3AJ5eI5OnqOPBNLWSHKh2a30DoXe8/edit?usp=sharing"",""กระบี่!I521"")"),0)</f>
        <v>0</v>
      </c>
      <c r="J626" s="196">
        <f ca="1">IFERROR(__xludf.DUMMYFUNCTION("IMPORTRANGE(""https://docs.google.com/spreadsheets/d/1IYY_tgx_IHuhSq3AJ5eI5OnqOPBNLWSHKh2a30DoXe8/edit?usp=sharing"",""กระบี่!J521"")"),0)</f>
        <v>0</v>
      </c>
      <c r="K626" s="169">
        <f t="shared" ca="1" si="128"/>
        <v>0</v>
      </c>
      <c r="L626" s="189"/>
      <c r="M626" s="189"/>
      <c r="N626" s="189"/>
      <c r="O626" s="189"/>
      <c r="P626" s="189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2"/>
      <c r="E628" s="165"/>
      <c r="F628" s="165"/>
      <c r="G628" s="166"/>
      <c r="H628" s="513" t="s">
        <v>12</v>
      </c>
      <c r="I628" s="347">
        <f ca="1">IFERROR(__xludf.DUMMYFUNCTION("IMPORTRANGE(""https://docs.google.com/spreadsheets/d/1IYY_tgx_IHuhSq3AJ5eI5OnqOPBNLWSHKh2a30DoXe8/edit?usp=sharing"",""กระบี่!I523"")"),220041)</f>
        <v>220041</v>
      </c>
      <c r="J628" s="347">
        <f ca="1">IFERROR(__xludf.DUMMYFUNCTION("IMPORTRANGE(""https://docs.google.com/spreadsheets/d/1IYY_tgx_IHuhSq3AJ5eI5OnqOPBNLWSHKh2a30DoXe8/edit?usp=sharing"",""กระบี่!J523"")"),114295.49)</f>
        <v>114295.49</v>
      </c>
      <c r="K628" s="348">
        <f t="shared" ref="K628:K635" ca="1" si="129">IF(I628&gt;0,J628*100/I628,0)</f>
        <v>51.942815202621333</v>
      </c>
      <c r="L628" s="348"/>
      <c r="M628" s="348"/>
      <c r="N628" s="348"/>
      <c r="O628" s="176"/>
      <c r="P628" s="176"/>
    </row>
    <row r="629" spans="1:16" ht="21.75" customHeight="1" x14ac:dyDescent="0.35">
      <c r="A629" s="484"/>
      <c r="B629" s="163"/>
      <c r="C629" s="163"/>
      <c r="D629" s="172"/>
      <c r="E629" s="165"/>
      <c r="F629" s="165"/>
      <c r="G629" s="166"/>
      <c r="H629" s="513" t="s">
        <v>37</v>
      </c>
      <c r="I629" s="347">
        <f ca="1">IFERROR(__xludf.DUMMYFUNCTION("IMPORTRANGE(""https://docs.google.com/spreadsheets/d/1IYY_tgx_IHuhSq3AJ5eI5OnqOPBNLWSHKh2a30DoXe8/edit?usp=sharing"",""กระบี่!I524"")"),22)</f>
        <v>22</v>
      </c>
      <c r="J629" s="347">
        <f ca="1">IFERROR(__xludf.DUMMYFUNCTION("IMPORTRANGE(""https://docs.google.com/spreadsheets/d/1IYY_tgx_IHuhSq3AJ5eI5OnqOPBNLWSHKh2a30DoXe8/edit?usp=sharing"",""กระบี่!J524"")"),10)</f>
        <v>10</v>
      </c>
      <c r="K629" s="348">
        <f t="shared" ca="1" si="129"/>
        <v>45.454545454545453</v>
      </c>
      <c r="L629" s="348"/>
      <c r="M629" s="348"/>
      <c r="N629" s="348"/>
      <c r="O629" s="176"/>
      <c r="P629" s="176"/>
    </row>
    <row r="630" spans="1:16" ht="21.75" customHeight="1" x14ac:dyDescent="0.35">
      <c r="A630" s="484"/>
      <c r="B630" s="512" t="s">
        <v>234</v>
      </c>
      <c r="C630" s="163"/>
      <c r="D630" s="172"/>
      <c r="E630" s="165"/>
      <c r="F630" s="165"/>
      <c r="G630" s="166"/>
      <c r="H630" s="513" t="s">
        <v>12</v>
      </c>
      <c r="I630" s="347">
        <f ca="1">IFERROR(__xludf.DUMMYFUNCTION("IMPORTRANGE(""https://docs.google.com/spreadsheets/d/1IYY_tgx_IHuhSq3AJ5eI5OnqOPBNLWSHKh2a30DoXe8/edit?usp=sharing"",""กระบี่!I525"")"),6396540.34)</f>
        <v>6396540.3399999999</v>
      </c>
      <c r="J630" s="347">
        <f ca="1">IFERROR(__xludf.DUMMYFUNCTION("IMPORTRANGE(""https://docs.google.com/spreadsheets/d/1IYY_tgx_IHuhSq3AJ5eI5OnqOPBNLWSHKh2a30DoXe8/edit?usp=sharing"",""กระบี่!J525"")"),859411.84)</f>
        <v>859411.84</v>
      </c>
      <c r="K630" s="348">
        <f t="shared" ca="1" si="129"/>
        <v>13.435572892830377</v>
      </c>
      <c r="L630" s="348"/>
      <c r="M630" s="348"/>
      <c r="N630" s="348"/>
      <c r="O630" s="176"/>
      <c r="P630" s="176"/>
    </row>
    <row r="631" spans="1:16" ht="21.75" customHeight="1" x14ac:dyDescent="0.35">
      <c r="A631" s="484"/>
      <c r="B631" s="163"/>
      <c r="C631" s="163"/>
      <c r="D631" s="172"/>
      <c r="E631" s="165"/>
      <c r="F631" s="165"/>
      <c r="G631" s="166"/>
      <c r="H631" s="513" t="s">
        <v>37</v>
      </c>
      <c r="I631" s="347">
        <f ca="1">IFERROR(__xludf.DUMMYFUNCTION("IMPORTRANGE(""https://docs.google.com/spreadsheets/d/1IYY_tgx_IHuhSq3AJ5eI5OnqOPBNLWSHKh2a30DoXe8/edit?usp=sharing"",""กระบี่!I526"")"),176)</f>
        <v>176</v>
      </c>
      <c r="J631" s="347">
        <f ca="1">IFERROR(__xludf.DUMMYFUNCTION("IMPORTRANGE(""https://docs.google.com/spreadsheets/d/1IYY_tgx_IHuhSq3AJ5eI5OnqOPBNLWSHKh2a30DoXe8/edit?usp=sharing"",""กระบี่!J526"")"),86)</f>
        <v>86</v>
      </c>
      <c r="K631" s="348">
        <f t="shared" ca="1" si="129"/>
        <v>48.863636363636367</v>
      </c>
      <c r="L631" s="348"/>
      <c r="M631" s="348"/>
      <c r="N631" s="348"/>
      <c r="O631" s="176"/>
      <c r="P631" s="176"/>
    </row>
    <row r="632" spans="1:16" ht="21.75" customHeight="1" x14ac:dyDescent="0.35">
      <c r="A632" s="484"/>
      <c r="B632" s="512" t="s">
        <v>235</v>
      </c>
      <c r="C632" s="163"/>
      <c r="D632" s="172"/>
      <c r="E632" s="165"/>
      <c r="F632" s="165"/>
      <c r="G632" s="166"/>
      <c r="H632" s="513" t="s">
        <v>12</v>
      </c>
      <c r="I632" s="347">
        <f ca="1">IFERROR(__xludf.DUMMYFUNCTION("IMPORTRANGE(""https://docs.google.com/spreadsheets/d/1IYY_tgx_IHuhSq3AJ5eI5OnqOPBNLWSHKh2a30DoXe8/edit?usp=sharing"",""กระบี่!I527"")"),0)</f>
        <v>0</v>
      </c>
      <c r="J632" s="347">
        <f ca="1">IFERROR(__xludf.DUMMYFUNCTION("IMPORTRANGE(""https://docs.google.com/spreadsheets/d/1IYY_tgx_IHuhSq3AJ5eI5OnqOPBNLWSHKh2a30DoXe8/edit?usp=sharing"",""กระบี่!J527"")"),32683.2)</f>
        <v>32683.200000000001</v>
      </c>
      <c r="K632" s="348">
        <f t="shared" ca="1" si="129"/>
        <v>0</v>
      </c>
      <c r="L632" s="348"/>
      <c r="M632" s="348"/>
      <c r="N632" s="348"/>
      <c r="O632" s="176"/>
      <c r="P632" s="176"/>
    </row>
    <row r="633" spans="1:16" ht="21.75" customHeight="1" x14ac:dyDescent="0.35">
      <c r="A633" s="484"/>
      <c r="B633" s="512"/>
      <c r="C633" s="163"/>
      <c r="D633" s="172"/>
      <c r="E633" s="165"/>
      <c r="F633" s="165"/>
      <c r="G633" s="166"/>
      <c r="H633" s="513" t="s">
        <v>37</v>
      </c>
      <c r="I633" s="347">
        <f ca="1">IFERROR(__xludf.DUMMYFUNCTION("IMPORTRANGE(""https://docs.google.com/spreadsheets/d/1IYY_tgx_IHuhSq3AJ5eI5OnqOPBNLWSHKh2a30DoXe8/edit?usp=sharing"",""กระบี่!I528"")"),0)</f>
        <v>0</v>
      </c>
      <c r="J633" s="347">
        <f ca="1">IFERROR(__xludf.DUMMYFUNCTION("IMPORTRANGE(""https://docs.google.com/spreadsheets/d/1IYY_tgx_IHuhSq3AJ5eI5OnqOPBNLWSHKh2a30DoXe8/edit?usp=sharing"",""กระบี่!J528"")"),7)</f>
        <v>7</v>
      </c>
      <c r="K633" s="348">
        <f t="shared" ca="1" si="129"/>
        <v>0</v>
      </c>
      <c r="L633" s="348"/>
      <c r="M633" s="348"/>
      <c r="N633" s="348"/>
      <c r="O633" s="176"/>
      <c r="P633" s="176"/>
    </row>
    <row r="634" spans="1:16" ht="21.75" customHeight="1" x14ac:dyDescent="0.35">
      <c r="A634" s="484"/>
      <c r="B634" s="512" t="s">
        <v>236</v>
      </c>
      <c r="C634" s="163"/>
      <c r="D634" s="172"/>
      <c r="E634" s="165"/>
      <c r="F634" s="165"/>
      <c r="G634" s="166"/>
      <c r="H634" s="513" t="s">
        <v>12</v>
      </c>
      <c r="I634" s="347">
        <f ca="1">IFERROR(__xludf.DUMMYFUNCTION("IMPORTRANGE(""https://docs.google.com/spreadsheets/d/1IYY_tgx_IHuhSq3AJ5eI5OnqOPBNLWSHKh2a30DoXe8/edit?usp=sharing"",""กระบี่!I529"")"),200000)</f>
        <v>200000</v>
      </c>
      <c r="J634" s="347">
        <f ca="1">IFERROR(__xludf.DUMMYFUNCTION("IMPORTRANGE(""https://docs.google.com/spreadsheets/d/1IYY_tgx_IHuhSq3AJ5eI5OnqOPBNLWSHKh2a30DoXe8/edit?usp=sharing"",""กระบี่!J529"")"),0)</f>
        <v>0</v>
      </c>
      <c r="K634" s="348">
        <f t="shared" ca="1" si="129"/>
        <v>0</v>
      </c>
      <c r="L634" s="348"/>
      <c r="M634" s="348"/>
      <c r="N634" s="348"/>
      <c r="O634" s="176"/>
      <c r="P634" s="176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IFERROR(__xludf.DUMMYFUNCTION("IMPORTRANGE(""https://docs.google.com/spreadsheets/d/1IYY_tgx_IHuhSq3AJ5eI5OnqOPBNLWSHKh2a30DoXe8/edit?usp=sharing"",""กระบี่!I530"")"),4)</f>
        <v>4</v>
      </c>
      <c r="J635" s="517">
        <f ca="1">IFERROR(__xludf.DUMMYFUNCTION("IMPORTRANGE(""https://docs.google.com/spreadsheets/d/1IYY_tgx_IHuhSq3AJ5eI5OnqOPBNLWSHKh2a30DoXe8/edit?usp=sharing"",""กระบี่!J530"")"),0)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3" sqref="G23"/>
      <selection pane="bottomLeft" activeCell="G23" sqref="G23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4" width="17.81640625" bestFit="1" customWidth="1"/>
    <col min="15" max="15" width="18.81640625" customWidth="1"/>
    <col min="16" max="16" width="20.54296875" customWidth="1"/>
  </cols>
  <sheetData>
    <row r="1" spans="1:16" ht="18" customHeight="1" x14ac:dyDescent="0.35">
      <c r="A1" s="527" t="s">
        <v>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</row>
    <row r="2" spans="1:16" ht="18" customHeight="1" x14ac:dyDescent="0.35">
      <c r="A2" s="527" t="s">
        <v>240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</row>
    <row r="3" spans="1:16" ht="18" customHeight="1" x14ac:dyDescent="0.35">
      <c r="A3" s="527" t="s">
        <v>268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5" t="s">
        <v>2</v>
      </c>
      <c r="B5" s="536"/>
      <c r="C5" s="536"/>
      <c r="D5" s="536"/>
      <c r="E5" s="536"/>
      <c r="F5" s="536"/>
      <c r="G5" s="537"/>
      <c r="H5" s="528" t="s">
        <v>3</v>
      </c>
      <c r="I5" s="530" t="s">
        <v>4</v>
      </c>
      <c r="J5" s="531"/>
      <c r="K5" s="532"/>
      <c r="L5" s="533" t="s">
        <v>5</v>
      </c>
      <c r="M5" s="532"/>
      <c r="N5" s="534" t="s">
        <v>6</v>
      </c>
      <c r="O5" s="531"/>
      <c r="P5" s="532"/>
    </row>
    <row r="6" spans="1:16" ht="21.75" customHeight="1" x14ac:dyDescent="0.35">
      <c r="A6" s="538"/>
      <c r="B6" s="539"/>
      <c r="C6" s="539"/>
      <c r="D6" s="539"/>
      <c r="E6" s="539"/>
      <c r="F6" s="539"/>
      <c r="G6" s="540"/>
      <c r="H6" s="52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1" t="s">
        <v>15</v>
      </c>
      <c r="B7" s="531"/>
      <c r="C7" s="531"/>
      <c r="D7" s="531"/>
      <c r="E7" s="531"/>
      <c r="F7" s="531"/>
      <c r="G7" s="53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2" t="s">
        <v>17</v>
      </c>
      <c r="E8" s="543"/>
      <c r="F8" s="543"/>
      <c r="G8" s="543"/>
      <c r="H8" s="20" t="s">
        <v>12</v>
      </c>
      <c r="I8" s="21"/>
      <c r="J8" s="21"/>
      <c r="K8" s="22"/>
      <c r="L8" s="23">
        <f t="shared" ref="L8:N8" ca="1" si="0">L9+L10</f>
        <v>5741007</v>
      </c>
      <c r="M8" s="23">
        <f t="shared" ca="1" si="0"/>
        <v>2132283</v>
      </c>
      <c r="N8" s="23">
        <f t="shared" ca="1" si="0"/>
        <v>1924676.07</v>
      </c>
      <c r="O8" s="22">
        <f t="shared" ref="O8:O16" ca="1" si="1">IF(L8&gt;0,N8*100/L8,0)</f>
        <v>33.525060498968209</v>
      </c>
      <c r="P8" s="22">
        <f t="shared" ref="P8:P16" ca="1" si="2">IF(M8&gt;0,N8*100/M8,0)</f>
        <v>90.263631516079244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5741007</v>
      </c>
      <c r="M10" s="30">
        <f t="shared" ca="1" si="4"/>
        <v>2132283</v>
      </c>
      <c r="N10" s="30">
        <f t="shared" ca="1" si="4"/>
        <v>1924676.07</v>
      </c>
      <c r="O10" s="29">
        <f t="shared" ca="1" si="1"/>
        <v>33.525060498968209</v>
      </c>
      <c r="P10" s="29">
        <f t="shared" ca="1" si="2"/>
        <v>90.263631516079244</v>
      </c>
    </row>
    <row r="11" spans="1:16" ht="21.75" customHeight="1" x14ac:dyDescent="0.45">
      <c r="A11" s="31"/>
      <c r="B11" s="32"/>
      <c r="C11" s="33" t="s">
        <v>16</v>
      </c>
      <c r="D11" s="544" t="s">
        <v>20</v>
      </c>
      <c r="E11" s="545"/>
      <c r="F11" s="54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5648607</v>
      </c>
      <c r="M12" s="38">
        <f t="shared" ca="1" si="6"/>
        <v>2039883</v>
      </c>
      <c r="N12" s="38">
        <f t="shared" ca="1" si="6"/>
        <v>1832276.07</v>
      </c>
      <c r="O12" s="38">
        <f t="shared" ca="1" si="1"/>
        <v>32.437662418362613</v>
      </c>
      <c r="P12" s="38">
        <f t="shared" ca="1" si="2"/>
        <v>89.822606002403077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1691300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3957307</v>
      </c>
      <c r="M14" s="38">
        <f t="shared" si="8"/>
        <v>0</v>
      </c>
      <c r="N14" s="38">
        <f t="shared" ca="1" si="8"/>
        <v>481218.07</v>
      </c>
      <c r="O14" s="41">
        <f t="shared" ca="1" si="1"/>
        <v>12.160241042709094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44" t="s">
        <v>23</v>
      </c>
      <c r="E15" s="54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1" t="s">
        <v>24</v>
      </c>
      <c r="B17" s="531"/>
      <c r="C17" s="531"/>
      <c r="D17" s="531"/>
      <c r="E17" s="531"/>
      <c r="F17" s="531"/>
      <c r="G17" s="53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2" t="s">
        <v>17</v>
      </c>
      <c r="E18" s="543"/>
      <c r="F18" s="543"/>
      <c r="G18" s="543"/>
      <c r="H18" s="20" t="s">
        <v>12</v>
      </c>
      <c r="I18" s="21"/>
      <c r="J18" s="21"/>
      <c r="K18" s="22"/>
      <c r="L18" s="23">
        <f t="shared" ref="L18:N18" ca="1" si="11">L19+L20</f>
        <v>3657110</v>
      </c>
      <c r="M18" s="23">
        <f t="shared" ca="1" si="11"/>
        <v>2132283</v>
      </c>
      <c r="N18" s="23">
        <f t="shared" ca="1" si="11"/>
        <v>1443458</v>
      </c>
      <c r="O18" s="22">
        <f t="shared" ref="O18:O20" ca="1" si="12">IF(L18&gt;0,N18*100/L18,0)</f>
        <v>39.469909299966368</v>
      </c>
      <c r="P18" s="22">
        <f t="shared" ref="P18:P26" ca="1" si="13">IF(M18&gt;0,N18*100/M18,0)</f>
        <v>67.695423168500611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3657110</v>
      </c>
      <c r="M20" s="30">
        <f t="shared" ca="1" si="15"/>
        <v>2132283</v>
      </c>
      <c r="N20" s="30">
        <f t="shared" ca="1" si="15"/>
        <v>1443458</v>
      </c>
      <c r="O20" s="29">
        <f t="shared" ca="1" si="12"/>
        <v>39.469909299966368</v>
      </c>
      <c r="P20" s="29">
        <f t="shared" ca="1" si="13"/>
        <v>67.695423168500611</v>
      </c>
    </row>
    <row r="21" spans="1:16" ht="21.75" customHeight="1" x14ac:dyDescent="0.45">
      <c r="A21" s="31"/>
      <c r="B21" s="32"/>
      <c r="C21" s="33" t="s">
        <v>16</v>
      </c>
      <c r="D21" s="544" t="s">
        <v>20</v>
      </c>
      <c r="E21" s="545"/>
      <c r="F21" s="54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3564710</v>
      </c>
      <c r="M22" s="42">
        <f t="shared" ca="1" si="18"/>
        <v>2039883</v>
      </c>
      <c r="N22" s="41">
        <f t="shared" ca="1" si="18"/>
        <v>1351058</v>
      </c>
      <c r="O22" s="41">
        <f t="shared" ca="1" si="17"/>
        <v>37.900923216755359</v>
      </c>
      <c r="P22" s="41">
        <f t="shared" ca="1" si="13"/>
        <v>66.23213194090053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1691300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1873410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44" t="s">
        <v>23</v>
      </c>
      <c r="E25" s="54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92400</v>
      </c>
      <c r="M26" s="50">
        <f t="shared" ca="1" si="22"/>
        <v>92400</v>
      </c>
      <c r="N26" s="50">
        <f t="shared" ca="1" si="22"/>
        <v>92400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1" t="s">
        <v>25</v>
      </c>
      <c r="B27" s="531"/>
      <c r="C27" s="531"/>
      <c r="D27" s="531"/>
      <c r="E27" s="531"/>
      <c r="F27" s="531"/>
      <c r="G27" s="53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2" t="s">
        <v>17</v>
      </c>
      <c r="E28" s="543"/>
      <c r="F28" s="543"/>
      <c r="G28" s="543"/>
      <c r="H28" s="20" t="s">
        <v>12</v>
      </c>
      <c r="I28" s="21"/>
      <c r="J28" s="21"/>
      <c r="K28" s="22"/>
      <c r="L28" s="23">
        <f t="shared" ref="L28:N28" ca="1" si="23">L29+L30</f>
        <v>2083897</v>
      </c>
      <c r="M28" s="23">
        <f t="shared" si="23"/>
        <v>0</v>
      </c>
      <c r="N28" s="23">
        <f t="shared" ca="1" si="23"/>
        <v>481218.07</v>
      </c>
      <c r="O28" s="22">
        <f t="shared" ref="O28:O30" ca="1" si="24">IF(L28&gt;0,N28*100/L28,0)</f>
        <v>23.092219529084211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2083897</v>
      </c>
      <c r="M30" s="30">
        <f t="shared" si="27"/>
        <v>0</v>
      </c>
      <c r="N30" s="30">
        <f t="shared" ca="1" si="27"/>
        <v>481218.07</v>
      </c>
      <c r="O30" s="29">
        <f t="shared" ca="1" si="24"/>
        <v>23.092219529084211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44" t="s">
        <v>20</v>
      </c>
      <c r="E31" s="545"/>
      <c r="F31" s="54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2083897</v>
      </c>
      <c r="M32" s="41">
        <f t="shared" si="30"/>
        <v>0</v>
      </c>
      <c r="N32" s="41">
        <f t="shared" ca="1" si="30"/>
        <v>481218.07</v>
      </c>
      <c r="O32" s="41">
        <f t="shared" ca="1" si="29"/>
        <v>23.092219529084211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2083897</v>
      </c>
      <c r="M34" s="41">
        <f t="shared" si="32"/>
        <v>0</v>
      </c>
      <c r="N34" s="41">
        <f t="shared" ca="1" si="32"/>
        <v>481218.07</v>
      </c>
      <c r="O34" s="41">
        <f t="shared" ca="1" si="29"/>
        <v>23.092219529084211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44" t="s">
        <v>23</v>
      </c>
      <c r="E35" s="54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3657110</v>
      </c>
      <c r="M37" s="55">
        <f t="shared" ca="1" si="33"/>
        <v>2132283</v>
      </c>
      <c r="N37" s="55">
        <f t="shared" ca="1" si="33"/>
        <v>1443458</v>
      </c>
      <c r="O37" s="56">
        <f t="shared" ca="1" si="29"/>
        <v>39.469909299966368</v>
      </c>
      <c r="P37" s="56">
        <f t="shared" ca="1" si="25"/>
        <v>67.695423168500611</v>
      </c>
    </row>
    <row r="38" spans="1:16" ht="21.75" customHeight="1" x14ac:dyDescent="0.45">
      <c r="A38" s="546" t="s">
        <v>27</v>
      </c>
      <c r="B38" s="531"/>
      <c r="C38" s="531"/>
      <c r="D38" s="531"/>
      <c r="E38" s="531"/>
      <c r="F38" s="531"/>
      <c r="G38" s="53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7" t="s">
        <v>28</v>
      </c>
      <c r="C39" s="543"/>
      <c r="D39" s="543"/>
      <c r="E39" s="543"/>
      <c r="F39" s="543"/>
      <c r="G39" s="54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48" t="s">
        <v>17</v>
      </c>
      <c r="E41" s="545"/>
      <c r="F41" s="545"/>
      <c r="G41" s="545"/>
      <c r="H41" s="76" t="s">
        <v>12</v>
      </c>
      <c r="I41" s="77"/>
      <c r="J41" s="77"/>
      <c r="K41" s="78"/>
      <c r="L41" s="79">
        <f t="shared" ref="L41:N41" ca="1" si="34">L42+L43</f>
        <v>684100</v>
      </c>
      <c r="M41" s="79">
        <f t="shared" ca="1" si="34"/>
        <v>362000</v>
      </c>
      <c r="N41" s="79">
        <f t="shared" ca="1" si="34"/>
        <v>335170</v>
      </c>
      <c r="O41" s="78">
        <f t="shared" ref="O41:O43" ca="1" si="35">IF(L41&gt;0,N41*100/L41,0)</f>
        <v>48.994299079082005</v>
      </c>
      <c r="P41" s="78">
        <f t="shared" ref="P41:P43" ca="1" si="36">IF(M41&gt;0,N41*100/M41,0)</f>
        <v>92.588397790055254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684100</v>
      </c>
      <c r="M43" s="79">
        <f t="shared" ca="1" si="38"/>
        <v>362000</v>
      </c>
      <c r="N43" s="79">
        <f t="shared" ca="1" si="38"/>
        <v>335170</v>
      </c>
      <c r="O43" s="78">
        <f t="shared" ca="1" si="35"/>
        <v>48.994299079082005</v>
      </c>
      <c r="P43" s="78">
        <f t="shared" ca="1" si="36"/>
        <v>92.588397790055254</v>
      </c>
    </row>
    <row r="44" spans="1:16" ht="21.75" customHeight="1" x14ac:dyDescent="0.45">
      <c r="A44" s="80"/>
      <c r="B44" s="81"/>
      <c r="C44" s="82" t="s">
        <v>16</v>
      </c>
      <c r="D44" s="549" t="s">
        <v>20</v>
      </c>
      <c r="E44" s="545"/>
      <c r="F44" s="54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684100</v>
      </c>
      <c r="M45" s="91">
        <f ca="1">IFERROR(__xludf.DUMMYFUNCTION("IMPORTRANGE(""https://docs.google.com/spreadsheets/d/1Yj_ptqi66GCucihVvJfMjLAmec39IyEx_6qawtMGysU/edit?usp=sharing"",""สบก!Q82"")"),362000)</f>
        <v>362000</v>
      </c>
      <c r="N45" s="91">
        <f ca="1">IFERROR(__xludf.DUMMYFUNCTION("IMPORTRANGE(""https://docs.google.com/spreadsheets/d/1Yj_ptqi66GCucihVvJfMjLAmec39IyEx_6qawtMGysU/edit?usp=sharing"",""สบก!R82"")"),335170)</f>
        <v>335170</v>
      </c>
      <c r="O45" s="92">
        <f ca="1">IF(L45&gt;0,N45*100/L45,0)</f>
        <v>48.994299079082005</v>
      </c>
      <c r="P45" s="92">
        <f ca="1">IF(M45&gt;0,N45*100/M45,0)</f>
        <v>92.588397790055254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IFERROR(__xludf.DUMMYFUNCTION("IMPORTRANGE(""https://docs.google.com/spreadsheets/d/1Yj_ptqi66GCucihVvJfMjLAmec39IyEx_6qawtMGysU/edit?usp=sharing"",""สบก!M82"")"),684100)</f>
        <v>684100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IFERROR(__xludf.DUMMYFUNCTION("IMPORTRANGE(""https://docs.google.com/spreadsheets/d/1Yj_ptqi66GCucihVvJfMjLAmec39IyEx_6qawtMGysU/edit?usp=sharing"",""สบก!N82"")"),0)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49" t="s">
        <v>23</v>
      </c>
      <c r="E48" s="54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IFERROR(__xludf.DUMMYFUNCTION("IMPORTRANGE(""https://docs.google.com/spreadsheets/d/1Yj_ptqi66GCucihVvJfMjLAmec39IyEx_6qawtMGysU/edit?usp=sharing"",""สบก!O82"")"),0)</f>
        <v>0</v>
      </c>
      <c r="M49" s="101"/>
      <c r="N49" s="91">
        <f ca="1">IFERROR(__xludf.DUMMYFUNCTION("IMPORTRANGE(""https://docs.google.com/spreadsheets/d/1Yj_ptqi66GCucihVvJfMjLAmec39IyEx_6qawtMGysU/edit?usp=sharing"",""สบก!S82"")"),0)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0" t="s">
        <v>32</v>
      </c>
      <c r="C52" s="545"/>
      <c r="D52" s="545"/>
      <c r="E52" s="545"/>
      <c r="F52" s="545"/>
      <c r="G52" s="54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1" t="s">
        <v>17</v>
      </c>
      <c r="E53" s="545"/>
      <c r="F53" s="545"/>
      <c r="G53" s="545"/>
      <c r="H53" s="122" t="s">
        <v>12</v>
      </c>
      <c r="I53" s="123"/>
      <c r="J53" s="123"/>
      <c r="K53" s="124"/>
      <c r="L53" s="125">
        <f t="shared" ref="L53:N53" ca="1" si="39">L54+L55</f>
        <v>500000</v>
      </c>
      <c r="M53" s="125">
        <f t="shared" ca="1" si="39"/>
        <v>269333</v>
      </c>
      <c r="N53" s="125">
        <f t="shared" ca="1" si="39"/>
        <v>262998</v>
      </c>
      <c r="O53" s="124">
        <f t="shared" ref="O53:O55" ca="1" si="40">IF(L53&gt;0,N53*100/L53,0)</f>
        <v>52.599600000000002</v>
      </c>
      <c r="P53" s="124">
        <f t="shared" ref="P53:P55" ca="1" si="41">IF(M53&gt;0,N53*100/M53,0)</f>
        <v>97.647893128580606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500000</v>
      </c>
      <c r="M55" s="125">
        <f t="shared" ca="1" si="43"/>
        <v>269333</v>
      </c>
      <c r="N55" s="125">
        <f t="shared" ca="1" si="43"/>
        <v>262998</v>
      </c>
      <c r="O55" s="124">
        <f t="shared" ca="1" si="40"/>
        <v>52.599600000000002</v>
      </c>
      <c r="P55" s="124">
        <f t="shared" ca="1" si="41"/>
        <v>97.647893128580606</v>
      </c>
    </row>
    <row r="56" spans="1:16" ht="21.75" customHeight="1" x14ac:dyDescent="0.45">
      <c r="A56" s="80"/>
      <c r="B56" s="81"/>
      <c r="C56" s="82" t="s">
        <v>16</v>
      </c>
      <c r="D56" s="549" t="s">
        <v>20</v>
      </c>
      <c r="E56" s="545"/>
      <c r="F56" s="54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500000</v>
      </c>
      <c r="M57" s="91">
        <f ca="1">IFERROR(__xludf.DUMMYFUNCTION("IMPORTRANGE(""https://docs.google.com/spreadsheets/d/1Yj_ptqi66GCucihVvJfMjLAmec39IyEx_6qawtMGysU/edit?usp=sharing"",""สบก!Z82"")"),269333)</f>
        <v>269333</v>
      </c>
      <c r="N57" s="91">
        <f ca="1">IFERROR(__xludf.DUMMYFUNCTION("IMPORTRANGE(""https://docs.google.com/spreadsheets/d/1Yj_ptqi66GCucihVvJfMjLAmec39IyEx_6qawtMGysU/edit?usp=sharing"",""สบก!AA82"")"),262998)</f>
        <v>262998</v>
      </c>
      <c r="O57" s="92">
        <f ca="1">IF(L57&gt;0,N57*100/L57,0)</f>
        <v>52.599600000000002</v>
      </c>
      <c r="P57" s="92">
        <f ca="1">IF(M57&gt;0,N57*100/M57,0)</f>
        <v>97.647893128580606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IFERROR(__xludf.DUMMYFUNCTION("IMPORTRANGE(""https://docs.google.com/spreadsheets/d/1Yj_ptqi66GCucihVvJfMjLAmec39IyEx_6qawtMGysU/edit?usp=sharing"",""สบก!V82"")"),500000)</f>
        <v>500000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IFERROR(__xludf.DUMMYFUNCTION("IMPORTRANGE(""https://docs.google.com/spreadsheets/d/1Yj_ptqi66GCucihVvJfMjLAmec39IyEx_6qawtMGysU/edit?usp=sharing"",""สบก!W82"")"),0)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49" t="s">
        <v>23</v>
      </c>
      <c r="E60" s="54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IFERROR(__xludf.DUMMYFUNCTION("IMPORTRANGE(""https://docs.google.com/spreadsheets/d/1Yj_ptqi66GCucihVvJfMjLAmec39IyEx_6qawtMGysU/edit?usp=sharing"",""สบก!X82"")"),0)</f>
        <v>0</v>
      </c>
      <c r="M61" s="101"/>
      <c r="N61" s="91">
        <f ca="1">IFERROR(__xludf.DUMMYFUNCTION("IMPORTRANGE(""https://docs.google.com/spreadsheets/d/1Yj_ptqi66GCucihVvJfMjLAmec39IyEx_6qawtMGysU/edit?usp=sharing"",""สบก!AB82"")"),0)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IFERROR(__xludf.DUMMYFUNCTION("IMPORTRANGE(""https://docs.google.com/spreadsheets/d/1IYY_tgx_IHuhSq3AJ5eI5OnqOPBNLWSHKh2a30DoXe8/edit?usp=sharing"",""ชุมพร!I9"")"),2)</f>
        <v>2</v>
      </c>
      <c r="J64" s="146">
        <f ca="1">IFERROR(__xludf.DUMMYFUNCTION("IMPORTRANGE(""https://docs.google.com/spreadsheets/d/1IYY_tgx_IHuhSq3AJ5eI5OnqOPBNLWSHKh2a30DoXe8/edit?usp=sharing"",""ชุมพร!J9"")"),2)</f>
        <v>2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IFERROR(__xludf.DUMMYFUNCTION("IMPORTRANGE(""https://docs.google.com/spreadsheets/d/1IYY_tgx_IHuhSq3AJ5eI5OnqOPBNLWSHKh2a30DoXe8/edit?usp=sharing"",""ชุมพร!I10"")"),70)</f>
        <v>70</v>
      </c>
      <c r="J65" s="146">
        <f ca="1">IFERROR(__xludf.DUMMYFUNCTION("IMPORTRANGE(""https://docs.google.com/spreadsheets/d/1IYY_tgx_IHuhSq3AJ5eI5OnqOPBNLWSHKh2a30DoXe8/edit?usp=sharing"",""ชุมพร!J10"")"),70)</f>
        <v>70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52" t="s">
        <v>17</v>
      </c>
      <c r="E66" s="543"/>
      <c r="F66" s="543"/>
      <c r="G66" s="543"/>
      <c r="H66" s="153" t="s">
        <v>12</v>
      </c>
      <c r="I66" s="154"/>
      <c r="J66" s="154"/>
      <c r="K66" s="155"/>
      <c r="L66" s="156">
        <f t="shared" ref="L66:N66" ca="1" si="45">L67+L68</f>
        <v>780800</v>
      </c>
      <c r="M66" s="156">
        <f t="shared" ca="1" si="45"/>
        <v>462900</v>
      </c>
      <c r="N66" s="156">
        <f t="shared" ca="1" si="45"/>
        <v>203328</v>
      </c>
      <c r="O66" s="155">
        <f t="shared" ref="O66:O68" ca="1" si="46">IF(L66&gt;0,N66*100/L66,0)</f>
        <v>26.040983606557376</v>
      </c>
      <c r="P66" s="155">
        <f t="shared" ref="P66:P68" ca="1" si="47">IF(M66&gt;0,N66*100/M66,0)</f>
        <v>43.924821775761501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780800</v>
      </c>
      <c r="M68" s="161">
        <f t="shared" ca="1" si="49"/>
        <v>462900</v>
      </c>
      <c r="N68" s="161">
        <f t="shared" ca="1" si="49"/>
        <v>203328</v>
      </c>
      <c r="O68" s="160">
        <f t="shared" ca="1" si="46"/>
        <v>26.040983606557376</v>
      </c>
      <c r="P68" s="160">
        <f t="shared" ca="1" si="47"/>
        <v>43.924821775761501</v>
      </c>
    </row>
    <row r="69" spans="1:16" ht="21.75" customHeight="1" x14ac:dyDescent="0.35">
      <c r="A69" s="162"/>
      <c r="B69" s="163"/>
      <c r="C69" s="163" t="s">
        <v>16</v>
      </c>
      <c r="D69" s="164" t="s">
        <v>38</v>
      </c>
      <c r="E69" s="165"/>
      <c r="F69" s="165"/>
      <c r="G69" s="166" t="s">
        <v>39</v>
      </c>
      <c r="H69" s="167" t="s">
        <v>12</v>
      </c>
      <c r="I69" s="168" t="s">
        <v>40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 x14ac:dyDescent="0.35">
      <c r="A70" s="162"/>
      <c r="B70" s="163"/>
      <c r="C70" s="163"/>
      <c r="D70" s="172"/>
      <c r="E70" s="165"/>
      <c r="F70" s="165" t="s">
        <v>40</v>
      </c>
      <c r="G70" s="166" t="s">
        <v>41</v>
      </c>
      <c r="H70" s="167" t="s">
        <v>12</v>
      </c>
      <c r="I70" s="168"/>
      <c r="J70" s="168"/>
      <c r="K70" s="169"/>
      <c r="L70" s="173">
        <f ca="1">L71+L72</f>
        <v>780800</v>
      </c>
      <c r="M70" s="174">
        <f ca="1">IFERROR(__xludf.DUMMYFUNCTION("IMPORTRANGE(""https://docs.google.com/spreadsheets/d/1Yj_ptqi66GCucihVvJfMjLAmec39IyEx_6qawtMGysU/edit?usp=sharing"",""สบก!AI82"")"),462900)</f>
        <v>462900</v>
      </c>
      <c r="N70" s="175">
        <f ca="1">IFERROR(__xludf.DUMMYFUNCTION("IMPORTRANGE(""https://docs.google.com/spreadsheets/d/1Yj_ptqi66GCucihVvJfMjLAmec39IyEx_6qawtMGysU/edit?usp=sharing"",""สบก!AJ82"")"),203328)</f>
        <v>203328</v>
      </c>
      <c r="O70" s="176">
        <f ca="1">IF(L70&gt;0,N70*100/L70,0)</f>
        <v>26.040983606557376</v>
      </c>
      <c r="P70" s="176">
        <f ca="1">IF(M70&gt;0,N70*100/M70,0)</f>
        <v>43.924821775761501</v>
      </c>
    </row>
    <row r="71" spans="1:16" ht="21.75" customHeight="1" x14ac:dyDescent="0.35">
      <c r="A71" s="162"/>
      <c r="B71" s="163"/>
      <c r="C71" s="163"/>
      <c r="D71" s="172"/>
      <c r="E71" s="165"/>
      <c r="F71" s="165"/>
      <c r="G71" s="177" t="s">
        <v>42</v>
      </c>
      <c r="H71" s="167" t="s">
        <v>12</v>
      </c>
      <c r="I71" s="168"/>
      <c r="J71" s="168"/>
      <c r="K71" s="169"/>
      <c r="L71" s="174">
        <f ca="1">IFERROR(__xludf.DUMMYFUNCTION("IMPORTRANGE(""https://docs.google.com/spreadsheets/d/1Yj_ptqi66GCucihVvJfMjLAmec39IyEx_6qawtMGysU/edit?usp=sharing"",""สบก!AE82"")"),180800)</f>
        <v>180800</v>
      </c>
      <c r="M71" s="173"/>
      <c r="N71" s="173"/>
      <c r="O71" s="176"/>
      <c r="P71" s="176"/>
    </row>
    <row r="72" spans="1:16" ht="21.75" customHeight="1" x14ac:dyDescent="0.35">
      <c r="A72" s="162"/>
      <c r="B72" s="163"/>
      <c r="C72" s="163"/>
      <c r="D72" s="172"/>
      <c r="E72" s="165"/>
      <c r="F72" s="165"/>
      <c r="G72" s="177" t="s">
        <v>43</v>
      </c>
      <c r="H72" s="167" t="s">
        <v>12</v>
      </c>
      <c r="I72" s="168"/>
      <c r="J72" s="168"/>
      <c r="K72" s="169"/>
      <c r="L72" s="174">
        <f ca="1">IFERROR(__xludf.DUMMYFUNCTION("IMPORTRANGE(""https://docs.google.com/spreadsheets/d/1Yj_ptqi66GCucihVvJfMjLAmec39IyEx_6qawtMGysU/edit?usp=sharing"",""สบก!AF82"")"),600000)</f>
        <v>600000</v>
      </c>
      <c r="M72" s="173"/>
      <c r="N72" s="173"/>
      <c r="O72" s="176"/>
      <c r="P72" s="176"/>
    </row>
    <row r="73" spans="1:16" ht="21.75" customHeight="1" x14ac:dyDescent="0.45">
      <c r="A73" s="178"/>
      <c r="B73" s="81"/>
      <c r="C73" s="82" t="s">
        <v>16</v>
      </c>
      <c r="D73" s="549" t="s">
        <v>23</v>
      </c>
      <c r="E73" s="545"/>
      <c r="F73" s="89"/>
      <c r="G73" s="83" t="s">
        <v>18</v>
      </c>
      <c r="H73" s="179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80"/>
      <c r="B74" s="95"/>
      <c r="C74" s="95"/>
      <c r="D74" s="181"/>
      <c r="E74" s="96"/>
      <c r="F74" s="96"/>
      <c r="G74" s="97" t="s">
        <v>19</v>
      </c>
      <c r="H74" s="182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IFERROR(__xludf.DUMMYFUNCTION("IMPORTRANGE(""https://docs.google.com/spreadsheets/d/1Yj_ptqi66GCucihVvJfMjLAmec39IyEx_6qawtMGysU/edit?usp=sharing"",""สบก!AG82"")"),0)</f>
        <v>0</v>
      </c>
      <c r="M74" s="101"/>
      <c r="N74" s="91">
        <f ca="1">IFERROR(__xludf.DUMMYFUNCTION("IMPORTRANGE(""https://docs.google.com/spreadsheets/d/1Yj_ptqi66GCucihVvJfMjLAmec39IyEx_6qawtMGysU/edit?usp=sharing"",""สบก!AK82"")"),0)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3"/>
      <c r="B75" s="184"/>
      <c r="C75" s="163" t="s">
        <v>16</v>
      </c>
      <c r="D75" s="185" t="s">
        <v>44</v>
      </c>
      <c r="E75" s="186"/>
      <c r="F75" s="186"/>
      <c r="G75" s="187"/>
      <c r="H75" s="188"/>
      <c r="I75" s="168"/>
      <c r="J75" s="168"/>
      <c r="K75" s="169"/>
      <c r="L75" s="189"/>
      <c r="M75" s="189"/>
      <c r="N75" s="189"/>
      <c r="O75" s="189"/>
      <c r="P75" s="189"/>
    </row>
    <row r="76" spans="1:16" ht="21.75" customHeight="1" x14ac:dyDescent="0.35">
      <c r="A76" s="183"/>
      <c r="B76" s="184"/>
      <c r="C76" s="184"/>
      <c r="D76" s="190">
        <v>1</v>
      </c>
      <c r="E76" s="191" t="s">
        <v>45</v>
      </c>
      <c r="F76" s="192"/>
      <c r="G76" s="193"/>
      <c r="H76" s="194"/>
      <c r="I76" s="195"/>
      <c r="J76" s="196">
        <f ca="1">IFERROR(__xludf.DUMMYFUNCTION("IMPORTRANGE(""https://docs.google.com/spreadsheets/d/1IYY_tgx_IHuhSq3AJ5eI5OnqOPBNLWSHKh2a30DoXe8/edit?usp=sharing"",""ชุมพร!J16"")"),0)</f>
        <v>0</v>
      </c>
      <c r="K76" s="169"/>
      <c r="L76" s="189"/>
      <c r="M76" s="189"/>
      <c r="N76" s="189"/>
      <c r="O76" s="189"/>
      <c r="P76" s="189"/>
    </row>
    <row r="77" spans="1:16" ht="21.75" customHeight="1" x14ac:dyDescent="0.35">
      <c r="A77" s="183"/>
      <c r="B77" s="184"/>
      <c r="C77" s="184"/>
      <c r="D77" s="197">
        <v>2</v>
      </c>
      <c r="E77" s="198" t="s">
        <v>46</v>
      </c>
      <c r="F77" s="199"/>
      <c r="G77" s="200"/>
      <c r="H77" s="194"/>
      <c r="I77" s="195"/>
      <c r="J77" s="196">
        <f ca="1">IFERROR(__xludf.DUMMYFUNCTION("IMPORTRANGE(""https://docs.google.com/spreadsheets/d/1IYY_tgx_IHuhSq3AJ5eI5OnqOPBNLWSHKh2a30DoXe8/edit?usp=sharing"",""ชุมพร!J17"")"),1)</f>
        <v>1</v>
      </c>
      <c r="K77" s="169"/>
      <c r="L77" s="189" t="s">
        <v>40</v>
      </c>
      <c r="M77" s="189"/>
      <c r="N77" s="189" t="s">
        <v>40</v>
      </c>
      <c r="O77" s="189"/>
      <c r="P77" s="189"/>
    </row>
    <row r="78" spans="1:16" ht="21.75" customHeight="1" x14ac:dyDescent="0.35">
      <c r="A78" s="183"/>
      <c r="B78" s="184"/>
      <c r="C78" s="184"/>
      <c r="D78" s="201"/>
      <c r="E78" s="202" t="s">
        <v>47</v>
      </c>
      <c r="F78" s="203"/>
      <c r="G78" s="204"/>
      <c r="H78" s="194"/>
      <c r="I78" s="195"/>
      <c r="J78" s="196">
        <f ca="1">IFERROR(__xludf.DUMMYFUNCTION("IMPORTRANGE(""https://docs.google.com/spreadsheets/d/1IYY_tgx_IHuhSq3AJ5eI5OnqOPBNLWSHKh2a30DoXe8/edit?usp=sharing"",""ชุมพร!J18"")"),1)</f>
        <v>1</v>
      </c>
      <c r="K78" s="169"/>
      <c r="L78" s="189"/>
      <c r="M78" s="189"/>
      <c r="N78" s="189"/>
      <c r="O78" s="189"/>
      <c r="P78" s="189"/>
    </row>
    <row r="79" spans="1:16" ht="21.75" customHeight="1" x14ac:dyDescent="0.35">
      <c r="A79" s="183"/>
      <c r="B79" s="184"/>
      <c r="C79" s="184"/>
      <c r="D79" s="201"/>
      <c r="E79" s="202" t="s">
        <v>48</v>
      </c>
      <c r="F79" s="203"/>
      <c r="G79" s="204"/>
      <c r="H79" s="194"/>
      <c r="I79" s="195"/>
      <c r="J79" s="205">
        <f ca="1">IFERROR(__xludf.DUMMYFUNCTION("IMPORTRANGE(""https://docs.google.com/spreadsheets/d/1IYY_tgx_IHuhSq3AJ5eI5OnqOPBNLWSHKh2a30DoXe8/edit?usp=sharing"",""ชุมพร!J19"")"),1)</f>
        <v>1</v>
      </c>
      <c r="K79" s="169"/>
      <c r="L79" s="189"/>
      <c r="M79" s="189"/>
      <c r="N79" s="189"/>
      <c r="O79" s="189"/>
      <c r="P79" s="189"/>
    </row>
    <row r="80" spans="1:16" ht="21.75" customHeight="1" x14ac:dyDescent="0.35">
      <c r="A80" s="183"/>
      <c r="B80" s="184"/>
      <c r="C80" s="184"/>
      <c r="D80" s="201"/>
      <c r="E80" s="206"/>
      <c r="F80" s="202" t="s">
        <v>49</v>
      </c>
      <c r="G80" s="203"/>
      <c r="H80" s="207" t="s">
        <v>36</v>
      </c>
      <c r="I80" s="208">
        <f ca="1">IFERROR(__xludf.DUMMYFUNCTION("IMPORTRANGE(""https://docs.google.com/spreadsheets/d/1IYY_tgx_IHuhSq3AJ5eI5OnqOPBNLWSHKh2a30DoXe8/edit?usp=sharing"",""ชุมพร!I20"")"),2)</f>
        <v>2</v>
      </c>
      <c r="J80" s="208">
        <f ca="1">IFERROR(__xludf.DUMMYFUNCTION("IMPORTRANGE(""https://docs.google.com/spreadsheets/d/1IYY_tgx_IHuhSq3AJ5eI5OnqOPBNLWSHKh2a30DoXe8/edit?usp=sharing"",""ชุมพร!J20"")"),2)</f>
        <v>2</v>
      </c>
      <c r="K80" s="209">
        <f t="shared" ref="K80:K88" ca="1" si="50">IF(I80&gt;0,J80*100/I80,0)</f>
        <v>100</v>
      </c>
      <c r="L80" s="189"/>
      <c r="M80" s="189"/>
      <c r="N80" s="189"/>
      <c r="O80" s="189"/>
      <c r="P80" s="189"/>
    </row>
    <row r="81" spans="1:16" ht="21.75" customHeight="1" x14ac:dyDescent="0.35">
      <c r="A81" s="183"/>
      <c r="B81" s="184"/>
      <c r="C81" s="184"/>
      <c r="D81" s="201"/>
      <c r="E81" s="206"/>
      <c r="F81" s="203"/>
      <c r="G81" s="204"/>
      <c r="H81" s="207" t="s">
        <v>37</v>
      </c>
      <c r="I81" s="208">
        <f ca="1">IFERROR(__xludf.DUMMYFUNCTION("IMPORTRANGE(""https://docs.google.com/spreadsheets/d/1IYY_tgx_IHuhSq3AJ5eI5OnqOPBNLWSHKh2a30DoXe8/edit?usp=sharing"",""ชุมพร!I21"")"),70)</f>
        <v>70</v>
      </c>
      <c r="J81" s="208">
        <f ca="1">IFERROR(__xludf.DUMMYFUNCTION("IMPORTRANGE(""https://docs.google.com/spreadsheets/d/1IYY_tgx_IHuhSq3AJ5eI5OnqOPBNLWSHKh2a30DoXe8/edit?usp=sharing"",""ชุมพร!J21"")"),70)</f>
        <v>70</v>
      </c>
      <c r="K81" s="209">
        <f t="shared" ca="1" si="50"/>
        <v>100</v>
      </c>
      <c r="L81" s="189"/>
      <c r="M81" s="189"/>
      <c r="N81" s="189"/>
      <c r="O81" s="189"/>
      <c r="P81" s="189"/>
    </row>
    <row r="82" spans="1:16" ht="21.75" customHeight="1" x14ac:dyDescent="0.35">
      <c r="A82" s="183"/>
      <c r="B82" s="184"/>
      <c r="C82" s="184"/>
      <c r="D82" s="201"/>
      <c r="E82" s="206"/>
      <c r="F82" s="203"/>
      <c r="G82" s="203" t="s">
        <v>50</v>
      </c>
      <c r="H82" s="188" t="s">
        <v>36</v>
      </c>
      <c r="I82" s="210">
        <f ca="1">IFERROR(__xludf.DUMMYFUNCTION("IMPORTRANGE(""https://docs.google.com/spreadsheets/d/1IYY_tgx_IHuhSq3AJ5eI5OnqOPBNLWSHKh2a30DoXe8/edit?usp=sharing"",""ชุมพร!I22"")"),0)</f>
        <v>0</v>
      </c>
      <c r="J82" s="211">
        <f ca="1">IFERROR(__xludf.DUMMYFUNCTION("IMPORTRANGE(""https://docs.google.com/spreadsheets/d/1IYY_tgx_IHuhSq3AJ5eI5OnqOPBNLWSHKh2a30DoXe8/edit?usp=sharing"",""ชุมพร!J22"")"),0)</f>
        <v>0</v>
      </c>
      <c r="K82" s="169">
        <f t="shared" ca="1" si="50"/>
        <v>0</v>
      </c>
      <c r="L82" s="189"/>
      <c r="M82" s="189"/>
      <c r="N82" s="189"/>
      <c r="O82" s="189"/>
      <c r="P82" s="189"/>
    </row>
    <row r="83" spans="1:16" ht="21.75" customHeight="1" x14ac:dyDescent="0.35">
      <c r="A83" s="183"/>
      <c r="B83" s="184"/>
      <c r="C83" s="184"/>
      <c r="D83" s="201"/>
      <c r="E83" s="206"/>
      <c r="F83" s="203"/>
      <c r="G83" s="204"/>
      <c r="H83" s="188" t="s">
        <v>37</v>
      </c>
      <c r="I83" s="210">
        <f ca="1">IFERROR(__xludf.DUMMYFUNCTION("IMPORTRANGE(""https://docs.google.com/spreadsheets/d/1IYY_tgx_IHuhSq3AJ5eI5OnqOPBNLWSHKh2a30DoXe8/edit?usp=sharing"",""ชุมพร!I23"")"),0)</f>
        <v>0</v>
      </c>
      <c r="J83" s="211">
        <f ca="1">IFERROR(__xludf.DUMMYFUNCTION("IMPORTRANGE(""https://docs.google.com/spreadsheets/d/1IYY_tgx_IHuhSq3AJ5eI5OnqOPBNLWSHKh2a30DoXe8/edit?usp=sharing"",""ชุมพร!J23"")"),0)</f>
        <v>0</v>
      </c>
      <c r="K83" s="169">
        <f t="shared" ca="1" si="50"/>
        <v>0</v>
      </c>
      <c r="L83" s="189"/>
      <c r="M83" s="189"/>
      <c r="N83" s="189"/>
      <c r="O83" s="189"/>
      <c r="P83" s="189"/>
    </row>
    <row r="84" spans="1:16" ht="21.75" customHeight="1" x14ac:dyDescent="0.35">
      <c r="A84" s="183"/>
      <c r="B84" s="184"/>
      <c r="C84" s="184"/>
      <c r="D84" s="201"/>
      <c r="E84" s="206"/>
      <c r="F84" s="203"/>
      <c r="G84" s="203" t="s">
        <v>51</v>
      </c>
      <c r="H84" s="188" t="s">
        <v>36</v>
      </c>
      <c r="I84" s="210">
        <f ca="1">IFERROR(__xludf.DUMMYFUNCTION("IMPORTRANGE(""https://docs.google.com/spreadsheets/d/1IYY_tgx_IHuhSq3AJ5eI5OnqOPBNLWSHKh2a30DoXe8/edit?usp=sharing"",""ชุมพร!I24"")"),0)</f>
        <v>0</v>
      </c>
      <c r="J84" s="196">
        <f ca="1">IFERROR(__xludf.DUMMYFUNCTION("IMPORTRANGE(""https://docs.google.com/spreadsheets/d/1IYY_tgx_IHuhSq3AJ5eI5OnqOPBNLWSHKh2a30DoXe8/edit?usp=sharing"",""ชุมพร!J24"")"),0)</f>
        <v>0</v>
      </c>
      <c r="K84" s="169">
        <f t="shared" ca="1" si="50"/>
        <v>0</v>
      </c>
      <c r="L84" s="189"/>
      <c r="M84" s="189"/>
      <c r="N84" s="189"/>
      <c r="O84" s="189"/>
      <c r="P84" s="189"/>
    </row>
    <row r="85" spans="1:16" ht="21.75" customHeight="1" x14ac:dyDescent="0.35">
      <c r="A85" s="183"/>
      <c r="B85" s="184"/>
      <c r="C85" s="184"/>
      <c r="D85" s="201"/>
      <c r="E85" s="206"/>
      <c r="F85" s="203"/>
      <c r="G85" s="204"/>
      <c r="H85" s="188" t="s">
        <v>37</v>
      </c>
      <c r="I85" s="210">
        <f ca="1">IFERROR(__xludf.DUMMYFUNCTION("IMPORTRANGE(""https://docs.google.com/spreadsheets/d/1IYY_tgx_IHuhSq3AJ5eI5OnqOPBNLWSHKh2a30DoXe8/edit?usp=sharing"",""ชุมพร!I25"")"),0)</f>
        <v>0</v>
      </c>
      <c r="J85" s="196">
        <f ca="1">IFERROR(__xludf.DUMMYFUNCTION("IMPORTRANGE(""https://docs.google.com/spreadsheets/d/1IYY_tgx_IHuhSq3AJ5eI5OnqOPBNLWSHKh2a30DoXe8/edit?usp=sharing"",""ชุมพร!J25"")"),0)</f>
        <v>0</v>
      </c>
      <c r="K85" s="169">
        <f t="shared" ca="1" si="50"/>
        <v>0</v>
      </c>
      <c r="L85" s="189"/>
      <c r="M85" s="189"/>
      <c r="N85" s="189"/>
      <c r="O85" s="189"/>
      <c r="P85" s="189"/>
    </row>
    <row r="86" spans="1:16" ht="21.75" customHeight="1" x14ac:dyDescent="0.35">
      <c r="A86" s="183"/>
      <c r="B86" s="184"/>
      <c r="C86" s="184"/>
      <c r="D86" s="201"/>
      <c r="E86" s="206"/>
      <c r="F86" s="203"/>
      <c r="G86" s="203" t="s">
        <v>52</v>
      </c>
      <c r="H86" s="188" t="s">
        <v>36</v>
      </c>
      <c r="I86" s="210">
        <f ca="1">IFERROR(__xludf.DUMMYFUNCTION("IMPORTRANGE(""https://docs.google.com/spreadsheets/d/1IYY_tgx_IHuhSq3AJ5eI5OnqOPBNLWSHKh2a30DoXe8/edit?usp=sharing"",""ชุมพร!I26"")"),2)</f>
        <v>2</v>
      </c>
      <c r="J86" s="211">
        <f ca="1">IFERROR(__xludf.DUMMYFUNCTION("IMPORTRANGE(""https://docs.google.com/spreadsheets/d/1IYY_tgx_IHuhSq3AJ5eI5OnqOPBNLWSHKh2a30DoXe8/edit?usp=sharing"",""ชุมพร!J26"")"),2)</f>
        <v>2</v>
      </c>
      <c r="K86" s="169">
        <f t="shared" ca="1" si="50"/>
        <v>100</v>
      </c>
      <c r="L86" s="189"/>
      <c r="M86" s="189"/>
      <c r="N86" s="189"/>
      <c r="O86" s="189"/>
      <c r="P86" s="189"/>
    </row>
    <row r="87" spans="1:16" ht="21.75" customHeight="1" x14ac:dyDescent="0.35">
      <c r="A87" s="183"/>
      <c r="B87" s="184"/>
      <c r="C87" s="184"/>
      <c r="D87" s="201"/>
      <c r="E87" s="206"/>
      <c r="F87" s="203"/>
      <c r="G87" s="204"/>
      <c r="H87" s="188" t="s">
        <v>37</v>
      </c>
      <c r="I87" s="210">
        <f ca="1">IFERROR(__xludf.DUMMYFUNCTION("IMPORTRANGE(""https://docs.google.com/spreadsheets/d/1IYY_tgx_IHuhSq3AJ5eI5OnqOPBNLWSHKh2a30DoXe8/edit?usp=sharing"",""ชุมพร!I27"")"),70)</f>
        <v>70</v>
      </c>
      <c r="J87" s="211">
        <f ca="1">IFERROR(__xludf.DUMMYFUNCTION("IMPORTRANGE(""https://docs.google.com/spreadsheets/d/1IYY_tgx_IHuhSq3AJ5eI5OnqOPBNLWSHKh2a30DoXe8/edit?usp=sharing"",""ชุมพร!J27"")"),70)</f>
        <v>70</v>
      </c>
      <c r="K87" s="169">
        <f t="shared" ca="1" si="50"/>
        <v>100</v>
      </c>
      <c r="L87" s="189"/>
      <c r="M87" s="189"/>
      <c r="N87" s="189"/>
      <c r="O87" s="189"/>
      <c r="P87" s="189"/>
    </row>
    <row r="88" spans="1:16" ht="21.75" customHeight="1" x14ac:dyDescent="0.35">
      <c r="A88" s="183"/>
      <c r="B88" s="184"/>
      <c r="C88" s="184"/>
      <c r="D88" s="201"/>
      <c r="E88" s="206"/>
      <c r="F88" s="212" t="s">
        <v>53</v>
      </c>
      <c r="G88" s="203"/>
      <c r="H88" s="188" t="s">
        <v>37</v>
      </c>
      <c r="I88" s="210">
        <f ca="1">IFERROR(__xludf.DUMMYFUNCTION("IMPORTRANGE(""https://docs.google.com/spreadsheets/d/1IYY_tgx_IHuhSq3AJ5eI5OnqOPBNLWSHKh2a30DoXe8/edit?usp=sharing"",""ชุมพร!I28"")"),0)</f>
        <v>0</v>
      </c>
      <c r="J88" s="211">
        <f ca="1">IFERROR(__xludf.DUMMYFUNCTION("IMPORTRANGE(""https://docs.google.com/spreadsheets/d/1IYY_tgx_IHuhSq3AJ5eI5OnqOPBNLWSHKh2a30DoXe8/edit?usp=sharing"",""ชุมพร!J28"")"),0)</f>
        <v>0</v>
      </c>
      <c r="K88" s="169">
        <f t="shared" ca="1" si="50"/>
        <v>0</v>
      </c>
      <c r="L88" s="189"/>
      <c r="M88" s="189"/>
      <c r="N88" s="189"/>
      <c r="O88" s="189"/>
      <c r="P88" s="189"/>
    </row>
    <row r="89" spans="1:16" ht="21.75" customHeight="1" x14ac:dyDescent="0.35">
      <c r="A89" s="183"/>
      <c r="B89" s="184"/>
      <c r="C89" s="184"/>
      <c r="D89" s="201"/>
      <c r="E89" s="202" t="s">
        <v>54</v>
      </c>
      <c r="F89" s="203"/>
      <c r="G89" s="204"/>
      <c r="H89" s="194"/>
      <c r="I89" s="195"/>
      <c r="J89" s="205">
        <f ca="1">IFERROR(__xludf.DUMMYFUNCTION("IMPORTRANGE(""https://docs.google.com/spreadsheets/d/1IYY_tgx_IHuhSq3AJ5eI5OnqOPBNLWSHKh2a30DoXe8/edit?usp=sharing"",""ชุมพร!J29"")"),0)</f>
        <v>0</v>
      </c>
      <c r="K89" s="169"/>
      <c r="L89" s="189"/>
      <c r="M89" s="189"/>
      <c r="N89" s="189"/>
      <c r="O89" s="189"/>
      <c r="P89" s="189"/>
    </row>
    <row r="90" spans="1:16" ht="21.75" customHeight="1" x14ac:dyDescent="0.35">
      <c r="A90" s="183"/>
      <c r="B90" s="184"/>
      <c r="C90" s="184"/>
      <c r="D90" s="213">
        <v>3</v>
      </c>
      <c r="E90" s="214" t="s">
        <v>55</v>
      </c>
      <c r="F90" s="215"/>
      <c r="G90" s="216"/>
      <c r="H90" s="194"/>
      <c r="I90" s="195"/>
      <c r="J90" s="217">
        <f ca="1">IFERROR(__xludf.DUMMYFUNCTION("IMPORTRANGE(""https://docs.google.com/spreadsheets/d/1IYY_tgx_IHuhSq3AJ5eI5OnqOPBNLWSHKh2a30DoXe8/edit?usp=sharing"",""ชุมพร!J30"")"),0)</f>
        <v>0</v>
      </c>
      <c r="K90" s="169"/>
      <c r="L90" s="189"/>
      <c r="M90" s="189"/>
      <c r="N90" s="189"/>
      <c r="O90" s="189"/>
      <c r="P90" s="189"/>
    </row>
    <row r="91" spans="1:16" ht="21.75" customHeight="1" x14ac:dyDescent="0.35">
      <c r="A91" s="218" t="s">
        <v>56</v>
      </c>
      <c r="B91" s="219"/>
      <c r="C91" s="220"/>
      <c r="D91" s="219"/>
      <c r="E91" s="221"/>
      <c r="F91" s="221"/>
      <c r="G91" s="222"/>
      <c r="H91" s="223"/>
      <c r="I91" s="224"/>
      <c r="J91" s="224"/>
      <c r="K91" s="225"/>
      <c r="L91" s="226"/>
      <c r="M91" s="226"/>
      <c r="N91" s="226"/>
      <c r="O91" s="227"/>
      <c r="P91" s="227"/>
    </row>
    <row r="92" spans="1:16" ht="21.75" customHeight="1" x14ac:dyDescent="0.35">
      <c r="A92" s="142"/>
      <c r="B92" s="143" t="s">
        <v>57</v>
      </c>
      <c r="C92" s="143"/>
      <c r="D92" s="144"/>
      <c r="E92" s="143"/>
      <c r="F92" s="143"/>
      <c r="G92" s="228"/>
      <c r="H92" s="145" t="s">
        <v>37</v>
      </c>
      <c r="I92" s="146">
        <f ca="1">IFERROR(__xludf.DUMMYFUNCTION("IMPORTRANGE(""https://docs.google.com/spreadsheets/d/1IYY_tgx_IHuhSq3AJ5eI5OnqOPBNLWSHKh2a30DoXe8/edit?usp=sharing"",""ชุมพร!I32"")"),4)</f>
        <v>4</v>
      </c>
      <c r="J92" s="146">
        <f ca="1">IFERROR(__xludf.DUMMYFUNCTION("IMPORTRANGE(""https://docs.google.com/spreadsheets/d/1IYY_tgx_IHuhSq3AJ5eI5OnqOPBNLWSHKh2a30DoXe8/edit?usp=sharing"",""ชุมพร!J32"")"),0)</f>
        <v>0</v>
      </c>
      <c r="K92" s="147">
        <f t="shared" ref="K92:K93" ca="1" si="51">IF(I92&gt;0,J92*100/I92,0)</f>
        <v>0</v>
      </c>
      <c r="L92" s="229"/>
      <c r="M92" s="229"/>
      <c r="N92" s="230"/>
      <c r="O92" s="147"/>
      <c r="P92" s="147"/>
    </row>
    <row r="93" spans="1:16" ht="21.75" customHeight="1" x14ac:dyDescent="0.35">
      <c r="A93" s="142"/>
      <c r="B93" s="143"/>
      <c r="C93" s="143"/>
      <c r="D93" s="144" t="s">
        <v>58</v>
      </c>
      <c r="E93" s="143"/>
      <c r="F93" s="143"/>
      <c r="G93" s="228"/>
      <c r="H93" s="145" t="s">
        <v>59</v>
      </c>
      <c r="I93" s="146">
        <f ca="1">IFERROR(__xludf.DUMMYFUNCTION("IMPORTRANGE(""https://docs.google.com/spreadsheets/d/1IYY_tgx_IHuhSq3AJ5eI5OnqOPBNLWSHKh2a30DoXe8/edit?usp=sharing"",""ชุมพร!I33"")"),1)</f>
        <v>1</v>
      </c>
      <c r="J93" s="146">
        <f ca="1">IFERROR(__xludf.DUMMYFUNCTION("IMPORTRANGE(""https://docs.google.com/spreadsheets/d/1IYY_tgx_IHuhSq3AJ5eI5OnqOPBNLWSHKh2a30DoXe8/edit?usp=sharing"",""ชุมพร!J33"")"),1)</f>
        <v>1</v>
      </c>
      <c r="K93" s="147">
        <f t="shared" ca="1" si="51"/>
        <v>100</v>
      </c>
      <c r="L93" s="230"/>
      <c r="M93" s="230"/>
      <c r="N93" s="230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52" t="s">
        <v>17</v>
      </c>
      <c r="E94" s="543"/>
      <c r="F94" s="543"/>
      <c r="G94" s="543"/>
      <c r="H94" s="153" t="s">
        <v>12</v>
      </c>
      <c r="I94" s="168"/>
      <c r="J94" s="168"/>
      <c r="K94" s="169"/>
      <c r="L94" s="156">
        <f t="shared" ref="L94:N94" ca="1" si="52">L95+L96</f>
        <v>214500</v>
      </c>
      <c r="M94" s="156">
        <f t="shared" ca="1" si="52"/>
        <v>161130</v>
      </c>
      <c r="N94" s="156">
        <f t="shared" ca="1" si="52"/>
        <v>98590</v>
      </c>
      <c r="O94" s="155">
        <f t="shared" ref="O94:O96" ca="1" si="53">IF(L94&gt;0,N94*100/L94,0)</f>
        <v>45.962703962703962</v>
      </c>
      <c r="P94" s="155">
        <f t="shared" ref="P94:P96" ca="1" si="54">IF(M94&gt;0,N94*100/M94,0)</f>
        <v>61.186619499782786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8"/>
      <c r="J95" s="168"/>
      <c r="K95" s="169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8"/>
      <c r="J96" s="168"/>
      <c r="K96" s="169"/>
      <c r="L96" s="161">
        <f t="shared" ref="L96:N96" ca="1" si="56">L98+L102</f>
        <v>214500</v>
      </c>
      <c r="M96" s="161">
        <f t="shared" ca="1" si="56"/>
        <v>161130</v>
      </c>
      <c r="N96" s="161">
        <f t="shared" ca="1" si="56"/>
        <v>98590</v>
      </c>
      <c r="O96" s="160">
        <f t="shared" ca="1" si="53"/>
        <v>45.962703962703962</v>
      </c>
      <c r="P96" s="160">
        <f t="shared" ca="1" si="54"/>
        <v>61.186619499782786</v>
      </c>
    </row>
    <row r="97" spans="1:16" ht="21.75" customHeight="1" x14ac:dyDescent="0.35">
      <c r="A97" s="162"/>
      <c r="B97" s="163"/>
      <c r="C97" s="163" t="s">
        <v>16</v>
      </c>
      <c r="D97" s="164" t="s">
        <v>38</v>
      </c>
      <c r="E97" s="165"/>
      <c r="F97" s="165"/>
      <c r="G97" s="166" t="s">
        <v>39</v>
      </c>
      <c r="H97" s="167" t="s">
        <v>12</v>
      </c>
      <c r="I97" s="168" t="s">
        <v>40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 x14ac:dyDescent="0.35">
      <c r="A98" s="162"/>
      <c r="B98" s="163"/>
      <c r="C98" s="163"/>
      <c r="D98" s="172"/>
      <c r="E98" s="165"/>
      <c r="F98" s="165" t="s">
        <v>40</v>
      </c>
      <c r="G98" s="166" t="s">
        <v>41</v>
      </c>
      <c r="H98" s="167" t="s">
        <v>12</v>
      </c>
      <c r="I98" s="168"/>
      <c r="J98" s="168"/>
      <c r="K98" s="169"/>
      <c r="L98" s="173">
        <f ca="1">L99+L100</f>
        <v>122100</v>
      </c>
      <c r="M98" s="174">
        <f ca="1">IFERROR(__xludf.DUMMYFUNCTION("IMPORTRANGE(""https://docs.google.com/spreadsheets/d/1Yj_ptqi66GCucihVvJfMjLAmec39IyEx_6qawtMGysU/edit?usp=sharing"",""สบก!AR82"")"),68730)</f>
        <v>68730</v>
      </c>
      <c r="N98" s="175">
        <f ca="1">IFERROR(__xludf.DUMMYFUNCTION("IMPORTRANGE(""https://docs.google.com/spreadsheets/d/1Yj_ptqi66GCucihVvJfMjLAmec39IyEx_6qawtMGysU/edit?usp=sharing"",""สบก!AS82"")"),6190)</f>
        <v>6190</v>
      </c>
      <c r="O98" s="176">
        <f ca="1">IF(L98&gt;0,N98*100/L98,0)</f>
        <v>5.0696150696150699</v>
      </c>
      <c r="P98" s="176">
        <f ca="1">IF(M98&gt;0,N98*100/M98,0)</f>
        <v>9.0062563654881416</v>
      </c>
    </row>
    <row r="99" spans="1:16" ht="21.75" customHeight="1" x14ac:dyDescent="0.35">
      <c r="A99" s="162"/>
      <c r="B99" s="163"/>
      <c r="C99" s="163"/>
      <c r="D99" s="172"/>
      <c r="E99" s="165"/>
      <c r="F99" s="165"/>
      <c r="G99" s="177" t="s">
        <v>42</v>
      </c>
      <c r="H99" s="167" t="s">
        <v>12</v>
      </c>
      <c r="I99" s="168"/>
      <c r="J99" s="168"/>
      <c r="K99" s="169"/>
      <c r="L99" s="174">
        <f ca="1">IFERROR(__xludf.DUMMYFUNCTION("IMPORTRANGE(""https://docs.google.com/spreadsheets/d/1Yj_ptqi66GCucihVvJfMjLAmec39IyEx_6qawtMGysU/edit?usp=sharing"",""สบก!AN82"")"),0)</f>
        <v>0</v>
      </c>
      <c r="M99" s="173"/>
      <c r="N99" s="173"/>
      <c r="O99" s="176"/>
      <c r="P99" s="176"/>
    </row>
    <row r="100" spans="1:16" ht="21.75" customHeight="1" x14ac:dyDescent="0.35">
      <c r="A100" s="162"/>
      <c r="B100" s="163"/>
      <c r="C100" s="163"/>
      <c r="D100" s="172"/>
      <c r="E100" s="165"/>
      <c r="F100" s="165"/>
      <c r="G100" s="177" t="s">
        <v>43</v>
      </c>
      <c r="H100" s="167" t="s">
        <v>12</v>
      </c>
      <c r="I100" s="168"/>
      <c r="J100" s="195"/>
      <c r="K100" s="231"/>
      <c r="L100" s="174">
        <f ca="1">IFERROR(__xludf.DUMMYFUNCTION("IMPORTRANGE(""https://docs.google.com/spreadsheets/d/1Yj_ptqi66GCucihVvJfMjLAmec39IyEx_6qawtMGysU/edit?usp=sharing"",""สบก!AO82"")"),122100)</f>
        <v>122100</v>
      </c>
      <c r="M100" s="173"/>
      <c r="N100" s="173"/>
      <c r="O100" s="176"/>
      <c r="P100" s="176"/>
    </row>
    <row r="101" spans="1:16" ht="21.75" customHeight="1" x14ac:dyDescent="0.45">
      <c r="A101" s="178"/>
      <c r="B101" s="81"/>
      <c r="C101" s="82" t="s">
        <v>16</v>
      </c>
      <c r="D101" s="549" t="s">
        <v>23</v>
      </c>
      <c r="E101" s="545"/>
      <c r="F101" s="89"/>
      <c r="G101" s="83" t="s">
        <v>18</v>
      </c>
      <c r="H101" s="179" t="s">
        <v>12</v>
      </c>
      <c r="I101" s="195"/>
      <c r="J101" s="195"/>
      <c r="K101" s="231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80"/>
      <c r="B102" s="95"/>
      <c r="C102" s="95"/>
      <c r="D102" s="181"/>
      <c r="E102" s="96"/>
      <c r="F102" s="96"/>
      <c r="G102" s="97" t="s">
        <v>19</v>
      </c>
      <c r="H102" s="182" t="s">
        <v>12</v>
      </c>
      <c r="I102" s="195"/>
      <c r="J102" s="195"/>
      <c r="K102" s="231"/>
      <c r="L102" s="91">
        <f ca="1">IFERROR(__xludf.DUMMYFUNCTION("IMPORTRANGE(""https://docs.google.com/spreadsheets/d/1Yj_ptqi66GCucihVvJfMjLAmec39IyEx_6qawtMGysU/edit?usp=sharing"",""สบก!AP82"")"),92400)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IFERROR(__xludf.DUMMYFUNCTION("IMPORTRANGE(""https://docs.google.com/spreadsheets/d/1Yj_ptqi66GCucihVvJfMjLAmec39IyEx_6qawtMGysU/edit?usp=sharing"",""สบก!AT82"")"),92400)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3"/>
      <c r="B103" s="184"/>
      <c r="C103" s="163" t="s">
        <v>16</v>
      </c>
      <c r="D103" s="185" t="s">
        <v>44</v>
      </c>
      <c r="E103" s="186"/>
      <c r="F103" s="186"/>
      <c r="G103" s="187"/>
      <c r="H103" s="188"/>
      <c r="I103" s="168"/>
      <c r="J103" s="195"/>
      <c r="K103" s="231"/>
      <c r="L103" s="176"/>
      <c r="M103" s="176"/>
      <c r="N103" s="176"/>
      <c r="O103" s="189"/>
      <c r="P103" s="189"/>
    </row>
    <row r="104" spans="1:16" ht="21.75" customHeight="1" x14ac:dyDescent="0.35">
      <c r="A104" s="183"/>
      <c r="B104" s="184"/>
      <c r="C104" s="184"/>
      <c r="D104" s="190">
        <v>1</v>
      </c>
      <c r="E104" s="191" t="s">
        <v>45</v>
      </c>
      <c r="F104" s="192"/>
      <c r="G104" s="193"/>
      <c r="H104" s="194"/>
      <c r="I104" s="195"/>
      <c r="J104" s="195">
        <f ca="1">IFERROR(__xludf.DUMMYFUNCTION("IMPORTRANGE(""https://docs.google.com/spreadsheets/d/1IYY_tgx_IHuhSq3AJ5eI5OnqOPBNLWSHKh2a30DoXe8/edit?usp=sharing"",""ชุมพร!J39"")"),0)</f>
        <v>0</v>
      </c>
      <c r="K104" s="231"/>
      <c r="L104" s="176"/>
      <c r="M104" s="176"/>
      <c r="N104" s="176"/>
      <c r="O104" s="189"/>
      <c r="P104" s="189"/>
    </row>
    <row r="105" spans="1:16" ht="21.75" customHeight="1" x14ac:dyDescent="0.35">
      <c r="A105" s="183"/>
      <c r="B105" s="184"/>
      <c r="C105" s="184"/>
      <c r="D105" s="197">
        <v>2</v>
      </c>
      <c r="E105" s="198" t="s">
        <v>46</v>
      </c>
      <c r="F105" s="199"/>
      <c r="G105" s="200"/>
      <c r="H105" s="194"/>
      <c r="I105" s="195"/>
      <c r="J105" s="195">
        <f ca="1">IFERROR(__xludf.DUMMYFUNCTION("IMPORTRANGE(""https://docs.google.com/spreadsheets/d/1IYY_tgx_IHuhSq3AJ5eI5OnqOPBNLWSHKh2a30DoXe8/edit?usp=sharing"",""ชุมพร!J40"")"),1)</f>
        <v>1</v>
      </c>
      <c r="K105" s="231"/>
      <c r="L105" s="176" t="s">
        <v>40</v>
      </c>
      <c r="M105" s="176"/>
      <c r="N105" s="176" t="s">
        <v>40</v>
      </c>
      <c r="O105" s="189"/>
      <c r="P105" s="189"/>
    </row>
    <row r="106" spans="1:16" ht="21.75" customHeight="1" x14ac:dyDescent="0.35">
      <c r="A106" s="183"/>
      <c r="B106" s="184"/>
      <c r="C106" s="184"/>
      <c r="D106" s="201"/>
      <c r="E106" s="202" t="s">
        <v>47</v>
      </c>
      <c r="F106" s="203"/>
      <c r="G106" s="204"/>
      <c r="H106" s="194"/>
      <c r="I106" s="195"/>
      <c r="J106" s="195">
        <f ca="1">IFERROR(__xludf.DUMMYFUNCTION("IMPORTRANGE(""https://docs.google.com/spreadsheets/d/1IYY_tgx_IHuhSq3AJ5eI5OnqOPBNLWSHKh2a30DoXe8/edit?usp=sharing"",""ชุมพร!J41"")"),1)</f>
        <v>1</v>
      </c>
      <c r="K106" s="231"/>
      <c r="L106" s="176"/>
      <c r="M106" s="176"/>
      <c r="N106" s="176"/>
      <c r="O106" s="189"/>
      <c r="P106" s="189"/>
    </row>
    <row r="107" spans="1:16" ht="21.75" customHeight="1" x14ac:dyDescent="0.35">
      <c r="A107" s="183"/>
      <c r="B107" s="184"/>
      <c r="C107" s="184"/>
      <c r="D107" s="201"/>
      <c r="E107" s="202" t="s">
        <v>48</v>
      </c>
      <c r="F107" s="203"/>
      <c r="G107" s="204"/>
      <c r="H107" s="194"/>
      <c r="I107" s="195"/>
      <c r="J107" s="195">
        <f ca="1">IFERROR(__xludf.DUMMYFUNCTION("IMPORTRANGE(""https://docs.google.com/spreadsheets/d/1IYY_tgx_IHuhSq3AJ5eI5OnqOPBNLWSHKh2a30DoXe8/edit?usp=sharing"",""ชุมพร!J42"")"),1)</f>
        <v>1</v>
      </c>
      <c r="K107" s="231"/>
      <c r="L107" s="176"/>
      <c r="M107" s="176"/>
      <c r="N107" s="176"/>
      <c r="O107" s="189"/>
      <c r="P107" s="189"/>
    </row>
    <row r="108" spans="1:16" ht="21.75" customHeight="1" x14ac:dyDescent="0.35">
      <c r="A108" s="183"/>
      <c r="B108" s="184"/>
      <c r="C108" s="184"/>
      <c r="D108" s="201"/>
      <c r="E108" s="203"/>
      <c r="F108" s="203" t="s">
        <v>60</v>
      </c>
      <c r="G108" s="203"/>
      <c r="H108" s="188" t="s">
        <v>61</v>
      </c>
      <c r="I108" s="210">
        <f ca="1">IFERROR(__xludf.DUMMYFUNCTION("IMPORTRANGE(""https://docs.google.com/spreadsheets/d/1IYY_tgx_IHuhSq3AJ5eI5OnqOPBNLWSHKh2a30DoXe8/edit?usp=sharing"",""ชุมพร!I43"")"),1)</f>
        <v>1</v>
      </c>
      <c r="J108" s="211">
        <f ca="1">IFERROR(__xludf.DUMMYFUNCTION("IMPORTRANGE(""https://docs.google.com/spreadsheets/d/1IYY_tgx_IHuhSq3AJ5eI5OnqOPBNLWSHKh2a30DoXe8/edit?usp=sharing"",""ชุมพร!J43"")"),0)</f>
        <v>0</v>
      </c>
      <c r="K108" s="231">
        <f t="shared" ref="K108:K113" ca="1" si="57">IF(I108&gt;0,J108*100/I108,0)</f>
        <v>0</v>
      </c>
      <c r="L108" s="176"/>
      <c r="M108" s="176"/>
      <c r="N108" s="176"/>
      <c r="O108" s="189"/>
      <c r="P108" s="189"/>
    </row>
    <row r="109" spans="1:16" ht="21.75" customHeight="1" x14ac:dyDescent="0.35">
      <c r="A109" s="183"/>
      <c r="B109" s="184"/>
      <c r="C109" s="184"/>
      <c r="D109" s="201"/>
      <c r="E109" s="206"/>
      <c r="F109" s="202" t="s">
        <v>62</v>
      </c>
      <c r="G109" s="203"/>
      <c r="H109" s="188" t="s">
        <v>37</v>
      </c>
      <c r="I109" s="210">
        <f ca="1">IFERROR(__xludf.DUMMYFUNCTION("IMPORTRANGE(""https://docs.google.com/spreadsheets/d/1IYY_tgx_IHuhSq3AJ5eI5OnqOPBNLWSHKh2a30DoXe8/edit?usp=sharing"",""ชุมพร!I44"")"),4)</f>
        <v>4</v>
      </c>
      <c r="J109" s="211">
        <f ca="1">IFERROR(__xludf.DUMMYFUNCTION("IMPORTRANGE(""https://docs.google.com/spreadsheets/d/1IYY_tgx_IHuhSq3AJ5eI5OnqOPBNLWSHKh2a30DoXe8/edit?usp=sharing"",""ชุมพร!J44"")"),0)</f>
        <v>0</v>
      </c>
      <c r="K109" s="231">
        <f t="shared" ca="1" si="57"/>
        <v>0</v>
      </c>
      <c r="L109" s="176"/>
      <c r="M109" s="176"/>
      <c r="N109" s="176"/>
      <c r="O109" s="189"/>
      <c r="P109" s="189"/>
    </row>
    <row r="110" spans="1:16" ht="21.75" customHeight="1" x14ac:dyDescent="0.35">
      <c r="A110" s="183"/>
      <c r="B110" s="184"/>
      <c r="C110" s="184"/>
      <c r="D110" s="201"/>
      <c r="E110" s="206"/>
      <c r="F110" s="203"/>
      <c r="G110" s="232" t="s">
        <v>63</v>
      </c>
      <c r="H110" s="188" t="s">
        <v>37</v>
      </c>
      <c r="I110" s="210">
        <f ca="1">IFERROR(__xludf.DUMMYFUNCTION("IMPORTRANGE(""https://docs.google.com/spreadsheets/d/1IYY_tgx_IHuhSq3AJ5eI5OnqOPBNLWSHKh2a30DoXe8/edit?usp=sharing"",""ชุมพร!I45"")"),4)</f>
        <v>4</v>
      </c>
      <c r="J110" s="211">
        <f ca="1">IFERROR(__xludf.DUMMYFUNCTION("IMPORTRANGE(""https://docs.google.com/spreadsheets/d/1IYY_tgx_IHuhSq3AJ5eI5OnqOPBNLWSHKh2a30DoXe8/edit?usp=sharing"",""ชุมพร!J45"")"),4)</f>
        <v>4</v>
      </c>
      <c r="K110" s="231">
        <f t="shared" ca="1" si="57"/>
        <v>100</v>
      </c>
      <c r="L110" s="176"/>
      <c r="M110" s="176"/>
      <c r="N110" s="176"/>
      <c r="O110" s="189"/>
      <c r="P110" s="189"/>
    </row>
    <row r="111" spans="1:16" ht="21.75" customHeight="1" x14ac:dyDescent="0.35">
      <c r="A111" s="183"/>
      <c r="B111" s="184"/>
      <c r="C111" s="184"/>
      <c r="D111" s="201"/>
      <c r="E111" s="206"/>
      <c r="F111" s="203"/>
      <c r="G111" s="232" t="s">
        <v>64</v>
      </c>
      <c r="H111" s="188" t="s">
        <v>37</v>
      </c>
      <c r="I111" s="210">
        <f ca="1">IFERROR(__xludf.DUMMYFUNCTION("IMPORTRANGE(""https://docs.google.com/spreadsheets/d/1IYY_tgx_IHuhSq3AJ5eI5OnqOPBNLWSHKh2a30DoXe8/edit?usp=sharing"",""ชุมพร!I46"")"),4)</f>
        <v>4</v>
      </c>
      <c r="J111" s="211">
        <f ca="1">IFERROR(__xludf.DUMMYFUNCTION("IMPORTRANGE(""https://docs.google.com/spreadsheets/d/1IYY_tgx_IHuhSq3AJ5eI5OnqOPBNLWSHKh2a30DoXe8/edit?usp=sharing"",""ชุมพร!J46"")"),0)</f>
        <v>0</v>
      </c>
      <c r="K111" s="231">
        <f t="shared" ca="1" si="57"/>
        <v>0</v>
      </c>
      <c r="L111" s="176"/>
      <c r="M111" s="176"/>
      <c r="N111" s="176"/>
      <c r="O111" s="189"/>
      <c r="P111" s="189"/>
    </row>
    <row r="112" spans="1:16" ht="21.75" customHeight="1" x14ac:dyDescent="0.35">
      <c r="A112" s="183"/>
      <c r="B112" s="184"/>
      <c r="C112" s="184"/>
      <c r="D112" s="201"/>
      <c r="E112" s="206"/>
      <c r="F112" s="203"/>
      <c r="G112" s="233" t="s">
        <v>65</v>
      </c>
      <c r="H112" s="188" t="s">
        <v>37</v>
      </c>
      <c r="I112" s="210">
        <f ca="1">IFERROR(__xludf.DUMMYFUNCTION("IMPORTRANGE(""https://docs.google.com/spreadsheets/d/1IYY_tgx_IHuhSq3AJ5eI5OnqOPBNLWSHKh2a30DoXe8/edit?usp=sharing"",""ชุมพร!I47"")"),4)</f>
        <v>4</v>
      </c>
      <c r="J112" s="211">
        <f ca="1">IFERROR(__xludf.DUMMYFUNCTION("IMPORTRANGE(""https://docs.google.com/spreadsheets/d/1IYY_tgx_IHuhSq3AJ5eI5OnqOPBNLWSHKh2a30DoXe8/edit?usp=sharing"",""ชุมพร!J47"")"),0)</f>
        <v>0</v>
      </c>
      <c r="K112" s="231">
        <f t="shared" ca="1" si="57"/>
        <v>0</v>
      </c>
      <c r="L112" s="176"/>
      <c r="M112" s="176"/>
      <c r="N112" s="176"/>
      <c r="O112" s="189"/>
      <c r="P112" s="189"/>
    </row>
    <row r="113" spans="1:16" ht="21.75" customHeight="1" x14ac:dyDescent="0.35">
      <c r="A113" s="183"/>
      <c r="B113" s="184"/>
      <c r="C113" s="184"/>
      <c r="D113" s="201"/>
      <c r="E113" s="206"/>
      <c r="F113" s="203" t="s">
        <v>66</v>
      </c>
      <c r="G113" s="203"/>
      <c r="H113" s="188" t="s">
        <v>59</v>
      </c>
      <c r="I113" s="210">
        <f ca="1">IFERROR(__xludf.DUMMYFUNCTION("IMPORTRANGE(""https://docs.google.com/spreadsheets/d/1IYY_tgx_IHuhSq3AJ5eI5OnqOPBNLWSHKh2a30DoXe8/edit?usp=sharing"",""ชุมพร!I48"")"),1)</f>
        <v>1</v>
      </c>
      <c r="J113" s="211">
        <f ca="1">IFERROR(__xludf.DUMMYFUNCTION("IMPORTRANGE(""https://docs.google.com/spreadsheets/d/1IYY_tgx_IHuhSq3AJ5eI5OnqOPBNLWSHKh2a30DoXe8/edit?usp=sharing"",""ชุมพร!J48"")"),1)</f>
        <v>1</v>
      </c>
      <c r="K113" s="231">
        <f t="shared" ca="1" si="57"/>
        <v>100</v>
      </c>
      <c r="L113" s="176"/>
      <c r="M113" s="176"/>
      <c r="N113" s="176"/>
      <c r="O113" s="189"/>
      <c r="P113" s="189"/>
    </row>
    <row r="114" spans="1:16" ht="21.75" customHeight="1" x14ac:dyDescent="0.35">
      <c r="A114" s="183"/>
      <c r="B114" s="184"/>
      <c r="C114" s="184"/>
      <c r="D114" s="201"/>
      <c r="E114" s="202" t="s">
        <v>54</v>
      </c>
      <c r="F114" s="203"/>
      <c r="G114" s="204"/>
      <c r="H114" s="194"/>
      <c r="I114" s="195"/>
      <c r="J114" s="195">
        <f ca="1">IFERROR(__xludf.DUMMYFUNCTION("IMPORTRANGE(""https://docs.google.com/spreadsheets/d/1IYY_tgx_IHuhSq3AJ5eI5OnqOPBNLWSHKh2a30DoXe8/edit?usp=sharing"",""ชุมพร!J49"")"),0)</f>
        <v>0</v>
      </c>
      <c r="K114" s="231"/>
      <c r="L114" s="176"/>
      <c r="M114" s="176"/>
      <c r="N114" s="176"/>
      <c r="O114" s="189"/>
      <c r="P114" s="189"/>
    </row>
    <row r="115" spans="1:16" ht="21.75" customHeight="1" x14ac:dyDescent="0.35">
      <c r="A115" s="183"/>
      <c r="B115" s="184"/>
      <c r="C115" s="184"/>
      <c r="D115" s="213">
        <v>3</v>
      </c>
      <c r="E115" s="214" t="s">
        <v>55</v>
      </c>
      <c r="F115" s="215"/>
      <c r="G115" s="216"/>
      <c r="H115" s="194"/>
      <c r="I115" s="195"/>
      <c r="J115" s="234">
        <f ca="1">IFERROR(__xludf.DUMMYFUNCTION("IMPORTRANGE(""https://docs.google.com/spreadsheets/d/1IYY_tgx_IHuhSq3AJ5eI5OnqOPBNLWSHKh2a30DoXe8/edit?usp=sharing"",""ชุมพร!J50"")"),0)</f>
        <v>0</v>
      </c>
      <c r="K115" s="231"/>
      <c r="L115" s="176"/>
      <c r="M115" s="176"/>
      <c r="N115" s="176"/>
      <c r="O115" s="189"/>
      <c r="P115" s="189"/>
    </row>
    <row r="116" spans="1:16" ht="21.75" customHeight="1" x14ac:dyDescent="0.35">
      <c r="A116" s="218" t="s">
        <v>67</v>
      </c>
      <c r="B116" s="235"/>
      <c r="C116" s="236"/>
      <c r="D116" s="235"/>
      <c r="E116" s="237"/>
      <c r="F116" s="237"/>
      <c r="G116" s="238"/>
      <c r="H116" s="223"/>
      <c r="I116" s="224"/>
      <c r="J116" s="224"/>
      <c r="K116" s="225"/>
      <c r="L116" s="226"/>
      <c r="M116" s="226"/>
      <c r="N116" s="226"/>
      <c r="O116" s="227"/>
      <c r="P116" s="227"/>
    </row>
    <row r="117" spans="1:16" ht="21.75" customHeight="1" x14ac:dyDescent="0.35">
      <c r="A117" s="142"/>
      <c r="B117" s="143" t="s">
        <v>68</v>
      </c>
      <c r="C117" s="239"/>
      <c r="D117" s="144"/>
      <c r="E117" s="143"/>
      <c r="F117" s="143"/>
      <c r="G117" s="228"/>
      <c r="H117" s="145" t="s">
        <v>37</v>
      </c>
      <c r="I117" s="146">
        <f ca="1">IFERROR(__xludf.DUMMYFUNCTION("IMPORTRANGE(""https://docs.google.com/spreadsheets/d/1IYY_tgx_IHuhSq3AJ5eI5OnqOPBNLWSHKh2a30DoXe8/edit?usp=sharing"",""ชุมพร!I52"")"),15)</f>
        <v>15</v>
      </c>
      <c r="J117" s="146">
        <f ca="1">IFERROR(__xludf.DUMMYFUNCTION("IMPORTRANGE(""https://docs.google.com/spreadsheets/d/1IYY_tgx_IHuhSq3AJ5eI5OnqOPBNLWSHKh2a30DoXe8/edit?usp=sharing"",""ชุมพร!J52"")"),15)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52" t="s">
        <v>17</v>
      </c>
      <c r="E118" s="543"/>
      <c r="F118" s="543"/>
      <c r="G118" s="543"/>
      <c r="H118" s="153" t="s">
        <v>12</v>
      </c>
      <c r="I118" s="168"/>
      <c r="J118" s="168"/>
      <c r="K118" s="169"/>
      <c r="L118" s="156">
        <f t="shared" ref="L118:N118" ca="1" si="58">L119+L120</f>
        <v>64890</v>
      </c>
      <c r="M118" s="156">
        <f t="shared" ca="1" si="58"/>
        <v>52890</v>
      </c>
      <c r="N118" s="156">
        <f t="shared" ca="1" si="58"/>
        <v>7275</v>
      </c>
      <c r="O118" s="155">
        <f t="shared" ref="O118:O120" ca="1" si="59">IF(L118&gt;0,N118*100/L118,0)</f>
        <v>11.211280628756358</v>
      </c>
      <c r="P118" s="155">
        <f t="shared" ref="P118:P120" ca="1" si="60">IF(M118&gt;0,N118*100/M118,0)</f>
        <v>13.75496313102666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8"/>
      <c r="J119" s="168"/>
      <c r="K119" s="169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8"/>
      <c r="J120" s="168"/>
      <c r="K120" s="169"/>
      <c r="L120" s="161">
        <f t="shared" ref="L120:N120" ca="1" si="62">L122+L126</f>
        <v>64890</v>
      </c>
      <c r="M120" s="161">
        <f t="shared" ca="1" si="62"/>
        <v>52890</v>
      </c>
      <c r="N120" s="161">
        <f t="shared" ca="1" si="62"/>
        <v>7275</v>
      </c>
      <c r="O120" s="160">
        <f t="shared" ca="1" si="59"/>
        <v>11.211280628756358</v>
      </c>
      <c r="P120" s="160">
        <f t="shared" ca="1" si="60"/>
        <v>13.75496313102666</v>
      </c>
    </row>
    <row r="121" spans="1:16" ht="21.75" customHeight="1" x14ac:dyDescent="0.35">
      <c r="A121" s="162"/>
      <c r="B121" s="163"/>
      <c r="C121" s="163" t="s">
        <v>16</v>
      </c>
      <c r="D121" s="164" t="s">
        <v>38</v>
      </c>
      <c r="E121" s="165"/>
      <c r="F121" s="165"/>
      <c r="G121" s="166" t="s">
        <v>39</v>
      </c>
      <c r="H121" s="167" t="s">
        <v>12</v>
      </c>
      <c r="I121" s="168" t="s">
        <v>40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 x14ac:dyDescent="0.35">
      <c r="A122" s="162"/>
      <c r="B122" s="163"/>
      <c r="C122" s="163"/>
      <c r="D122" s="172"/>
      <c r="E122" s="165"/>
      <c r="F122" s="165" t="s">
        <v>40</v>
      </c>
      <c r="G122" s="166" t="s">
        <v>41</v>
      </c>
      <c r="H122" s="167" t="s">
        <v>12</v>
      </c>
      <c r="I122" s="168"/>
      <c r="J122" s="168"/>
      <c r="K122" s="169"/>
      <c r="L122" s="173">
        <f ca="1">L123+L124</f>
        <v>64890</v>
      </c>
      <c r="M122" s="174">
        <f ca="1">IFERROR(__xludf.DUMMYFUNCTION("IMPORTRANGE(""https://docs.google.com/spreadsheets/d/1Yj_ptqi66GCucihVvJfMjLAmec39IyEx_6qawtMGysU/edit?usp=sharing"",""สบก!BA82"")"),52890)</f>
        <v>52890</v>
      </c>
      <c r="N122" s="175">
        <f ca="1">IFERROR(__xludf.DUMMYFUNCTION("IMPORTRANGE(""https://docs.google.com/spreadsheets/d/1Yj_ptqi66GCucihVvJfMjLAmec39IyEx_6qawtMGysU/edit?usp=sharing"",""สบก!BB82"")"),7275)</f>
        <v>7275</v>
      </c>
      <c r="O122" s="176">
        <f ca="1">IF(L122&gt;0,N122*100/L122,0)</f>
        <v>11.211280628756358</v>
      </c>
      <c r="P122" s="176">
        <f ca="1">IF(M122&gt;0,N122*100/M122,0)</f>
        <v>13.75496313102666</v>
      </c>
    </row>
    <row r="123" spans="1:16" ht="21.75" customHeight="1" x14ac:dyDescent="0.35">
      <c r="A123" s="162"/>
      <c r="B123" s="163"/>
      <c r="C123" s="163"/>
      <c r="D123" s="172"/>
      <c r="E123" s="165"/>
      <c r="F123" s="165"/>
      <c r="G123" s="177" t="s">
        <v>42</v>
      </c>
      <c r="H123" s="167" t="s">
        <v>12</v>
      </c>
      <c r="I123" s="168"/>
      <c r="J123" s="168"/>
      <c r="K123" s="169"/>
      <c r="L123" s="174">
        <f ca="1">IFERROR(__xludf.DUMMYFUNCTION("IMPORTRANGE(""https://docs.google.com/spreadsheets/d/1Yj_ptqi66GCucihVvJfMjLAmec39IyEx_6qawtMGysU/edit?usp=sharing"",""สบก!AW82"")"),0)</f>
        <v>0</v>
      </c>
      <c r="M123" s="173"/>
      <c r="N123" s="173"/>
      <c r="O123" s="176"/>
      <c r="P123" s="176"/>
    </row>
    <row r="124" spans="1:16" ht="21.75" customHeight="1" x14ac:dyDescent="0.35">
      <c r="A124" s="162"/>
      <c r="B124" s="163"/>
      <c r="C124" s="163"/>
      <c r="D124" s="172"/>
      <c r="E124" s="165"/>
      <c r="F124" s="165"/>
      <c r="G124" s="177" t="s">
        <v>43</v>
      </c>
      <c r="H124" s="167" t="s">
        <v>12</v>
      </c>
      <c r="I124" s="168"/>
      <c r="J124" s="195"/>
      <c r="K124" s="231"/>
      <c r="L124" s="174">
        <f ca="1">IFERROR(__xludf.DUMMYFUNCTION("IMPORTRANGE(""https://docs.google.com/spreadsheets/d/1Yj_ptqi66GCucihVvJfMjLAmec39IyEx_6qawtMGysU/edit?usp=sharing"",""สบก!AX82"")"),64890)</f>
        <v>64890</v>
      </c>
      <c r="M124" s="173"/>
      <c r="N124" s="173"/>
      <c r="O124" s="176"/>
      <c r="P124" s="176"/>
    </row>
    <row r="125" spans="1:16" ht="21.75" customHeight="1" x14ac:dyDescent="0.45">
      <c r="A125" s="178"/>
      <c r="B125" s="81"/>
      <c r="C125" s="82" t="s">
        <v>16</v>
      </c>
      <c r="D125" s="549" t="s">
        <v>23</v>
      </c>
      <c r="E125" s="545"/>
      <c r="F125" s="89"/>
      <c r="G125" s="83" t="s">
        <v>18</v>
      </c>
      <c r="H125" s="179" t="s">
        <v>12</v>
      </c>
      <c r="I125" s="195"/>
      <c r="J125" s="195"/>
      <c r="K125" s="231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80"/>
      <c r="B126" s="95"/>
      <c r="C126" s="95"/>
      <c r="D126" s="181"/>
      <c r="E126" s="96"/>
      <c r="F126" s="96"/>
      <c r="G126" s="97" t="s">
        <v>19</v>
      </c>
      <c r="H126" s="182" t="s">
        <v>12</v>
      </c>
      <c r="I126" s="195"/>
      <c r="J126" s="195"/>
      <c r="K126" s="231"/>
      <c r="L126" s="91">
        <f ca="1">IFERROR(__xludf.DUMMYFUNCTION("IMPORTRANGE(""https://docs.google.com/spreadsheets/d/1Yj_ptqi66GCucihVvJfMjLAmec39IyEx_6qawtMGysU/edit?usp=sharing"",""สบก!AY82"")"),0)</f>
        <v>0</v>
      </c>
      <c r="M126" s="101"/>
      <c r="N126" s="91">
        <f ca="1">IFERROR(__xludf.DUMMYFUNCTION("IMPORTRANGE(""https://docs.google.com/spreadsheets/d/1Yj_ptqi66GCucihVvJfMjLAmec39IyEx_6qawtMGysU/edit?usp=sharing"",""สบก!BC82"")"),0)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3"/>
      <c r="B127" s="184"/>
      <c r="C127" s="163" t="s">
        <v>16</v>
      </c>
      <c r="D127" s="240" t="s">
        <v>241</v>
      </c>
      <c r="E127" s="186"/>
      <c r="F127" s="186"/>
      <c r="G127" s="187"/>
      <c r="H127" s="188"/>
      <c r="I127" s="168"/>
      <c r="J127" s="195"/>
      <c r="K127" s="231"/>
      <c r="L127" s="176"/>
      <c r="M127" s="176"/>
      <c r="N127" s="176"/>
      <c r="O127" s="189"/>
      <c r="P127" s="189"/>
    </row>
    <row r="128" spans="1:16" ht="21.75" customHeight="1" x14ac:dyDescent="0.35">
      <c r="A128" s="183"/>
      <c r="B128" s="184"/>
      <c r="C128" s="184"/>
      <c r="D128" s="190">
        <v>1</v>
      </c>
      <c r="E128" s="191" t="s">
        <v>45</v>
      </c>
      <c r="F128" s="192"/>
      <c r="G128" s="193"/>
      <c r="H128" s="194"/>
      <c r="I128" s="195"/>
      <c r="J128" s="211">
        <f ca="1">IFERROR(__xludf.DUMMYFUNCTION("IMPORTRANGE(""https://docs.google.com/spreadsheets/d/1IYY_tgx_IHuhSq3AJ5eI5OnqOPBNLWSHKh2a30DoXe8/edit?usp=sharing"",""ชุมพร!J58"")"),0)</f>
        <v>0</v>
      </c>
      <c r="K128" s="231"/>
      <c r="L128" s="176"/>
      <c r="M128" s="176"/>
      <c r="N128" s="176"/>
      <c r="O128" s="189"/>
      <c r="P128" s="189"/>
    </row>
    <row r="129" spans="1:16" ht="21.75" customHeight="1" x14ac:dyDescent="0.35">
      <c r="A129" s="183"/>
      <c r="B129" s="184"/>
      <c r="C129" s="184"/>
      <c r="D129" s="197">
        <v>2</v>
      </c>
      <c r="E129" s="198" t="s">
        <v>46</v>
      </c>
      <c r="F129" s="199"/>
      <c r="G129" s="200"/>
      <c r="H129" s="194"/>
      <c r="I129" s="195"/>
      <c r="J129" s="195">
        <f ca="1">IFERROR(__xludf.DUMMYFUNCTION("IMPORTRANGE(""https://docs.google.com/spreadsheets/d/1IYY_tgx_IHuhSq3AJ5eI5OnqOPBNLWSHKh2a30DoXe8/edit?usp=sharing"",""ชุมพร!J59"")"),1)</f>
        <v>1</v>
      </c>
      <c r="K129" s="231"/>
      <c r="L129" s="176" t="s">
        <v>40</v>
      </c>
      <c r="M129" s="176"/>
      <c r="N129" s="176" t="s">
        <v>40</v>
      </c>
      <c r="O129" s="189"/>
      <c r="P129" s="189"/>
    </row>
    <row r="130" spans="1:16" ht="21.75" customHeight="1" x14ac:dyDescent="0.35">
      <c r="A130" s="183"/>
      <c r="B130" s="184"/>
      <c r="C130" s="184"/>
      <c r="D130" s="201"/>
      <c r="E130" s="202" t="s">
        <v>47</v>
      </c>
      <c r="F130" s="203"/>
      <c r="G130" s="204"/>
      <c r="H130" s="194"/>
      <c r="I130" s="195"/>
      <c r="J130" s="195">
        <f ca="1">IFERROR(__xludf.DUMMYFUNCTION("IMPORTRANGE(""https://docs.google.com/spreadsheets/d/1IYY_tgx_IHuhSq3AJ5eI5OnqOPBNLWSHKh2a30DoXe8/edit?usp=sharing"",""ชุมพร!J60"")"),1)</f>
        <v>1</v>
      </c>
      <c r="K130" s="231"/>
      <c r="L130" s="176"/>
      <c r="M130" s="176"/>
      <c r="N130" s="176"/>
      <c r="O130" s="189"/>
      <c r="P130" s="189"/>
    </row>
    <row r="131" spans="1:16" ht="21.75" customHeight="1" x14ac:dyDescent="0.35">
      <c r="A131" s="183"/>
      <c r="B131" s="184"/>
      <c r="C131" s="184"/>
      <c r="D131" s="201"/>
      <c r="E131" s="202" t="s">
        <v>48</v>
      </c>
      <c r="F131" s="203"/>
      <c r="G131" s="204"/>
      <c r="H131" s="194"/>
      <c r="I131" s="195"/>
      <c r="J131" s="195">
        <f ca="1">IFERROR(__xludf.DUMMYFUNCTION("IMPORTRANGE(""https://docs.google.com/spreadsheets/d/1IYY_tgx_IHuhSq3AJ5eI5OnqOPBNLWSHKh2a30DoXe8/edit?usp=sharing"",""ชุมพร!J61"")"),1)</f>
        <v>1</v>
      </c>
      <c r="K131" s="231"/>
      <c r="L131" s="176"/>
      <c r="M131" s="176"/>
      <c r="N131" s="176"/>
      <c r="O131" s="189"/>
      <c r="P131" s="189"/>
    </row>
    <row r="132" spans="1:16" ht="21.75" customHeight="1" x14ac:dyDescent="0.35">
      <c r="A132" s="183"/>
      <c r="B132" s="184"/>
      <c r="C132" s="184"/>
      <c r="D132" s="201"/>
      <c r="E132" s="206"/>
      <c r="F132" s="202" t="s">
        <v>70</v>
      </c>
      <c r="G132" s="204"/>
      <c r="H132" s="188" t="s">
        <v>37</v>
      </c>
      <c r="I132" s="195">
        <f ca="1">IFERROR(__xludf.DUMMYFUNCTION("IMPORTRANGE(""https://docs.google.com/spreadsheets/d/1IYY_tgx_IHuhSq3AJ5eI5OnqOPBNLWSHKh2a30DoXe8/edit?usp=sharing"",""ชุมพร!I62"")"),15)</f>
        <v>15</v>
      </c>
      <c r="J132" s="211">
        <f ca="1">IFERROR(__xludf.DUMMYFUNCTION("IMPORTRANGE(""https://docs.google.com/spreadsheets/d/1IYY_tgx_IHuhSq3AJ5eI5OnqOPBNLWSHKh2a30DoXe8/edit?usp=sharing"",""ชุมพร!J62"")"),15)</f>
        <v>15</v>
      </c>
      <c r="K132" s="231">
        <f t="shared" ref="K132:K133" ca="1" si="63">IF(I132&gt;0,J132*100/I132,0)</f>
        <v>100</v>
      </c>
      <c r="L132" s="176"/>
      <c r="M132" s="176"/>
      <c r="N132" s="176"/>
      <c r="O132" s="189"/>
      <c r="P132" s="189"/>
    </row>
    <row r="133" spans="1:16" ht="21.75" customHeight="1" x14ac:dyDescent="0.35">
      <c r="A133" s="183"/>
      <c r="B133" s="184"/>
      <c r="C133" s="184"/>
      <c r="D133" s="201"/>
      <c r="E133" s="206"/>
      <c r="F133" s="202" t="s">
        <v>71</v>
      </c>
      <c r="G133" s="204"/>
      <c r="H133" s="188" t="s">
        <v>37</v>
      </c>
      <c r="I133" s="195">
        <f ca="1">IFERROR(__xludf.DUMMYFUNCTION("IMPORTRANGE(""https://docs.google.com/spreadsheets/d/1IYY_tgx_IHuhSq3AJ5eI5OnqOPBNLWSHKh2a30DoXe8/edit?usp=sharing"",""ชุมพร!I63"")"),15)</f>
        <v>15</v>
      </c>
      <c r="J133" s="211">
        <f ca="1">IFERROR(__xludf.DUMMYFUNCTION("IMPORTRANGE(""https://docs.google.com/spreadsheets/d/1IYY_tgx_IHuhSq3AJ5eI5OnqOPBNLWSHKh2a30DoXe8/edit?usp=sharing"",""ชุมพร!J63"")"),0)</f>
        <v>0</v>
      </c>
      <c r="K133" s="231">
        <f t="shared" ca="1" si="63"/>
        <v>0</v>
      </c>
      <c r="L133" s="176"/>
      <c r="M133" s="176"/>
      <c r="N133" s="176"/>
      <c r="O133" s="189"/>
      <c r="P133" s="189"/>
    </row>
    <row r="134" spans="1:16" ht="21.75" customHeight="1" x14ac:dyDescent="0.35">
      <c r="A134" s="183"/>
      <c r="B134" s="184"/>
      <c r="C134" s="184"/>
      <c r="D134" s="201"/>
      <c r="E134" s="202" t="s">
        <v>54</v>
      </c>
      <c r="F134" s="203"/>
      <c r="G134" s="204"/>
      <c r="H134" s="194"/>
      <c r="I134" s="195"/>
      <c r="J134" s="195">
        <f ca="1">IFERROR(__xludf.DUMMYFUNCTION("IMPORTRANGE(""https://docs.google.com/spreadsheets/d/1IYY_tgx_IHuhSq3AJ5eI5OnqOPBNLWSHKh2a30DoXe8/edit?usp=sharing"",""ชุมพร!J64"")"),0)</f>
        <v>0</v>
      </c>
      <c r="K134" s="231"/>
      <c r="L134" s="176"/>
      <c r="M134" s="176"/>
      <c r="N134" s="176"/>
      <c r="O134" s="189"/>
      <c r="P134" s="189"/>
    </row>
    <row r="135" spans="1:16" ht="21.75" customHeight="1" x14ac:dyDescent="0.35">
      <c r="A135" s="241"/>
      <c r="B135" s="242"/>
      <c r="C135" s="242"/>
      <c r="D135" s="243">
        <v>3</v>
      </c>
      <c r="E135" s="244" t="s">
        <v>55</v>
      </c>
      <c r="F135" s="245"/>
      <c r="G135" s="246"/>
      <c r="H135" s="247"/>
      <c r="I135" s="248"/>
      <c r="J135" s="249">
        <f ca="1">IFERROR(__xludf.DUMMYFUNCTION("IMPORTRANGE(""https://docs.google.com/spreadsheets/d/1IYY_tgx_IHuhSq3AJ5eI5OnqOPBNLWSHKh2a30DoXe8/edit?usp=sharing"",""ชุมพร!J65"")"),0)</f>
        <v>0</v>
      </c>
      <c r="K135" s="250"/>
      <c r="L135" s="251"/>
      <c r="M135" s="251"/>
      <c r="N135" s="251"/>
      <c r="O135" s="252"/>
      <c r="P135" s="252"/>
    </row>
    <row r="136" spans="1:16" ht="21.75" customHeight="1" x14ac:dyDescent="0.35">
      <c r="A136" s="253" t="s">
        <v>72</v>
      </c>
      <c r="B136" s="254"/>
      <c r="C136" s="254"/>
      <c r="D136" s="254"/>
      <c r="E136" s="255"/>
      <c r="F136" s="255"/>
      <c r="G136" s="256"/>
      <c r="H136" s="257"/>
      <c r="I136" s="258"/>
      <c r="J136" s="258"/>
      <c r="K136" s="259"/>
      <c r="L136" s="260"/>
      <c r="M136" s="260"/>
      <c r="N136" s="260"/>
      <c r="O136" s="260"/>
      <c r="P136" s="260"/>
    </row>
    <row r="137" spans="1:16" ht="21.75" customHeight="1" x14ac:dyDescent="0.35">
      <c r="A137" s="261" t="s">
        <v>73</v>
      </c>
      <c r="B137" s="262"/>
      <c r="C137" s="262"/>
      <c r="D137" s="263"/>
      <c r="E137" s="263"/>
      <c r="F137" s="263"/>
      <c r="G137" s="264"/>
      <c r="H137" s="265"/>
      <c r="I137" s="266"/>
      <c r="J137" s="266"/>
      <c r="K137" s="267"/>
      <c r="L137" s="267"/>
      <c r="M137" s="267"/>
      <c r="N137" s="267"/>
      <c r="O137" s="268"/>
      <c r="P137" s="268"/>
    </row>
    <row r="138" spans="1:16" ht="21.75" customHeight="1" x14ac:dyDescent="0.35">
      <c r="A138" s="269"/>
      <c r="B138" s="270" t="s">
        <v>74</v>
      </c>
      <c r="C138" s="271"/>
      <c r="D138" s="270"/>
      <c r="E138" s="270"/>
      <c r="F138" s="270"/>
      <c r="G138" s="272"/>
      <c r="H138" s="273" t="s">
        <v>37</v>
      </c>
      <c r="I138" s="274">
        <f ca="1">IFERROR(__xludf.DUMMYFUNCTION("IMPORTRANGE(""https://docs.google.com/spreadsheets/d/1IYY_tgx_IHuhSq3AJ5eI5OnqOPBNLWSHKh2a30DoXe8/edit?usp=sharing"",""ชุมพร!I68"")"),15)</f>
        <v>15</v>
      </c>
      <c r="J138" s="274">
        <f ca="1">IFERROR(__xludf.DUMMYFUNCTION("IMPORTRANGE(""https://docs.google.com/spreadsheets/d/1IYY_tgx_IHuhSq3AJ5eI5OnqOPBNLWSHKh2a30DoXe8/edit?usp=sharing"",""ชุมพร!J68"")"),15)</f>
        <v>15</v>
      </c>
      <c r="K138" s="275">
        <f ca="1">IF(I138&gt;0,J138*100/I138,0)</f>
        <v>100</v>
      </c>
      <c r="L138" s="276"/>
      <c r="M138" s="276"/>
      <c r="N138" s="276"/>
      <c r="O138" s="275"/>
      <c r="P138" s="275"/>
    </row>
    <row r="139" spans="1:16" ht="21.75" customHeight="1" x14ac:dyDescent="0.35">
      <c r="A139" s="269"/>
      <c r="B139" s="270" t="s">
        <v>75</v>
      </c>
      <c r="C139" s="271"/>
      <c r="D139" s="270"/>
      <c r="E139" s="270"/>
      <c r="F139" s="270"/>
      <c r="G139" s="272"/>
      <c r="H139" s="273"/>
      <c r="I139" s="274"/>
      <c r="J139" s="274"/>
      <c r="K139" s="275"/>
      <c r="L139" s="276"/>
      <c r="M139" s="276"/>
      <c r="N139" s="276"/>
      <c r="O139" s="275"/>
      <c r="P139" s="275"/>
    </row>
    <row r="140" spans="1:16" ht="21.75" customHeight="1" x14ac:dyDescent="0.45">
      <c r="A140" s="150"/>
      <c r="B140" s="151"/>
      <c r="C140" s="152" t="s">
        <v>16</v>
      </c>
      <c r="D140" s="552" t="s">
        <v>17</v>
      </c>
      <c r="E140" s="543"/>
      <c r="F140" s="543"/>
      <c r="G140" s="543"/>
      <c r="H140" s="153" t="s">
        <v>12</v>
      </c>
      <c r="I140" s="168"/>
      <c r="J140" s="168"/>
      <c r="K140" s="169"/>
      <c r="L140" s="156">
        <f t="shared" ref="L140:N140" ca="1" si="64">L141+L142</f>
        <v>206500</v>
      </c>
      <c r="M140" s="156">
        <f t="shared" ca="1" si="64"/>
        <v>130750</v>
      </c>
      <c r="N140" s="156">
        <f t="shared" ca="1" si="64"/>
        <v>82926</v>
      </c>
      <c r="O140" s="155">
        <f t="shared" ref="O140:O142" ca="1" si="65">IF(L140&gt;0,N140*100/L140,0)</f>
        <v>40.157869249394672</v>
      </c>
      <c r="P140" s="155">
        <f t="shared" ref="P140:P142" ca="1" si="66">IF(M140&gt;0,N140*100/M140,0)</f>
        <v>63.423326959847039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8"/>
      <c r="J141" s="168"/>
      <c r="K141" s="169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8"/>
      <c r="J142" s="168"/>
      <c r="K142" s="169"/>
      <c r="L142" s="161">
        <f t="shared" ref="L142:N142" ca="1" si="68">L144+L148</f>
        <v>206500</v>
      </c>
      <c r="M142" s="161">
        <f t="shared" ca="1" si="68"/>
        <v>130750</v>
      </c>
      <c r="N142" s="161">
        <f t="shared" ca="1" si="68"/>
        <v>82926</v>
      </c>
      <c r="O142" s="160">
        <f t="shared" ca="1" si="65"/>
        <v>40.157869249394672</v>
      </c>
      <c r="P142" s="160">
        <f t="shared" ca="1" si="66"/>
        <v>63.423326959847039</v>
      </c>
    </row>
    <row r="143" spans="1:16" ht="21.75" customHeight="1" x14ac:dyDescent="0.35">
      <c r="A143" s="162"/>
      <c r="B143" s="163"/>
      <c r="C143" s="163" t="s">
        <v>16</v>
      </c>
      <c r="D143" s="164" t="s">
        <v>38</v>
      </c>
      <c r="E143" s="165"/>
      <c r="F143" s="165"/>
      <c r="G143" s="166" t="s">
        <v>39</v>
      </c>
      <c r="H143" s="167" t="s">
        <v>12</v>
      </c>
      <c r="I143" s="168" t="s">
        <v>40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 x14ac:dyDescent="0.35">
      <c r="A144" s="162"/>
      <c r="B144" s="163"/>
      <c r="C144" s="163"/>
      <c r="D144" s="172"/>
      <c r="E144" s="165"/>
      <c r="F144" s="165" t="s">
        <v>40</v>
      </c>
      <c r="G144" s="166" t="s">
        <v>41</v>
      </c>
      <c r="H144" s="167" t="s">
        <v>12</v>
      </c>
      <c r="I144" s="168"/>
      <c r="J144" s="168"/>
      <c r="K144" s="169"/>
      <c r="L144" s="173">
        <f ca="1">L145+L146</f>
        <v>206500</v>
      </c>
      <c r="M144" s="174">
        <f ca="1">IFERROR(__xludf.DUMMYFUNCTION("IMPORTRANGE(""https://docs.google.com/spreadsheets/d/1Yj_ptqi66GCucihVvJfMjLAmec39IyEx_6qawtMGysU/edit?usp=sharing"",""สบก!BJ82"")"),130750)</f>
        <v>130750</v>
      </c>
      <c r="N144" s="175">
        <f ca="1">IFERROR(__xludf.DUMMYFUNCTION("IMPORTRANGE(""https://docs.google.com/spreadsheets/d/1Yj_ptqi66GCucihVvJfMjLAmec39IyEx_6qawtMGysU/edit?usp=sharing"",""สบก!BK82"")"),82926)</f>
        <v>82926</v>
      </c>
      <c r="O144" s="176">
        <f ca="1">IF(L144&gt;0,N144*100/L144,0)</f>
        <v>40.157869249394672</v>
      </c>
      <c r="P144" s="176">
        <f ca="1">IF(M144&gt;0,N144*100/M144,0)</f>
        <v>63.423326959847039</v>
      </c>
    </row>
    <row r="145" spans="1:16" ht="21.75" customHeight="1" x14ac:dyDescent="0.35">
      <c r="A145" s="162"/>
      <c r="B145" s="163"/>
      <c r="C145" s="163"/>
      <c r="D145" s="172"/>
      <c r="E145" s="165"/>
      <c r="F145" s="165"/>
      <c r="G145" s="177" t="s">
        <v>42</v>
      </c>
      <c r="H145" s="167" t="s">
        <v>12</v>
      </c>
      <c r="I145" s="168"/>
      <c r="J145" s="168"/>
      <c r="K145" s="169"/>
      <c r="L145" s="174">
        <f ca="1">IFERROR(__xludf.DUMMYFUNCTION("IMPORTRANGE(""https://docs.google.com/spreadsheets/d/1Yj_ptqi66GCucihVvJfMjLAmec39IyEx_6qawtMGysU/edit?usp=sharing"",""สบก!BF82"")"),132000)</f>
        <v>132000</v>
      </c>
      <c r="M145" s="173"/>
      <c r="N145" s="173"/>
      <c r="O145" s="176"/>
      <c r="P145" s="176"/>
    </row>
    <row r="146" spans="1:16" ht="21.75" customHeight="1" x14ac:dyDescent="0.35">
      <c r="A146" s="162"/>
      <c r="B146" s="163"/>
      <c r="C146" s="163"/>
      <c r="D146" s="172"/>
      <c r="E146" s="165"/>
      <c r="F146" s="165"/>
      <c r="G146" s="177" t="s">
        <v>43</v>
      </c>
      <c r="H146" s="167" t="s">
        <v>12</v>
      </c>
      <c r="I146" s="168"/>
      <c r="J146" s="168"/>
      <c r="K146" s="169"/>
      <c r="L146" s="174">
        <f ca="1">IFERROR(__xludf.DUMMYFUNCTION("IMPORTRANGE(""https://docs.google.com/spreadsheets/d/1Yj_ptqi66GCucihVvJfMjLAmec39IyEx_6qawtMGysU/edit?usp=sharing"",""สบก!BG82"")"),74500)</f>
        <v>74500</v>
      </c>
      <c r="M146" s="173"/>
      <c r="N146" s="173"/>
      <c r="O146" s="176"/>
      <c r="P146" s="176"/>
    </row>
    <row r="147" spans="1:16" ht="21.75" customHeight="1" x14ac:dyDescent="0.45">
      <c r="A147" s="178"/>
      <c r="B147" s="81"/>
      <c r="C147" s="82" t="s">
        <v>16</v>
      </c>
      <c r="D147" s="549" t="s">
        <v>23</v>
      </c>
      <c r="E147" s="545"/>
      <c r="F147" s="89"/>
      <c r="G147" s="83" t="s">
        <v>18</v>
      </c>
      <c r="H147" s="179" t="s">
        <v>12</v>
      </c>
      <c r="I147" s="195"/>
      <c r="J147" s="195"/>
      <c r="K147" s="231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80"/>
      <c r="B148" s="95"/>
      <c r="C148" s="95"/>
      <c r="D148" s="181"/>
      <c r="E148" s="96"/>
      <c r="F148" s="96"/>
      <c r="G148" s="97" t="s">
        <v>19</v>
      </c>
      <c r="H148" s="182" t="s">
        <v>12</v>
      </c>
      <c r="I148" s="195"/>
      <c r="J148" s="195"/>
      <c r="K148" s="231"/>
      <c r="L148" s="91">
        <f ca="1">IFERROR(__xludf.DUMMYFUNCTION("IMPORTRANGE(""https://docs.google.com/spreadsheets/d/1Yj_ptqi66GCucihVvJfMjLAmec39IyEx_6qawtMGysU/edit?usp=sharing"",""สบก!BH82"")"),0)</f>
        <v>0</v>
      </c>
      <c r="M148" s="101"/>
      <c r="N148" s="91">
        <f ca="1">IFERROR(__xludf.DUMMYFUNCTION("IMPORTRANGE(""https://docs.google.com/spreadsheets/d/1Yj_ptqi66GCucihVvJfMjLAmec39IyEx_6qawtMGysU/edit?usp=sharing"",""สบก!BL82"")"),0)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7"/>
      <c r="B149" s="278"/>
      <c r="C149" s="279" t="s">
        <v>76</v>
      </c>
      <c r="D149" s="279"/>
      <c r="E149" s="279"/>
      <c r="F149" s="279"/>
      <c r="G149" s="280"/>
      <c r="H149" s="281" t="s">
        <v>77</v>
      </c>
      <c r="I149" s="282">
        <f ca="1">IFERROR(__xludf.DUMMYFUNCTION("IMPORTRANGE(""https://docs.google.com/spreadsheets/d/1IYY_tgx_IHuhSq3AJ5eI5OnqOPBNLWSHKh2a30DoXe8/edit?usp=sharing"",""ชุมพร!I74"")"),4)</f>
        <v>4</v>
      </c>
      <c r="J149" s="282">
        <f ca="1">IFERROR(__xludf.DUMMYFUNCTION("IMPORTRANGE(""https://docs.google.com/spreadsheets/d/1IYY_tgx_IHuhSq3AJ5eI5OnqOPBNLWSHKh2a30DoXe8/edit?usp=sharing"",""ชุมพร!J74"")"),1)</f>
        <v>1</v>
      </c>
      <c r="K149" s="283">
        <f ca="1">IF(I149&gt;0,J149*100/I149,0)</f>
        <v>25</v>
      </c>
      <c r="L149" s="284"/>
      <c r="M149" s="284"/>
      <c r="N149" s="284"/>
      <c r="O149" s="284"/>
      <c r="P149" s="284"/>
    </row>
    <row r="150" spans="1:16" ht="21.75" customHeight="1" x14ac:dyDescent="0.35">
      <c r="A150" s="162"/>
      <c r="B150" s="163"/>
      <c r="C150" s="163" t="s">
        <v>16</v>
      </c>
      <c r="D150" s="164" t="s">
        <v>38</v>
      </c>
      <c r="E150" s="165"/>
      <c r="F150" s="165"/>
      <c r="G150" s="166" t="s">
        <v>39</v>
      </c>
      <c r="H150" s="167" t="s">
        <v>12</v>
      </c>
      <c r="I150" s="168" t="s">
        <v>40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 x14ac:dyDescent="0.35">
      <c r="A151" s="162"/>
      <c r="B151" s="163"/>
      <c r="C151" s="163"/>
      <c r="D151" s="172"/>
      <c r="E151" s="165"/>
      <c r="F151" s="165" t="s">
        <v>40</v>
      </c>
      <c r="G151" s="166" t="s">
        <v>41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 x14ac:dyDescent="0.35">
      <c r="A152" s="162"/>
      <c r="B152" s="163"/>
      <c r="C152" s="163"/>
      <c r="D152" s="172"/>
      <c r="E152" s="165"/>
      <c r="F152" s="165"/>
      <c r="G152" s="177" t="s">
        <v>43</v>
      </c>
      <c r="H152" s="167" t="s">
        <v>12</v>
      </c>
      <c r="I152" s="168"/>
      <c r="J152" s="168"/>
      <c r="K152" s="169"/>
      <c r="L152" s="176"/>
      <c r="M152" s="176"/>
      <c r="N152" s="173"/>
      <c r="O152" s="176"/>
      <c r="P152" s="176"/>
    </row>
    <row r="153" spans="1:16" ht="21.75" customHeight="1" x14ac:dyDescent="0.35">
      <c r="A153" s="183"/>
      <c r="B153" s="184"/>
      <c r="C153" s="163" t="s">
        <v>16</v>
      </c>
      <c r="D153" s="185" t="s">
        <v>44</v>
      </c>
      <c r="E153" s="186"/>
      <c r="F153" s="186"/>
      <c r="G153" s="187"/>
      <c r="H153" s="188"/>
      <c r="I153" s="168"/>
      <c r="J153" s="168"/>
      <c r="K153" s="169"/>
      <c r="L153" s="189"/>
      <c r="M153" s="189"/>
      <c r="N153" s="189"/>
      <c r="O153" s="189"/>
      <c r="P153" s="189"/>
    </row>
    <row r="154" spans="1:16" ht="21.75" customHeight="1" x14ac:dyDescent="0.35">
      <c r="A154" s="183"/>
      <c r="B154" s="184"/>
      <c r="C154" s="184"/>
      <c r="D154" s="190">
        <v>1</v>
      </c>
      <c r="E154" s="191" t="s">
        <v>45</v>
      </c>
      <c r="F154" s="192"/>
      <c r="G154" s="193"/>
      <c r="H154" s="194"/>
      <c r="I154" s="195"/>
      <c r="J154" s="196">
        <f ca="1">IFERROR(__xludf.DUMMYFUNCTION("IMPORTRANGE(""https://docs.google.com/spreadsheets/d/1IYY_tgx_IHuhSq3AJ5eI5OnqOPBNLWSHKh2a30DoXe8/edit?usp=sharing"",""ชุมพร!J79"")"),0)</f>
        <v>0</v>
      </c>
      <c r="K154" s="169"/>
      <c r="L154" s="189"/>
      <c r="M154" s="189"/>
      <c r="N154" s="189"/>
      <c r="O154" s="189"/>
      <c r="P154" s="189"/>
    </row>
    <row r="155" spans="1:16" ht="21.75" customHeight="1" x14ac:dyDescent="0.35">
      <c r="A155" s="183"/>
      <c r="B155" s="184"/>
      <c r="C155" s="184"/>
      <c r="D155" s="197">
        <v>2</v>
      </c>
      <c r="E155" s="198" t="s">
        <v>46</v>
      </c>
      <c r="F155" s="199"/>
      <c r="G155" s="200"/>
      <c r="H155" s="194"/>
      <c r="I155" s="195"/>
      <c r="J155" s="205">
        <f ca="1">IFERROR(__xludf.DUMMYFUNCTION("IMPORTRANGE(""https://docs.google.com/spreadsheets/d/1IYY_tgx_IHuhSq3AJ5eI5OnqOPBNLWSHKh2a30DoXe8/edit?usp=sharing"",""ชุมพร!J80"")"),1)</f>
        <v>1</v>
      </c>
      <c r="K155" s="169"/>
      <c r="L155" s="189"/>
      <c r="M155" s="189"/>
      <c r="N155" s="189"/>
      <c r="O155" s="189"/>
      <c r="P155" s="189"/>
    </row>
    <row r="156" spans="1:16" ht="21.75" customHeight="1" x14ac:dyDescent="0.35">
      <c r="A156" s="183"/>
      <c r="B156" s="184"/>
      <c r="C156" s="184"/>
      <c r="D156" s="201"/>
      <c r="E156" s="202" t="s">
        <v>47</v>
      </c>
      <c r="F156" s="203"/>
      <c r="G156" s="204"/>
      <c r="H156" s="194"/>
      <c r="I156" s="195"/>
      <c r="J156" s="205">
        <f ca="1">IFERROR(__xludf.DUMMYFUNCTION("IMPORTRANGE(""https://docs.google.com/spreadsheets/d/1IYY_tgx_IHuhSq3AJ5eI5OnqOPBNLWSHKh2a30DoXe8/edit?usp=sharing"",""ชุมพร!J81"")"),1)</f>
        <v>1</v>
      </c>
      <c r="K156" s="169"/>
      <c r="L156" s="189"/>
      <c r="M156" s="189"/>
      <c r="N156" s="189"/>
      <c r="O156" s="189"/>
      <c r="P156" s="189"/>
    </row>
    <row r="157" spans="1:16" ht="21.75" customHeight="1" x14ac:dyDescent="0.35">
      <c r="A157" s="183"/>
      <c r="B157" s="184"/>
      <c r="C157" s="184"/>
      <c r="D157" s="201"/>
      <c r="E157" s="202" t="s">
        <v>48</v>
      </c>
      <c r="F157" s="203"/>
      <c r="G157" s="204"/>
      <c r="H157" s="194"/>
      <c r="I157" s="195"/>
      <c r="J157" s="205">
        <f ca="1">IFERROR(__xludf.DUMMYFUNCTION("IMPORTRANGE(""https://docs.google.com/spreadsheets/d/1IYY_tgx_IHuhSq3AJ5eI5OnqOPBNLWSHKh2a30DoXe8/edit?usp=sharing"",""ชุมพร!J82"")"),1)</f>
        <v>1</v>
      </c>
      <c r="K157" s="169"/>
      <c r="L157" s="189"/>
      <c r="M157" s="189"/>
      <c r="N157" s="189"/>
      <c r="O157" s="189"/>
      <c r="P157" s="189"/>
    </row>
    <row r="158" spans="1:16" ht="21.75" customHeight="1" x14ac:dyDescent="0.35">
      <c r="A158" s="183"/>
      <c r="B158" s="184"/>
      <c r="C158" s="184"/>
      <c r="D158" s="201"/>
      <c r="E158" s="206"/>
      <c r="F158" s="202" t="s">
        <v>78</v>
      </c>
      <c r="G158" s="204"/>
      <c r="H158" s="188" t="s">
        <v>77</v>
      </c>
      <c r="I158" s="195">
        <f ca="1">IFERROR(__xludf.DUMMYFUNCTION("IMPORTRANGE(""https://docs.google.com/spreadsheets/d/1IYY_tgx_IHuhSq3AJ5eI5OnqOPBNLWSHKh2a30DoXe8/edit?usp=sharing"",""ชุมพร!I83"")"),4)</f>
        <v>4</v>
      </c>
      <c r="J158" s="196">
        <f ca="1">IFERROR(__xludf.DUMMYFUNCTION("IMPORTRANGE(""https://docs.google.com/spreadsheets/d/1IYY_tgx_IHuhSq3AJ5eI5OnqOPBNLWSHKh2a30DoXe8/edit?usp=sharing"",""ชุมพร!J83"")"),1)</f>
        <v>1</v>
      </c>
      <c r="K158" s="169">
        <f ca="1">IF(I158&gt;0,J158*100/I158,0)</f>
        <v>25</v>
      </c>
      <c r="L158" s="189"/>
      <c r="M158" s="189"/>
      <c r="N158" s="189"/>
      <c r="O158" s="189"/>
      <c r="P158" s="189"/>
    </row>
    <row r="159" spans="1:16" ht="21.75" customHeight="1" x14ac:dyDescent="0.35">
      <c r="A159" s="183"/>
      <c r="B159" s="184"/>
      <c r="C159" s="184"/>
      <c r="D159" s="201"/>
      <c r="E159" s="203"/>
      <c r="F159" s="285" t="s">
        <v>79</v>
      </c>
      <c r="G159" s="204"/>
      <c r="H159" s="286" t="s">
        <v>37</v>
      </c>
      <c r="I159" s="195"/>
      <c r="J159" s="211">
        <f ca="1">IFERROR(__xludf.DUMMYFUNCTION("IMPORTRANGE(""https://docs.google.com/spreadsheets/d/1IYY_tgx_IHuhSq3AJ5eI5OnqOPBNLWSHKh2a30DoXe8/edit?usp=sharing"",""ชุมพร!J84"")"),45)</f>
        <v>45</v>
      </c>
      <c r="K159" s="169"/>
      <c r="L159" s="189"/>
      <c r="M159" s="189"/>
      <c r="N159" s="189"/>
      <c r="O159" s="189"/>
      <c r="P159" s="189"/>
    </row>
    <row r="160" spans="1:16" ht="21.75" customHeight="1" x14ac:dyDescent="0.45">
      <c r="A160" s="183"/>
      <c r="B160" s="184"/>
      <c r="C160" s="184"/>
      <c r="D160" s="201"/>
      <c r="E160" s="203"/>
      <c r="F160" s="203"/>
      <c r="G160" s="287" t="s">
        <v>80</v>
      </c>
      <c r="H160" s="286" t="s">
        <v>37</v>
      </c>
      <c r="I160" s="195"/>
      <c r="J160" s="288">
        <f ca="1">IFERROR(__xludf.DUMMYFUNCTION("IMPORTRANGE(""https://docs.google.com/spreadsheets/d/1IYY_tgx_IHuhSq3AJ5eI5OnqOPBNLWSHKh2a30DoXe8/edit?usp=sharing"",""ชุมพร!J85"")"),0)</f>
        <v>0</v>
      </c>
      <c r="K160" s="169"/>
      <c r="L160" s="189"/>
      <c r="M160" s="189"/>
      <c r="N160" s="189"/>
      <c r="O160" s="189"/>
      <c r="P160" s="189"/>
    </row>
    <row r="161" spans="1:16" ht="21.75" customHeight="1" x14ac:dyDescent="0.45">
      <c r="A161" s="183"/>
      <c r="B161" s="184"/>
      <c r="C161" s="184"/>
      <c r="D161" s="201"/>
      <c r="E161" s="203"/>
      <c r="F161" s="203"/>
      <c r="G161" s="287" t="s">
        <v>81</v>
      </c>
      <c r="H161" s="286" t="s">
        <v>37</v>
      </c>
      <c r="I161" s="195"/>
      <c r="J161" s="288">
        <f ca="1">IFERROR(__xludf.DUMMYFUNCTION("IMPORTRANGE(""https://docs.google.com/spreadsheets/d/1IYY_tgx_IHuhSq3AJ5eI5OnqOPBNLWSHKh2a30DoXe8/edit?usp=sharing"",""ชุมพร!J86"")"),45)</f>
        <v>45</v>
      </c>
      <c r="K161" s="169"/>
      <c r="L161" s="189"/>
      <c r="M161" s="189"/>
      <c r="N161" s="189"/>
      <c r="O161" s="189"/>
      <c r="P161" s="189"/>
    </row>
    <row r="162" spans="1:16" ht="21.75" customHeight="1" x14ac:dyDescent="0.35">
      <c r="A162" s="183"/>
      <c r="B162" s="184"/>
      <c r="C162" s="184"/>
      <c r="D162" s="201"/>
      <c r="E162" s="202" t="s">
        <v>54</v>
      </c>
      <c r="F162" s="203"/>
      <c r="G162" s="204"/>
      <c r="H162" s="194"/>
      <c r="I162" s="195"/>
      <c r="J162" s="205">
        <f ca="1">IFERROR(__xludf.DUMMYFUNCTION("IMPORTRANGE(""https://docs.google.com/spreadsheets/d/1IYY_tgx_IHuhSq3AJ5eI5OnqOPBNLWSHKh2a30DoXe8/edit?usp=sharing"",""ชุมพร!J87"")"),0)</f>
        <v>0</v>
      </c>
      <c r="K162" s="169"/>
      <c r="L162" s="189"/>
      <c r="M162" s="189"/>
      <c r="N162" s="189"/>
      <c r="O162" s="189"/>
      <c r="P162" s="189"/>
    </row>
    <row r="163" spans="1:16" ht="21.75" customHeight="1" x14ac:dyDescent="0.35">
      <c r="A163" s="183"/>
      <c r="B163" s="184"/>
      <c r="C163" s="184"/>
      <c r="D163" s="213">
        <v>3</v>
      </c>
      <c r="E163" s="214" t="s">
        <v>55</v>
      </c>
      <c r="F163" s="215"/>
      <c r="G163" s="216"/>
      <c r="H163" s="194"/>
      <c r="I163" s="195"/>
      <c r="J163" s="217">
        <f ca="1">IFERROR(__xludf.DUMMYFUNCTION("IMPORTRANGE(""https://docs.google.com/spreadsheets/d/1IYY_tgx_IHuhSq3AJ5eI5OnqOPBNLWSHKh2a30DoXe8/edit?usp=sharing"",""ชุมพร!J88"")"),0)</f>
        <v>0</v>
      </c>
      <c r="K163" s="169"/>
      <c r="L163" s="189"/>
      <c r="M163" s="189"/>
      <c r="N163" s="189"/>
      <c r="O163" s="189"/>
      <c r="P163" s="189"/>
    </row>
    <row r="164" spans="1:16" ht="21.75" customHeight="1" x14ac:dyDescent="0.35">
      <c r="A164" s="277"/>
      <c r="B164" s="278"/>
      <c r="C164" s="279" t="s">
        <v>82</v>
      </c>
      <c r="D164" s="279"/>
      <c r="E164" s="279"/>
      <c r="F164" s="279"/>
      <c r="G164" s="280"/>
      <c r="H164" s="289" t="s">
        <v>83</v>
      </c>
      <c r="I164" s="290">
        <f ca="1">IFERROR(__xludf.DUMMYFUNCTION("IMPORTRANGE(""https://docs.google.com/spreadsheets/d/1IYY_tgx_IHuhSq3AJ5eI5OnqOPBNLWSHKh2a30DoXe8/edit?usp=sharing"",""ชุมพร!I89"")"),2)</f>
        <v>2</v>
      </c>
      <c r="J164" s="290">
        <f ca="1">IFERROR(__xludf.DUMMYFUNCTION("IMPORTRANGE(""https://docs.google.com/spreadsheets/d/1IYY_tgx_IHuhSq3AJ5eI5OnqOPBNLWSHKh2a30DoXe8/edit?usp=sharing"",""ชุมพร!J89"")"),2)</f>
        <v>2</v>
      </c>
      <c r="K164" s="291">
        <f ca="1">IF(I164&gt;0,J164*100/I164,0)</f>
        <v>100</v>
      </c>
      <c r="L164" s="284"/>
      <c r="M164" s="284"/>
      <c r="N164" s="284"/>
      <c r="O164" s="284"/>
      <c r="P164" s="284"/>
    </row>
    <row r="165" spans="1:16" ht="21.75" customHeight="1" x14ac:dyDescent="0.35">
      <c r="A165" s="162"/>
      <c r="B165" s="163"/>
      <c r="C165" s="163" t="s">
        <v>16</v>
      </c>
      <c r="D165" s="164" t="s">
        <v>38</v>
      </c>
      <c r="E165" s="165"/>
      <c r="F165" s="165"/>
      <c r="G165" s="166" t="s">
        <v>39</v>
      </c>
      <c r="H165" s="167" t="s">
        <v>12</v>
      </c>
      <c r="I165" s="168" t="s">
        <v>40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 x14ac:dyDescent="0.35">
      <c r="A166" s="162"/>
      <c r="B166" s="163"/>
      <c r="C166" s="163"/>
      <c r="D166" s="172"/>
      <c r="E166" s="165"/>
      <c r="F166" s="165" t="s">
        <v>40</v>
      </c>
      <c r="G166" s="166" t="s">
        <v>41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 x14ac:dyDescent="0.35">
      <c r="A167" s="162"/>
      <c r="B167" s="163"/>
      <c r="C167" s="163"/>
      <c r="D167" s="172"/>
      <c r="E167" s="165"/>
      <c r="F167" s="165"/>
      <c r="G167" s="177" t="s">
        <v>43</v>
      </c>
      <c r="H167" s="167" t="s">
        <v>12</v>
      </c>
      <c r="I167" s="168"/>
      <c r="J167" s="168"/>
      <c r="K167" s="169"/>
      <c r="L167" s="176"/>
      <c r="M167" s="176"/>
      <c r="N167" s="173"/>
      <c r="O167" s="176"/>
      <c r="P167" s="176"/>
    </row>
    <row r="168" spans="1:16" ht="21.75" customHeight="1" x14ac:dyDescent="0.35">
      <c r="A168" s="183"/>
      <c r="B168" s="184"/>
      <c r="C168" s="163" t="s">
        <v>16</v>
      </c>
      <c r="D168" s="185" t="s">
        <v>44</v>
      </c>
      <c r="E168" s="186"/>
      <c r="F168" s="186"/>
      <c r="G168" s="187"/>
      <c r="H168" s="188"/>
      <c r="I168" s="168"/>
      <c r="J168" s="168"/>
      <c r="K168" s="169"/>
      <c r="L168" s="189"/>
      <c r="M168" s="189"/>
      <c r="N168" s="189"/>
      <c r="O168" s="189"/>
      <c r="P168" s="189"/>
    </row>
    <row r="169" spans="1:16" ht="21.75" customHeight="1" x14ac:dyDescent="0.35">
      <c r="A169" s="183"/>
      <c r="B169" s="184"/>
      <c r="C169" s="184"/>
      <c r="D169" s="190">
        <v>1</v>
      </c>
      <c r="E169" s="191" t="s">
        <v>45</v>
      </c>
      <c r="F169" s="192"/>
      <c r="G169" s="193"/>
      <c r="H169" s="194"/>
      <c r="I169" s="195"/>
      <c r="J169" s="196">
        <f ca="1">IFERROR(__xludf.DUMMYFUNCTION("IMPORTRANGE(""https://docs.google.com/spreadsheets/d/1IYY_tgx_IHuhSq3AJ5eI5OnqOPBNLWSHKh2a30DoXe8/edit?usp=sharing"",""ชุมพร!J94"")"),0)</f>
        <v>0</v>
      </c>
      <c r="K169" s="169"/>
      <c r="L169" s="189"/>
      <c r="M169" s="189"/>
      <c r="N169" s="189"/>
      <c r="O169" s="189"/>
      <c r="P169" s="189"/>
    </row>
    <row r="170" spans="1:16" ht="21.75" customHeight="1" x14ac:dyDescent="0.35">
      <c r="A170" s="183"/>
      <c r="B170" s="184"/>
      <c r="C170" s="184"/>
      <c r="D170" s="197">
        <v>2</v>
      </c>
      <c r="E170" s="198" t="s">
        <v>46</v>
      </c>
      <c r="F170" s="199"/>
      <c r="G170" s="200"/>
      <c r="H170" s="194"/>
      <c r="I170" s="195"/>
      <c r="J170" s="205">
        <f ca="1">IFERROR(__xludf.DUMMYFUNCTION("IMPORTRANGE(""https://docs.google.com/spreadsheets/d/1IYY_tgx_IHuhSq3AJ5eI5OnqOPBNLWSHKh2a30DoXe8/edit?usp=sharing"",""ชุมพร!J95"")"),1)</f>
        <v>1</v>
      </c>
      <c r="K170" s="169"/>
      <c r="L170" s="189"/>
      <c r="M170" s="189"/>
      <c r="N170" s="189"/>
      <c r="O170" s="189"/>
      <c r="P170" s="189"/>
    </row>
    <row r="171" spans="1:16" ht="21.75" customHeight="1" x14ac:dyDescent="0.35">
      <c r="A171" s="183"/>
      <c r="B171" s="184"/>
      <c r="C171" s="184"/>
      <c r="D171" s="201"/>
      <c r="E171" s="202" t="s">
        <v>47</v>
      </c>
      <c r="F171" s="203"/>
      <c r="G171" s="204"/>
      <c r="H171" s="194"/>
      <c r="I171" s="195"/>
      <c r="J171" s="205">
        <f ca="1">IFERROR(__xludf.DUMMYFUNCTION("IMPORTRANGE(""https://docs.google.com/spreadsheets/d/1IYY_tgx_IHuhSq3AJ5eI5OnqOPBNLWSHKh2a30DoXe8/edit?usp=sharing"",""ชุมพร!J96"")"),1)</f>
        <v>1</v>
      </c>
      <c r="K171" s="169"/>
      <c r="L171" s="189"/>
      <c r="M171" s="189"/>
      <c r="N171" s="189"/>
      <c r="O171" s="189"/>
      <c r="P171" s="189"/>
    </row>
    <row r="172" spans="1:16" ht="21.75" customHeight="1" x14ac:dyDescent="0.35">
      <c r="A172" s="183"/>
      <c r="B172" s="184"/>
      <c r="C172" s="184"/>
      <c r="D172" s="201"/>
      <c r="E172" s="202" t="s">
        <v>48</v>
      </c>
      <c r="F172" s="203"/>
      <c r="G172" s="204"/>
      <c r="H172" s="194"/>
      <c r="I172" s="195"/>
      <c r="J172" s="205">
        <f ca="1">IFERROR(__xludf.DUMMYFUNCTION("IMPORTRANGE(""https://docs.google.com/spreadsheets/d/1IYY_tgx_IHuhSq3AJ5eI5OnqOPBNLWSHKh2a30DoXe8/edit?usp=sharing"",""ชุมพร!J97"")"),1)</f>
        <v>1</v>
      </c>
      <c r="K172" s="169"/>
      <c r="L172" s="189"/>
      <c r="M172" s="189"/>
      <c r="N172" s="189"/>
      <c r="O172" s="189"/>
      <c r="P172" s="189"/>
    </row>
    <row r="173" spans="1:16" ht="21.75" customHeight="1" x14ac:dyDescent="0.35">
      <c r="A173" s="183"/>
      <c r="B173" s="184"/>
      <c r="C173" s="184"/>
      <c r="D173" s="201"/>
      <c r="E173" s="206"/>
      <c r="F173" s="212" t="s">
        <v>84</v>
      </c>
      <c r="G173" s="204"/>
      <c r="H173" s="188" t="s">
        <v>83</v>
      </c>
      <c r="I173" s="195">
        <f ca="1">IFERROR(__xludf.DUMMYFUNCTION("IMPORTRANGE(""https://docs.google.com/spreadsheets/d/1IYY_tgx_IHuhSq3AJ5eI5OnqOPBNLWSHKh2a30DoXe8/edit?usp=sharing"",""ชุมพร!I98"")"),2)</f>
        <v>2</v>
      </c>
      <c r="J173" s="196">
        <f ca="1">IFERROR(__xludf.DUMMYFUNCTION("IMPORTRANGE(""https://docs.google.com/spreadsheets/d/1IYY_tgx_IHuhSq3AJ5eI5OnqOPBNLWSHKh2a30DoXe8/edit?usp=sharing"",""ชุมพร!J98"")"),2)</f>
        <v>2</v>
      </c>
      <c r="K173" s="169">
        <f ca="1">IF(I173&gt;0,J173*100/I173,0)</f>
        <v>100</v>
      </c>
      <c r="L173" s="176"/>
      <c r="M173" s="176"/>
      <c r="N173" s="173"/>
      <c r="O173" s="176"/>
      <c r="P173" s="176"/>
    </row>
    <row r="174" spans="1:16" ht="21.75" customHeight="1" x14ac:dyDescent="0.35">
      <c r="A174" s="183"/>
      <c r="B174" s="184"/>
      <c r="C174" s="184"/>
      <c r="D174" s="201"/>
      <c r="E174" s="202" t="s">
        <v>54</v>
      </c>
      <c r="F174" s="203"/>
      <c r="G174" s="204"/>
      <c r="H174" s="194"/>
      <c r="I174" s="195"/>
      <c r="J174" s="205">
        <f ca="1">IFERROR(__xludf.DUMMYFUNCTION("IMPORTRANGE(""https://docs.google.com/spreadsheets/d/1IYY_tgx_IHuhSq3AJ5eI5OnqOPBNLWSHKh2a30DoXe8/edit?usp=sharing"",""ชุมพร!J99"")"),0)</f>
        <v>0</v>
      </c>
      <c r="K174" s="169"/>
      <c r="L174" s="189"/>
      <c r="M174" s="189"/>
      <c r="N174" s="189"/>
      <c r="O174" s="189"/>
      <c r="P174" s="189"/>
    </row>
    <row r="175" spans="1:16" ht="21.75" customHeight="1" x14ac:dyDescent="0.35">
      <c r="A175" s="183"/>
      <c r="B175" s="184"/>
      <c r="C175" s="184"/>
      <c r="D175" s="213">
        <v>3</v>
      </c>
      <c r="E175" s="214" t="s">
        <v>55</v>
      </c>
      <c r="F175" s="215"/>
      <c r="G175" s="216"/>
      <c r="H175" s="194"/>
      <c r="I175" s="195"/>
      <c r="J175" s="217">
        <f ca="1">IFERROR(__xludf.DUMMYFUNCTION("IMPORTRANGE(""https://docs.google.com/spreadsheets/d/1IYY_tgx_IHuhSq3AJ5eI5OnqOPBNLWSHKh2a30DoXe8/edit?usp=sharing"",""ชุมพร!J100"")"),0)</f>
        <v>0</v>
      </c>
      <c r="K175" s="169"/>
      <c r="L175" s="189"/>
      <c r="M175" s="189"/>
      <c r="N175" s="189"/>
      <c r="O175" s="189"/>
      <c r="P175" s="189"/>
    </row>
    <row r="176" spans="1:16" ht="21.75" customHeight="1" x14ac:dyDescent="0.35">
      <c r="A176" s="277"/>
      <c r="B176" s="278"/>
      <c r="C176" s="279" t="s">
        <v>85</v>
      </c>
      <c r="D176" s="279"/>
      <c r="E176" s="279"/>
      <c r="F176" s="279"/>
      <c r="G176" s="280"/>
      <c r="H176" s="289" t="s">
        <v>83</v>
      </c>
      <c r="I176" s="290">
        <f ca="1">IFERROR(__xludf.DUMMYFUNCTION("IMPORTRANGE(""https://docs.google.com/spreadsheets/d/1IYY_tgx_IHuhSq3AJ5eI5OnqOPBNLWSHKh2a30DoXe8/edit?usp=sharing"",""ชุมพร!I101"")"),1)</f>
        <v>1</v>
      </c>
      <c r="J176" s="290">
        <f ca="1">IFERROR(__xludf.DUMMYFUNCTION("IMPORTRANGE(""https://docs.google.com/spreadsheets/d/1IYY_tgx_IHuhSq3AJ5eI5OnqOPBNLWSHKh2a30DoXe8/edit?usp=sharing"",""ชุมพร!J101"")"),1)</f>
        <v>1</v>
      </c>
      <c r="K176" s="291">
        <f ca="1">IF(I176&gt;0,J176*100/I176,0)</f>
        <v>100</v>
      </c>
      <c r="L176" s="284"/>
      <c r="M176" s="284"/>
      <c r="N176" s="284"/>
      <c r="O176" s="284"/>
      <c r="P176" s="284"/>
    </row>
    <row r="177" spans="1:16" ht="21.75" customHeight="1" x14ac:dyDescent="0.35">
      <c r="A177" s="162"/>
      <c r="B177" s="163"/>
      <c r="C177" s="163" t="s">
        <v>16</v>
      </c>
      <c r="D177" s="164" t="s">
        <v>38</v>
      </c>
      <c r="E177" s="165"/>
      <c r="F177" s="165"/>
      <c r="G177" s="166" t="s">
        <v>39</v>
      </c>
      <c r="H177" s="167" t="s">
        <v>12</v>
      </c>
      <c r="I177" s="168" t="s">
        <v>40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 x14ac:dyDescent="0.35">
      <c r="A178" s="162"/>
      <c r="B178" s="163"/>
      <c r="C178" s="163"/>
      <c r="D178" s="172"/>
      <c r="E178" s="165"/>
      <c r="F178" s="165" t="s">
        <v>40</v>
      </c>
      <c r="G178" s="166" t="s">
        <v>41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 x14ac:dyDescent="0.35">
      <c r="A179" s="162"/>
      <c r="B179" s="163"/>
      <c r="C179" s="163"/>
      <c r="D179" s="172"/>
      <c r="E179" s="165"/>
      <c r="F179" s="165"/>
      <c r="G179" s="177" t="s">
        <v>43</v>
      </c>
      <c r="H179" s="167" t="s">
        <v>12</v>
      </c>
      <c r="I179" s="168"/>
      <c r="J179" s="195"/>
      <c r="K179" s="231"/>
      <c r="L179" s="176"/>
      <c r="M179" s="176"/>
      <c r="N179" s="173"/>
      <c r="O179" s="176"/>
      <c r="P179" s="176"/>
    </row>
    <row r="180" spans="1:16" ht="21.75" customHeight="1" x14ac:dyDescent="0.35">
      <c r="A180" s="183"/>
      <c r="B180" s="184"/>
      <c r="C180" s="163" t="s">
        <v>16</v>
      </c>
      <c r="D180" s="185" t="s">
        <v>44</v>
      </c>
      <c r="E180" s="186"/>
      <c r="F180" s="186"/>
      <c r="G180" s="187"/>
      <c r="H180" s="188"/>
      <c r="I180" s="168"/>
      <c r="J180" s="195"/>
      <c r="K180" s="231"/>
      <c r="L180" s="176"/>
      <c r="M180" s="176"/>
      <c r="N180" s="176"/>
      <c r="O180" s="189"/>
      <c r="P180" s="189"/>
    </row>
    <row r="181" spans="1:16" ht="21.75" customHeight="1" x14ac:dyDescent="0.35">
      <c r="A181" s="183"/>
      <c r="B181" s="184"/>
      <c r="C181" s="184"/>
      <c r="D181" s="190">
        <v>1</v>
      </c>
      <c r="E181" s="191" t="s">
        <v>45</v>
      </c>
      <c r="F181" s="192"/>
      <c r="G181" s="193"/>
      <c r="H181" s="194"/>
      <c r="I181" s="195"/>
      <c r="J181" s="195">
        <f ca="1">IFERROR(__xludf.DUMMYFUNCTION("IMPORTRANGE(""https://docs.google.com/spreadsheets/d/1IYY_tgx_IHuhSq3AJ5eI5OnqOPBNLWSHKh2a30DoXe8/edit?usp=sharing"",""ชุมพร!J106"")"),0)</f>
        <v>0</v>
      </c>
      <c r="K181" s="231"/>
      <c r="L181" s="176"/>
      <c r="M181" s="176"/>
      <c r="N181" s="176"/>
      <c r="O181" s="189"/>
      <c r="P181" s="189"/>
    </row>
    <row r="182" spans="1:16" ht="21.75" customHeight="1" x14ac:dyDescent="0.35">
      <c r="A182" s="183"/>
      <c r="B182" s="184"/>
      <c r="C182" s="184"/>
      <c r="D182" s="197">
        <v>2</v>
      </c>
      <c r="E182" s="198" t="s">
        <v>46</v>
      </c>
      <c r="F182" s="199"/>
      <c r="G182" s="200"/>
      <c r="H182" s="194"/>
      <c r="I182" s="195"/>
      <c r="J182" s="195">
        <f ca="1">IFERROR(__xludf.DUMMYFUNCTION("IMPORTRANGE(""https://docs.google.com/spreadsheets/d/1IYY_tgx_IHuhSq3AJ5eI5OnqOPBNLWSHKh2a30DoXe8/edit?usp=sharing"",""ชุมพร!J107"")"),1)</f>
        <v>1</v>
      </c>
      <c r="K182" s="231"/>
      <c r="L182" s="176"/>
      <c r="M182" s="176"/>
      <c r="N182" s="176"/>
      <c r="O182" s="189"/>
      <c r="P182" s="189"/>
    </row>
    <row r="183" spans="1:16" ht="21.75" customHeight="1" x14ac:dyDescent="0.35">
      <c r="A183" s="183"/>
      <c r="B183" s="184"/>
      <c r="C183" s="184"/>
      <c r="D183" s="201"/>
      <c r="E183" s="202" t="s">
        <v>47</v>
      </c>
      <c r="F183" s="203"/>
      <c r="G183" s="204"/>
      <c r="H183" s="194"/>
      <c r="I183" s="195"/>
      <c r="J183" s="195">
        <f ca="1">IFERROR(__xludf.DUMMYFUNCTION("IMPORTRANGE(""https://docs.google.com/spreadsheets/d/1IYY_tgx_IHuhSq3AJ5eI5OnqOPBNLWSHKh2a30DoXe8/edit?usp=sharing"",""ชุมพร!J108"")"),1)</f>
        <v>1</v>
      </c>
      <c r="K183" s="231"/>
      <c r="L183" s="176"/>
      <c r="M183" s="176"/>
      <c r="N183" s="176"/>
      <c r="O183" s="189"/>
      <c r="P183" s="189"/>
    </row>
    <row r="184" spans="1:16" ht="21.75" customHeight="1" x14ac:dyDescent="0.35">
      <c r="A184" s="183"/>
      <c r="B184" s="184"/>
      <c r="C184" s="184"/>
      <c r="D184" s="201"/>
      <c r="E184" s="202" t="s">
        <v>48</v>
      </c>
      <c r="F184" s="203"/>
      <c r="G184" s="204"/>
      <c r="H184" s="194"/>
      <c r="I184" s="195"/>
      <c r="J184" s="195">
        <f ca="1">IFERROR(__xludf.DUMMYFUNCTION("IMPORTRANGE(""https://docs.google.com/spreadsheets/d/1IYY_tgx_IHuhSq3AJ5eI5OnqOPBNLWSHKh2a30DoXe8/edit?usp=sharing"",""ชุมพร!J109"")"),1)</f>
        <v>1</v>
      </c>
      <c r="K184" s="231"/>
      <c r="L184" s="176"/>
      <c r="M184" s="176"/>
      <c r="N184" s="176"/>
      <c r="O184" s="189"/>
      <c r="P184" s="189"/>
    </row>
    <row r="185" spans="1:16" ht="21.75" customHeight="1" x14ac:dyDescent="0.35">
      <c r="A185" s="183"/>
      <c r="B185" s="184"/>
      <c r="C185" s="184"/>
      <c r="D185" s="201"/>
      <c r="E185" s="206"/>
      <c r="F185" s="202" t="s">
        <v>86</v>
      </c>
      <c r="G185" s="204"/>
      <c r="H185" s="188" t="s">
        <v>83</v>
      </c>
      <c r="I185" s="195">
        <f ca="1">IFERROR(__xludf.DUMMYFUNCTION("IMPORTRANGE(""https://docs.google.com/spreadsheets/d/1IYY_tgx_IHuhSq3AJ5eI5OnqOPBNLWSHKh2a30DoXe8/edit?usp=sharing"",""ชุมพร!I110"")"),1)</f>
        <v>1</v>
      </c>
      <c r="J185" s="211">
        <f ca="1">IFERROR(__xludf.DUMMYFUNCTION("IMPORTRANGE(""https://docs.google.com/spreadsheets/d/1IYY_tgx_IHuhSq3AJ5eI5OnqOPBNLWSHKh2a30DoXe8/edit?usp=sharing"",""ชุมพร!J110"")"),0)</f>
        <v>0</v>
      </c>
      <c r="K185" s="231">
        <f t="shared" ref="K185:K186" ca="1" si="69">IF(I185&gt;0,J185*100/I185,0)</f>
        <v>0</v>
      </c>
      <c r="L185" s="176"/>
      <c r="M185" s="176"/>
      <c r="N185" s="173"/>
      <c r="O185" s="176"/>
      <c r="P185" s="176"/>
    </row>
    <row r="186" spans="1:16" ht="21.75" customHeight="1" x14ac:dyDescent="0.35">
      <c r="A186" s="183"/>
      <c r="B186" s="184"/>
      <c r="C186" s="184"/>
      <c r="D186" s="201"/>
      <c r="E186" s="206"/>
      <c r="F186" s="202" t="s">
        <v>87</v>
      </c>
      <c r="G186" s="204"/>
      <c r="H186" s="188" t="s">
        <v>83</v>
      </c>
      <c r="I186" s="195">
        <f ca="1">IFERROR(__xludf.DUMMYFUNCTION("IMPORTRANGE(""https://docs.google.com/spreadsheets/d/1IYY_tgx_IHuhSq3AJ5eI5OnqOPBNLWSHKh2a30DoXe8/edit?usp=sharing"",""ชุมพร!I111"")"),1)</f>
        <v>1</v>
      </c>
      <c r="J186" s="211">
        <f ca="1">IFERROR(__xludf.DUMMYFUNCTION("IMPORTRANGE(""https://docs.google.com/spreadsheets/d/1IYY_tgx_IHuhSq3AJ5eI5OnqOPBNLWSHKh2a30DoXe8/edit?usp=sharing"",""ชุมพร!J111"")"),1)</f>
        <v>1</v>
      </c>
      <c r="K186" s="231">
        <f t="shared" ca="1" si="69"/>
        <v>100</v>
      </c>
      <c r="L186" s="176"/>
      <c r="M186" s="176"/>
      <c r="N186" s="173"/>
      <c r="O186" s="176"/>
      <c r="P186" s="176"/>
    </row>
    <row r="187" spans="1:16" ht="21.75" customHeight="1" x14ac:dyDescent="0.35">
      <c r="A187" s="183"/>
      <c r="B187" s="184"/>
      <c r="C187" s="184"/>
      <c r="D187" s="201"/>
      <c r="E187" s="202" t="s">
        <v>54</v>
      </c>
      <c r="F187" s="203"/>
      <c r="G187" s="204"/>
      <c r="H187" s="194"/>
      <c r="I187" s="195"/>
      <c r="J187" s="195">
        <f ca="1">IFERROR(__xludf.DUMMYFUNCTION("IMPORTRANGE(""https://docs.google.com/spreadsheets/d/1IYY_tgx_IHuhSq3AJ5eI5OnqOPBNLWSHKh2a30DoXe8/edit?usp=sharing"",""ชุมพร!J112"")"),0)</f>
        <v>0</v>
      </c>
      <c r="K187" s="231"/>
      <c r="L187" s="176"/>
      <c r="M187" s="176"/>
      <c r="N187" s="176"/>
      <c r="O187" s="189"/>
      <c r="P187" s="189"/>
    </row>
    <row r="188" spans="1:16" ht="21.75" customHeight="1" x14ac:dyDescent="0.35">
      <c r="A188" s="183"/>
      <c r="B188" s="184"/>
      <c r="C188" s="184"/>
      <c r="D188" s="213">
        <v>3</v>
      </c>
      <c r="E188" s="214" t="s">
        <v>55</v>
      </c>
      <c r="F188" s="215"/>
      <c r="G188" s="216"/>
      <c r="H188" s="194"/>
      <c r="I188" s="195"/>
      <c r="J188" s="234">
        <f ca="1">IFERROR(__xludf.DUMMYFUNCTION("IMPORTRANGE(""https://docs.google.com/spreadsheets/d/1IYY_tgx_IHuhSq3AJ5eI5OnqOPBNLWSHKh2a30DoXe8/edit?usp=sharing"",""ชุมพร!J113"")"),0)</f>
        <v>0</v>
      </c>
      <c r="K188" s="231"/>
      <c r="L188" s="176"/>
      <c r="M188" s="176"/>
      <c r="N188" s="176"/>
      <c r="O188" s="189"/>
      <c r="P188" s="189"/>
    </row>
    <row r="189" spans="1:16" ht="21.75" customHeight="1" x14ac:dyDescent="0.35">
      <c r="A189" s="277"/>
      <c r="B189" s="278"/>
      <c r="C189" s="279" t="s">
        <v>88</v>
      </c>
      <c r="D189" s="279"/>
      <c r="E189" s="279"/>
      <c r="F189" s="279"/>
      <c r="G189" s="280"/>
      <c r="H189" s="292" t="s">
        <v>89</v>
      </c>
      <c r="I189" s="290">
        <f ca="1">IFERROR(__xludf.DUMMYFUNCTION("IMPORTRANGE(""https://docs.google.com/spreadsheets/d/1IYY_tgx_IHuhSq3AJ5eI5OnqOPBNLWSHKh2a30DoXe8/edit?usp=sharing"",""ชุมพร!I114"")"),20000)</f>
        <v>20000</v>
      </c>
      <c r="J189" s="290">
        <f ca="1">IFERROR(__xludf.DUMMYFUNCTION("IMPORTRANGE(""https://docs.google.com/spreadsheets/d/1IYY_tgx_IHuhSq3AJ5eI5OnqOPBNLWSHKh2a30DoXe8/edit?usp=sharing"",""ชุมพร!J114"")"),0)</f>
        <v>0</v>
      </c>
      <c r="K189" s="291">
        <f ca="1">IF(I189&gt;0,J189*100/I189,0)</f>
        <v>0</v>
      </c>
      <c r="L189" s="284"/>
      <c r="M189" s="284"/>
      <c r="N189" s="284"/>
      <c r="O189" s="284"/>
      <c r="P189" s="284"/>
    </row>
    <row r="190" spans="1:16" ht="21.75" customHeight="1" x14ac:dyDescent="0.35">
      <c r="A190" s="162"/>
      <c r="B190" s="163"/>
      <c r="C190" s="163" t="s">
        <v>16</v>
      </c>
      <c r="D190" s="164" t="s">
        <v>38</v>
      </c>
      <c r="E190" s="165"/>
      <c r="F190" s="165"/>
      <c r="G190" s="166" t="s">
        <v>39</v>
      </c>
      <c r="H190" s="167" t="s">
        <v>12</v>
      </c>
      <c r="I190" s="168" t="s">
        <v>40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 x14ac:dyDescent="0.35">
      <c r="A191" s="162"/>
      <c r="B191" s="163"/>
      <c r="C191" s="163"/>
      <c r="D191" s="172"/>
      <c r="E191" s="165"/>
      <c r="F191" s="165" t="s">
        <v>40</v>
      </c>
      <c r="G191" s="166" t="s">
        <v>41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 x14ac:dyDescent="0.35">
      <c r="A192" s="162"/>
      <c r="B192" s="163"/>
      <c r="C192" s="163"/>
      <c r="D192" s="172"/>
      <c r="E192" s="165"/>
      <c r="F192" s="165"/>
      <c r="G192" s="177" t="s">
        <v>43</v>
      </c>
      <c r="H192" s="167" t="s">
        <v>12</v>
      </c>
      <c r="I192" s="168"/>
      <c r="J192" s="168"/>
      <c r="K192" s="169"/>
      <c r="L192" s="176"/>
      <c r="M192" s="176"/>
      <c r="N192" s="173"/>
      <c r="O192" s="176"/>
      <c r="P192" s="176"/>
    </row>
    <row r="193" spans="1:16" ht="21.75" customHeight="1" x14ac:dyDescent="0.35">
      <c r="A193" s="183"/>
      <c r="B193" s="184"/>
      <c r="C193" s="163" t="s">
        <v>16</v>
      </c>
      <c r="D193" s="185" t="s">
        <v>44</v>
      </c>
      <c r="E193" s="186"/>
      <c r="F193" s="186"/>
      <c r="G193" s="187"/>
      <c r="H193" s="188"/>
      <c r="I193" s="168"/>
      <c r="J193" s="168"/>
      <c r="K193" s="169"/>
      <c r="L193" s="189"/>
      <c r="M193" s="189"/>
      <c r="N193" s="189"/>
      <c r="O193" s="189"/>
      <c r="P193" s="189"/>
    </row>
    <row r="194" spans="1:16" ht="21.75" customHeight="1" x14ac:dyDescent="0.35">
      <c r="A194" s="183"/>
      <c r="B194" s="184"/>
      <c r="C194" s="184"/>
      <c r="D194" s="190">
        <v>1</v>
      </c>
      <c r="E194" s="191" t="s">
        <v>45</v>
      </c>
      <c r="F194" s="192"/>
      <c r="G194" s="193"/>
      <c r="H194" s="194"/>
      <c r="I194" s="195"/>
      <c r="J194" s="205">
        <f ca="1">IFERROR(__xludf.DUMMYFUNCTION("IMPORTRANGE(""https://docs.google.com/spreadsheets/d/1IYY_tgx_IHuhSq3AJ5eI5OnqOPBNLWSHKh2a30DoXe8/edit?usp=sharing"",""ชุมพร!J119"")"),0)</f>
        <v>0</v>
      </c>
      <c r="K194" s="169"/>
      <c r="L194" s="189"/>
      <c r="M194" s="189"/>
      <c r="N194" s="189"/>
      <c r="O194" s="189"/>
      <c r="P194" s="189"/>
    </row>
    <row r="195" spans="1:16" ht="21.75" customHeight="1" x14ac:dyDescent="0.35">
      <c r="A195" s="183"/>
      <c r="B195" s="184"/>
      <c r="C195" s="184"/>
      <c r="D195" s="197">
        <v>2</v>
      </c>
      <c r="E195" s="198" t="s">
        <v>46</v>
      </c>
      <c r="F195" s="199"/>
      <c r="G195" s="200"/>
      <c r="H195" s="194"/>
      <c r="I195" s="195"/>
      <c r="J195" s="196">
        <f ca="1">IFERROR(__xludf.DUMMYFUNCTION("IMPORTRANGE(""https://docs.google.com/spreadsheets/d/1IYY_tgx_IHuhSq3AJ5eI5OnqOPBNLWSHKh2a30DoXe8/edit?usp=sharing"",""ชุมพร!J120"")"),1)</f>
        <v>1</v>
      </c>
      <c r="K195" s="169"/>
      <c r="L195" s="189"/>
      <c r="M195" s="189"/>
      <c r="N195" s="189"/>
      <c r="O195" s="189"/>
      <c r="P195" s="189"/>
    </row>
    <row r="196" spans="1:16" ht="21.75" customHeight="1" x14ac:dyDescent="0.35">
      <c r="A196" s="183"/>
      <c r="B196" s="184"/>
      <c r="C196" s="184"/>
      <c r="D196" s="201"/>
      <c r="E196" s="202" t="s">
        <v>47</v>
      </c>
      <c r="F196" s="203"/>
      <c r="G196" s="204"/>
      <c r="H196" s="194"/>
      <c r="I196" s="195"/>
      <c r="J196" s="196">
        <f ca="1">IFERROR(__xludf.DUMMYFUNCTION("IMPORTRANGE(""https://docs.google.com/spreadsheets/d/1IYY_tgx_IHuhSq3AJ5eI5OnqOPBNLWSHKh2a30DoXe8/edit?usp=sharing"",""ชุมพร!J121"")"),1)</f>
        <v>1</v>
      </c>
      <c r="K196" s="169"/>
      <c r="L196" s="189"/>
      <c r="M196" s="189"/>
      <c r="N196" s="189"/>
      <c r="O196" s="189"/>
      <c r="P196" s="189"/>
    </row>
    <row r="197" spans="1:16" ht="21.75" customHeight="1" x14ac:dyDescent="0.35">
      <c r="A197" s="183"/>
      <c r="B197" s="184"/>
      <c r="C197" s="184"/>
      <c r="D197" s="201"/>
      <c r="E197" s="202" t="s">
        <v>48</v>
      </c>
      <c r="F197" s="203"/>
      <c r="G197" s="204"/>
      <c r="H197" s="194"/>
      <c r="I197" s="195"/>
      <c r="J197" s="205">
        <f ca="1">IFERROR(__xludf.DUMMYFUNCTION("IMPORTRANGE(""https://docs.google.com/spreadsheets/d/1IYY_tgx_IHuhSq3AJ5eI5OnqOPBNLWSHKh2a30DoXe8/edit?usp=sharing"",""ชุมพร!J122"")"),1)</f>
        <v>1</v>
      </c>
      <c r="K197" s="169"/>
      <c r="L197" s="189"/>
      <c r="M197" s="189"/>
      <c r="N197" s="189"/>
      <c r="O197" s="189"/>
      <c r="P197" s="189"/>
    </row>
    <row r="198" spans="1:16" ht="21.75" customHeight="1" x14ac:dyDescent="0.35">
      <c r="A198" s="183"/>
      <c r="B198" s="184"/>
      <c r="C198" s="184"/>
      <c r="D198" s="201"/>
      <c r="E198" s="203"/>
      <c r="F198" s="203" t="s">
        <v>90</v>
      </c>
      <c r="G198" s="204"/>
      <c r="H198" s="188"/>
      <c r="I198" s="195"/>
      <c r="J198" s="195"/>
      <c r="K198" s="169"/>
      <c r="L198" s="189"/>
      <c r="M198" s="189"/>
      <c r="N198" s="189"/>
      <c r="O198" s="189"/>
      <c r="P198" s="189"/>
    </row>
    <row r="199" spans="1:16" ht="21.75" customHeight="1" x14ac:dyDescent="0.35">
      <c r="A199" s="183"/>
      <c r="B199" s="184"/>
      <c r="C199" s="184"/>
      <c r="D199" s="201"/>
      <c r="E199" s="206"/>
      <c r="F199" s="203"/>
      <c r="G199" s="202" t="s">
        <v>91</v>
      </c>
      <c r="H199" s="188" t="s">
        <v>89</v>
      </c>
      <c r="I199" s="195">
        <f ca="1">IFERROR(__xludf.DUMMYFUNCTION("IMPORTRANGE(""https://docs.google.com/spreadsheets/d/1IYY_tgx_IHuhSq3AJ5eI5OnqOPBNLWSHKh2a30DoXe8/edit?usp=sharing"",""ชุมพร!I124"")"),20000)</f>
        <v>20000</v>
      </c>
      <c r="J199" s="196">
        <f ca="1">IFERROR(__xludf.DUMMYFUNCTION("IMPORTRANGE(""https://docs.google.com/spreadsheets/d/1IYY_tgx_IHuhSq3AJ5eI5OnqOPBNLWSHKh2a30DoXe8/edit?usp=sharing"",""ชุมพร!J124"")"),0)</f>
        <v>0</v>
      </c>
      <c r="K199" s="169">
        <f t="shared" ref="K199:K201" ca="1" si="70">IF(I199&gt;0,J199*100/I199,0)</f>
        <v>0</v>
      </c>
      <c r="L199" s="189"/>
      <c r="M199" s="189"/>
      <c r="N199" s="189"/>
      <c r="O199" s="189"/>
      <c r="P199" s="189"/>
    </row>
    <row r="200" spans="1:16" ht="21.75" customHeight="1" x14ac:dyDescent="0.35">
      <c r="A200" s="183"/>
      <c r="B200" s="184"/>
      <c r="C200" s="184"/>
      <c r="D200" s="201"/>
      <c r="E200" s="206"/>
      <c r="F200" s="203"/>
      <c r="G200" s="202" t="s">
        <v>92</v>
      </c>
      <c r="H200" s="188" t="s">
        <v>89</v>
      </c>
      <c r="I200" s="195">
        <f ca="1">IFERROR(__xludf.DUMMYFUNCTION("IMPORTRANGE(""https://docs.google.com/spreadsheets/d/1IYY_tgx_IHuhSq3AJ5eI5OnqOPBNLWSHKh2a30DoXe8/edit?usp=sharing"",""ชุมพร!I125"")"),20000)</f>
        <v>20000</v>
      </c>
      <c r="J200" s="196">
        <f ca="1">IFERROR(__xludf.DUMMYFUNCTION("IMPORTRANGE(""https://docs.google.com/spreadsheets/d/1IYY_tgx_IHuhSq3AJ5eI5OnqOPBNLWSHKh2a30DoXe8/edit?usp=sharing"",""ชุมพร!J125"")"),0)</f>
        <v>0</v>
      </c>
      <c r="K200" s="169">
        <f t="shared" ca="1" si="70"/>
        <v>0</v>
      </c>
      <c r="L200" s="176"/>
      <c r="M200" s="176"/>
      <c r="N200" s="173"/>
      <c r="O200" s="176"/>
      <c r="P200" s="176"/>
    </row>
    <row r="201" spans="1:16" ht="21.75" customHeight="1" x14ac:dyDescent="0.35">
      <c r="A201" s="183"/>
      <c r="B201" s="184"/>
      <c r="C201" s="184"/>
      <c r="D201" s="201"/>
      <c r="E201" s="206"/>
      <c r="F201" s="203" t="s">
        <v>93</v>
      </c>
      <c r="G201" s="204"/>
      <c r="H201" s="188" t="s">
        <v>37</v>
      </c>
      <c r="I201" s="195">
        <f ca="1">IFERROR(__xludf.DUMMYFUNCTION("IMPORTRANGE(""https://docs.google.com/spreadsheets/d/1IYY_tgx_IHuhSq3AJ5eI5OnqOPBNLWSHKh2a30DoXe8/edit?usp=sharing"",""ชุมพร!I126"")"),15)</f>
        <v>15</v>
      </c>
      <c r="J201" s="196">
        <f ca="1">IFERROR(__xludf.DUMMYFUNCTION("IMPORTRANGE(""https://docs.google.com/spreadsheets/d/1IYY_tgx_IHuhSq3AJ5eI5OnqOPBNLWSHKh2a30DoXe8/edit?usp=sharing"",""ชุมพร!J126"")"),15)</f>
        <v>15</v>
      </c>
      <c r="K201" s="169">
        <f t="shared" ca="1" si="70"/>
        <v>100</v>
      </c>
      <c r="L201" s="176"/>
      <c r="M201" s="176"/>
      <c r="N201" s="173"/>
      <c r="O201" s="176"/>
      <c r="P201" s="176"/>
    </row>
    <row r="202" spans="1:16" ht="21.75" customHeight="1" x14ac:dyDescent="0.35">
      <c r="A202" s="183"/>
      <c r="B202" s="184"/>
      <c r="C202" s="184"/>
      <c r="D202" s="201"/>
      <c r="E202" s="202" t="s">
        <v>54</v>
      </c>
      <c r="F202" s="203"/>
      <c r="G202" s="204"/>
      <c r="H202" s="194"/>
      <c r="I202" s="195"/>
      <c r="J202" s="205">
        <f ca="1">IFERROR(__xludf.DUMMYFUNCTION("IMPORTRANGE(""https://docs.google.com/spreadsheets/d/1IYY_tgx_IHuhSq3AJ5eI5OnqOPBNLWSHKh2a30DoXe8/edit?usp=sharing"",""ชุมพร!J127"")"),0)</f>
        <v>0</v>
      </c>
      <c r="K202" s="169"/>
      <c r="L202" s="189"/>
      <c r="M202" s="189"/>
      <c r="N202" s="189"/>
      <c r="O202" s="189"/>
      <c r="P202" s="189"/>
    </row>
    <row r="203" spans="1:16" ht="21.75" customHeight="1" x14ac:dyDescent="0.35">
      <c r="A203" s="241"/>
      <c r="B203" s="242"/>
      <c r="C203" s="242"/>
      <c r="D203" s="243">
        <v>3</v>
      </c>
      <c r="E203" s="244" t="s">
        <v>55</v>
      </c>
      <c r="F203" s="245"/>
      <c r="G203" s="246"/>
      <c r="H203" s="247"/>
      <c r="I203" s="248"/>
      <c r="J203" s="293">
        <f ca="1">IFERROR(__xludf.DUMMYFUNCTION("IMPORTRANGE(""https://docs.google.com/spreadsheets/d/1IYY_tgx_IHuhSq3AJ5eI5OnqOPBNLWSHKh2a30DoXe8/edit?usp=sharing"",""ชุมพร!J128"")"),0)</f>
        <v>0</v>
      </c>
      <c r="K203" s="294"/>
      <c r="L203" s="252"/>
      <c r="M203" s="252"/>
      <c r="N203" s="252"/>
      <c r="O203" s="252"/>
      <c r="P203" s="252"/>
    </row>
    <row r="204" spans="1:16" ht="21.75" customHeight="1" x14ac:dyDescent="0.35">
      <c r="A204" s="277"/>
      <c r="B204" s="278"/>
      <c r="C204" s="295" t="s">
        <v>94</v>
      </c>
      <c r="D204" s="279"/>
      <c r="E204" s="279"/>
      <c r="F204" s="279"/>
      <c r="G204" s="280"/>
      <c r="H204" s="292" t="s">
        <v>37</v>
      </c>
      <c r="I204" s="290">
        <f ca="1">IFERROR(__xludf.DUMMYFUNCTION("IMPORTRANGE(""https://docs.google.com/spreadsheets/d/1IYY_tgx_IHuhSq3AJ5eI5OnqOPBNLWSHKh2a30DoXe8/edit?usp=sharing"",""ชุมพร!I129"")"),0)</f>
        <v>0</v>
      </c>
      <c r="J204" s="290">
        <f ca="1">IFERROR(__xludf.DUMMYFUNCTION("IMPORTRANGE(""https://docs.google.com/spreadsheets/d/1IYY_tgx_IHuhSq3AJ5eI5OnqOPBNLWSHKh2a30DoXe8/edit?usp=sharing"",""ชุมพร!J129"")"),0)</f>
        <v>0</v>
      </c>
      <c r="K204" s="291">
        <f ca="1">IF(I204&gt;0,J204*100/I204,0)</f>
        <v>0</v>
      </c>
      <c r="L204" s="284"/>
      <c r="M204" s="284"/>
      <c r="N204" s="284"/>
      <c r="O204" s="284"/>
      <c r="P204" s="284"/>
    </row>
    <row r="205" spans="1:16" ht="21.75" customHeight="1" x14ac:dyDescent="0.35">
      <c r="A205" s="162"/>
      <c r="B205" s="163"/>
      <c r="C205" s="163" t="s">
        <v>16</v>
      </c>
      <c r="D205" s="164" t="s">
        <v>38</v>
      </c>
      <c r="E205" s="165"/>
      <c r="F205" s="165"/>
      <c r="G205" s="166" t="s">
        <v>39</v>
      </c>
      <c r="H205" s="167" t="s">
        <v>12</v>
      </c>
      <c r="I205" s="168" t="s">
        <v>40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 x14ac:dyDescent="0.35">
      <c r="A206" s="162"/>
      <c r="B206" s="163"/>
      <c r="C206" s="163"/>
      <c r="D206" s="172"/>
      <c r="E206" s="165"/>
      <c r="F206" s="165" t="s">
        <v>40</v>
      </c>
      <c r="G206" s="166" t="s">
        <v>41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 x14ac:dyDescent="0.35">
      <c r="A207" s="162"/>
      <c r="B207" s="163"/>
      <c r="C207" s="163"/>
      <c r="D207" s="172"/>
      <c r="E207" s="165"/>
      <c r="F207" s="165"/>
      <c r="G207" s="177" t="s">
        <v>43</v>
      </c>
      <c r="H207" s="167" t="s">
        <v>12</v>
      </c>
      <c r="I207" s="168"/>
      <c r="J207" s="195"/>
      <c r="K207" s="231"/>
      <c r="L207" s="176"/>
      <c r="M207" s="176"/>
      <c r="N207" s="173"/>
      <c r="O207" s="176"/>
      <c r="P207" s="176"/>
    </row>
    <row r="208" spans="1:16" ht="21.75" customHeight="1" x14ac:dyDescent="0.35">
      <c r="A208" s="183"/>
      <c r="B208" s="184"/>
      <c r="C208" s="163" t="s">
        <v>16</v>
      </c>
      <c r="D208" s="185" t="s">
        <v>44</v>
      </c>
      <c r="E208" s="186"/>
      <c r="F208" s="186"/>
      <c r="G208" s="187"/>
      <c r="H208" s="188"/>
      <c r="I208" s="168"/>
      <c r="J208" s="195"/>
      <c r="K208" s="231"/>
      <c r="L208" s="176"/>
      <c r="M208" s="176"/>
      <c r="N208" s="176"/>
      <c r="O208" s="189"/>
      <c r="P208" s="189"/>
    </row>
    <row r="209" spans="1:16" ht="21.75" customHeight="1" x14ac:dyDescent="0.35">
      <c r="A209" s="183"/>
      <c r="B209" s="184"/>
      <c r="C209" s="184"/>
      <c r="D209" s="190">
        <v>1</v>
      </c>
      <c r="E209" s="191" t="s">
        <v>45</v>
      </c>
      <c r="F209" s="192"/>
      <c r="G209" s="193"/>
      <c r="H209" s="194"/>
      <c r="I209" s="195"/>
      <c r="J209" s="195">
        <f ca="1">IFERROR(__xludf.DUMMYFUNCTION("IMPORTRANGE(""https://docs.google.com/spreadsheets/d/1IYY_tgx_IHuhSq3AJ5eI5OnqOPBNLWSHKh2a30DoXe8/edit?usp=sharing"",""ชุมพร!J134"")"),0)</f>
        <v>0</v>
      </c>
      <c r="K209" s="231"/>
      <c r="L209" s="176"/>
      <c r="M209" s="176"/>
      <c r="N209" s="176"/>
      <c r="O209" s="189"/>
      <c r="P209" s="189"/>
    </row>
    <row r="210" spans="1:16" ht="21.75" customHeight="1" x14ac:dyDescent="0.35">
      <c r="A210" s="183"/>
      <c r="B210" s="184"/>
      <c r="C210" s="184"/>
      <c r="D210" s="197">
        <v>2</v>
      </c>
      <c r="E210" s="198" t="s">
        <v>46</v>
      </c>
      <c r="F210" s="199"/>
      <c r="G210" s="200"/>
      <c r="H210" s="194"/>
      <c r="I210" s="195"/>
      <c r="J210" s="195">
        <f ca="1">IFERROR(__xludf.DUMMYFUNCTION("IMPORTRANGE(""https://docs.google.com/spreadsheets/d/1IYY_tgx_IHuhSq3AJ5eI5OnqOPBNLWSHKh2a30DoXe8/edit?usp=sharing"",""ชุมพร!J135"")"),0)</f>
        <v>0</v>
      </c>
      <c r="K210" s="231"/>
      <c r="L210" s="176"/>
      <c r="M210" s="176"/>
      <c r="N210" s="176"/>
      <c r="O210" s="189"/>
      <c r="P210" s="189"/>
    </row>
    <row r="211" spans="1:16" ht="21.75" customHeight="1" x14ac:dyDescent="0.35">
      <c r="A211" s="183"/>
      <c r="B211" s="184"/>
      <c r="C211" s="184"/>
      <c r="D211" s="201"/>
      <c r="E211" s="202" t="s">
        <v>47</v>
      </c>
      <c r="F211" s="203"/>
      <c r="G211" s="204"/>
      <c r="H211" s="194"/>
      <c r="I211" s="195"/>
      <c r="J211" s="195">
        <f ca="1">IFERROR(__xludf.DUMMYFUNCTION("IMPORTRANGE(""https://docs.google.com/spreadsheets/d/1IYY_tgx_IHuhSq3AJ5eI5OnqOPBNLWSHKh2a30DoXe8/edit?usp=sharing"",""ชุมพร!J136"")"),0)</f>
        <v>0</v>
      </c>
      <c r="K211" s="231"/>
      <c r="L211" s="176"/>
      <c r="M211" s="176"/>
      <c r="N211" s="176"/>
      <c r="O211" s="189"/>
      <c r="P211" s="189"/>
    </row>
    <row r="212" spans="1:16" ht="21.75" customHeight="1" x14ac:dyDescent="0.35">
      <c r="A212" s="183"/>
      <c r="B212" s="184"/>
      <c r="C212" s="184"/>
      <c r="D212" s="201"/>
      <c r="E212" s="202" t="s">
        <v>48</v>
      </c>
      <c r="F212" s="203"/>
      <c r="G212" s="204"/>
      <c r="H212" s="194"/>
      <c r="I212" s="195"/>
      <c r="J212" s="195">
        <f ca="1">IFERROR(__xludf.DUMMYFUNCTION("IMPORTRANGE(""https://docs.google.com/spreadsheets/d/1IYY_tgx_IHuhSq3AJ5eI5OnqOPBNLWSHKh2a30DoXe8/edit?usp=sharing"",""ชุมพร!J137"")"),0)</f>
        <v>0</v>
      </c>
      <c r="K212" s="231"/>
      <c r="L212" s="176"/>
      <c r="M212" s="176"/>
      <c r="N212" s="176"/>
      <c r="O212" s="189"/>
      <c r="P212" s="189"/>
    </row>
    <row r="213" spans="1:16" ht="21.75" customHeight="1" x14ac:dyDescent="0.35">
      <c r="A213" s="183"/>
      <c r="B213" s="184"/>
      <c r="C213" s="184"/>
      <c r="D213" s="201"/>
      <c r="E213" s="206"/>
      <c r="F213" s="203" t="s">
        <v>95</v>
      </c>
      <c r="G213" s="204"/>
      <c r="H213" s="188" t="s">
        <v>37</v>
      </c>
      <c r="I213" s="195">
        <f ca="1">IFERROR(__xludf.DUMMYFUNCTION("IMPORTRANGE(""https://docs.google.com/spreadsheets/d/1IYY_tgx_IHuhSq3AJ5eI5OnqOPBNLWSHKh2a30DoXe8/edit?usp=sharing"",""ชุมพร!I138"")"),0)</f>
        <v>0</v>
      </c>
      <c r="J213" s="211">
        <f ca="1">IFERROR(__xludf.DUMMYFUNCTION("IMPORTRANGE(""https://docs.google.com/spreadsheets/d/1IYY_tgx_IHuhSq3AJ5eI5OnqOPBNLWSHKh2a30DoXe8/edit?usp=sharing"",""ชุมพร!J138"")"),0)</f>
        <v>0</v>
      </c>
      <c r="K213" s="231">
        <f ca="1">IF(I213&gt;0,J213*100/I213,0)</f>
        <v>0</v>
      </c>
      <c r="L213" s="176"/>
      <c r="M213" s="176"/>
      <c r="N213" s="173"/>
      <c r="O213" s="176"/>
      <c r="P213" s="176"/>
    </row>
    <row r="214" spans="1:16" ht="21.75" customHeight="1" x14ac:dyDescent="0.35">
      <c r="A214" s="183"/>
      <c r="B214" s="184"/>
      <c r="C214" s="184"/>
      <c r="D214" s="201"/>
      <c r="E214" s="206"/>
      <c r="F214" s="202" t="s">
        <v>53</v>
      </c>
      <c r="G214" s="204"/>
      <c r="H214" s="188"/>
      <c r="I214" s="195"/>
      <c r="J214" s="195"/>
      <c r="K214" s="231"/>
      <c r="L214" s="176"/>
      <c r="M214" s="176"/>
      <c r="N214" s="176"/>
      <c r="O214" s="189"/>
      <c r="P214" s="189"/>
    </row>
    <row r="215" spans="1:16" ht="21.75" customHeight="1" x14ac:dyDescent="0.35">
      <c r="A215" s="183"/>
      <c r="B215" s="184"/>
      <c r="C215" s="184"/>
      <c r="D215" s="201"/>
      <c r="E215" s="206"/>
      <c r="F215" s="203"/>
      <c r="G215" s="233" t="s">
        <v>96</v>
      </c>
      <c r="H215" s="188" t="s">
        <v>37</v>
      </c>
      <c r="I215" s="195">
        <f ca="1">IFERROR(__xludf.DUMMYFUNCTION("IMPORTRANGE(""https://docs.google.com/spreadsheets/d/1IYY_tgx_IHuhSq3AJ5eI5OnqOPBNLWSHKh2a30DoXe8/edit?usp=sharing"",""ชุมพร!I140"")"),0)</f>
        <v>0</v>
      </c>
      <c r="J215" s="211">
        <f ca="1">IFERROR(__xludf.DUMMYFUNCTION("IMPORTRANGE(""https://docs.google.com/spreadsheets/d/1IYY_tgx_IHuhSq3AJ5eI5OnqOPBNLWSHKh2a30DoXe8/edit?usp=sharing"",""ชุมพร!J140"")"),0)</f>
        <v>0</v>
      </c>
      <c r="K215" s="231">
        <f t="shared" ref="K215:K216" ca="1" si="71">IF(I215&gt;0,J215*100/I215,0)</f>
        <v>0</v>
      </c>
      <c r="L215" s="176"/>
      <c r="M215" s="176"/>
      <c r="N215" s="173"/>
      <c r="O215" s="176"/>
      <c r="P215" s="176"/>
    </row>
    <row r="216" spans="1:16" ht="21.75" customHeight="1" x14ac:dyDescent="0.35">
      <c r="A216" s="183"/>
      <c r="B216" s="184"/>
      <c r="C216" s="184"/>
      <c r="D216" s="201"/>
      <c r="E216" s="206"/>
      <c r="F216" s="203"/>
      <c r="G216" s="233" t="s">
        <v>97</v>
      </c>
      <c r="H216" s="188" t="s">
        <v>59</v>
      </c>
      <c r="I216" s="195">
        <f ca="1">IFERROR(__xludf.DUMMYFUNCTION("IMPORTRANGE(""https://docs.google.com/spreadsheets/d/1IYY_tgx_IHuhSq3AJ5eI5OnqOPBNLWSHKh2a30DoXe8/edit?usp=sharing"",""ชุมพร!I141"")"),0)</f>
        <v>0</v>
      </c>
      <c r="J216" s="211">
        <f ca="1">IFERROR(__xludf.DUMMYFUNCTION("IMPORTRANGE(""https://docs.google.com/spreadsheets/d/1IYY_tgx_IHuhSq3AJ5eI5OnqOPBNLWSHKh2a30DoXe8/edit?usp=sharing"",""ชุมพร!J141"")"),0)</f>
        <v>0</v>
      </c>
      <c r="K216" s="231">
        <f t="shared" ca="1" si="71"/>
        <v>0</v>
      </c>
      <c r="L216" s="176"/>
      <c r="M216" s="176"/>
      <c r="N216" s="173"/>
      <c r="O216" s="176"/>
      <c r="P216" s="176"/>
    </row>
    <row r="217" spans="1:16" ht="21.75" customHeight="1" x14ac:dyDescent="0.35">
      <c r="A217" s="183"/>
      <c r="B217" s="184"/>
      <c r="C217" s="184"/>
      <c r="D217" s="201"/>
      <c r="E217" s="202" t="s">
        <v>54</v>
      </c>
      <c r="F217" s="203"/>
      <c r="G217" s="204"/>
      <c r="H217" s="194"/>
      <c r="I217" s="195"/>
      <c r="J217" s="195">
        <f ca="1">IFERROR(__xludf.DUMMYFUNCTION("IMPORTRANGE(""https://docs.google.com/spreadsheets/d/1IYY_tgx_IHuhSq3AJ5eI5OnqOPBNLWSHKh2a30DoXe8/edit?usp=sharing"",""ชุมพร!J142"")"),0)</f>
        <v>0</v>
      </c>
      <c r="K217" s="231"/>
      <c r="L217" s="176"/>
      <c r="M217" s="176"/>
      <c r="N217" s="176"/>
      <c r="O217" s="189"/>
      <c r="P217" s="189"/>
    </row>
    <row r="218" spans="1:16" ht="21.75" customHeight="1" x14ac:dyDescent="0.35">
      <c r="A218" s="241"/>
      <c r="B218" s="242"/>
      <c r="C218" s="242"/>
      <c r="D218" s="243">
        <v>3</v>
      </c>
      <c r="E218" s="244" t="s">
        <v>55</v>
      </c>
      <c r="F218" s="245"/>
      <c r="G218" s="246"/>
      <c r="H218" s="247"/>
      <c r="I218" s="248"/>
      <c r="J218" s="249">
        <f ca="1">IFERROR(__xludf.DUMMYFUNCTION("IMPORTRANGE(""https://docs.google.com/spreadsheets/d/1IYY_tgx_IHuhSq3AJ5eI5OnqOPBNLWSHKh2a30DoXe8/edit?usp=sharing"",""ชุมพร!J143"")"),0)</f>
        <v>0</v>
      </c>
      <c r="K218" s="250"/>
      <c r="L218" s="251"/>
      <c r="M218" s="251"/>
      <c r="N218" s="251"/>
      <c r="O218" s="252"/>
      <c r="P218" s="252"/>
    </row>
    <row r="219" spans="1:16" ht="21.75" customHeight="1" x14ac:dyDescent="0.35">
      <c r="A219" s="269"/>
      <c r="B219" s="270" t="s">
        <v>98</v>
      </c>
      <c r="C219" s="271"/>
      <c r="D219" s="270"/>
      <c r="E219" s="270"/>
      <c r="F219" s="270"/>
      <c r="G219" s="272"/>
      <c r="H219" s="273" t="s">
        <v>37</v>
      </c>
      <c r="I219" s="274">
        <f ca="1">IFERROR(__xludf.DUMMYFUNCTION("IMPORTRANGE(""https://docs.google.com/spreadsheets/d/1IYY_tgx_IHuhSq3AJ5eI5OnqOPBNLWSHKh2a30DoXe8/edit?usp=sharing"",""ชุมพร!I144"")"),0)</f>
        <v>0</v>
      </c>
      <c r="J219" s="274">
        <f ca="1">IFERROR(__xludf.DUMMYFUNCTION("IMPORTRANGE(""https://docs.google.com/spreadsheets/d/1IYY_tgx_IHuhSq3AJ5eI5OnqOPBNLWSHKh2a30DoXe8/edit?usp=sharing"",""ชุมพร!J144"")"),0)</f>
        <v>0</v>
      </c>
      <c r="K219" s="275">
        <f ca="1">IF(I219&gt;0,J219*100/I219,0)</f>
        <v>0</v>
      </c>
      <c r="L219" s="276"/>
      <c r="M219" s="276"/>
      <c r="N219" s="276"/>
      <c r="O219" s="275"/>
      <c r="P219" s="275"/>
    </row>
    <row r="220" spans="1:16" ht="21.75" customHeight="1" x14ac:dyDescent="0.45">
      <c r="A220" s="150"/>
      <c r="B220" s="151"/>
      <c r="C220" s="152" t="s">
        <v>16</v>
      </c>
      <c r="D220" s="552" t="s">
        <v>17</v>
      </c>
      <c r="E220" s="543"/>
      <c r="F220" s="543"/>
      <c r="G220" s="543"/>
      <c r="H220" s="153" t="s">
        <v>12</v>
      </c>
      <c r="I220" s="168"/>
      <c r="J220" s="168"/>
      <c r="K220" s="169"/>
      <c r="L220" s="156">
        <f t="shared" ref="L220:N220" ca="1" si="72">L221+L222</f>
        <v>0</v>
      </c>
      <c r="M220" s="156">
        <f t="shared" ca="1" si="72"/>
        <v>0</v>
      </c>
      <c r="N220" s="156">
        <f t="shared" ca="1" si="72"/>
        <v>0</v>
      </c>
      <c r="O220" s="155">
        <f t="shared" ref="O220:O222" ca="1" si="73">IF(L220&gt;0,N220*100/L220,0)</f>
        <v>0</v>
      </c>
      <c r="P220" s="155">
        <f t="shared" ref="P220:P222" ca="1" si="74">IF(M220&gt;0,N220*100/M220,0)</f>
        <v>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8"/>
      <c r="J221" s="168"/>
      <c r="K221" s="169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8"/>
      <c r="J222" s="168"/>
      <c r="K222" s="169"/>
      <c r="L222" s="161">
        <f t="shared" ref="L222:N222" ca="1" si="76">L224+L228</f>
        <v>0</v>
      </c>
      <c r="M222" s="161">
        <f t="shared" ca="1" si="76"/>
        <v>0</v>
      </c>
      <c r="N222" s="161">
        <f t="shared" ca="1" si="76"/>
        <v>0</v>
      </c>
      <c r="O222" s="160">
        <f t="shared" ca="1" si="73"/>
        <v>0</v>
      </c>
      <c r="P222" s="160">
        <f t="shared" ca="1" si="74"/>
        <v>0</v>
      </c>
    </row>
    <row r="223" spans="1:16" ht="21.75" customHeight="1" x14ac:dyDescent="0.35">
      <c r="A223" s="162"/>
      <c r="B223" s="163"/>
      <c r="C223" s="163" t="s">
        <v>16</v>
      </c>
      <c r="D223" s="164" t="s">
        <v>38</v>
      </c>
      <c r="E223" s="165"/>
      <c r="F223" s="165"/>
      <c r="G223" s="166" t="s">
        <v>39</v>
      </c>
      <c r="H223" s="167" t="s">
        <v>12</v>
      </c>
      <c r="I223" s="168" t="s">
        <v>40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 x14ac:dyDescent="0.35">
      <c r="A224" s="162"/>
      <c r="B224" s="163"/>
      <c r="C224" s="163"/>
      <c r="D224" s="172"/>
      <c r="E224" s="165"/>
      <c r="F224" s="165" t="s">
        <v>40</v>
      </c>
      <c r="G224" s="166" t="s">
        <v>41</v>
      </c>
      <c r="H224" s="167" t="s">
        <v>12</v>
      </c>
      <c r="I224" s="168"/>
      <c r="J224" s="168"/>
      <c r="K224" s="169"/>
      <c r="L224" s="173">
        <f ca="1">L225+L226</f>
        <v>0</v>
      </c>
      <c r="M224" s="174">
        <f ca="1">IFERROR(__xludf.DUMMYFUNCTION("IMPORTRANGE(""https://docs.google.com/spreadsheets/d/1Yj_ptqi66GCucihVvJfMjLAmec39IyEx_6qawtMGysU/edit?usp=sharing"",""สบก!BS82"")"),0)</f>
        <v>0</v>
      </c>
      <c r="N224" s="175">
        <f ca="1">IFERROR(__xludf.DUMMYFUNCTION("IMPORTRANGE(""https://docs.google.com/spreadsheets/d/1Yj_ptqi66GCucihVvJfMjLAmec39IyEx_6qawtMGysU/edit?usp=sharing"",""สบก!BT82"")"),0)</f>
        <v>0</v>
      </c>
      <c r="O224" s="176">
        <f ca="1">IF(L224&gt;0,N224*100/L224,0)</f>
        <v>0</v>
      </c>
      <c r="P224" s="176">
        <f ca="1">IF(M224&gt;0,N224*100/M224,0)</f>
        <v>0</v>
      </c>
    </row>
    <row r="225" spans="1:16" ht="21.75" customHeight="1" x14ac:dyDescent="0.35">
      <c r="A225" s="162"/>
      <c r="B225" s="163"/>
      <c r="C225" s="163"/>
      <c r="D225" s="172"/>
      <c r="E225" s="165"/>
      <c r="F225" s="165"/>
      <c r="G225" s="177" t="s">
        <v>42</v>
      </c>
      <c r="H225" s="167" t="s">
        <v>12</v>
      </c>
      <c r="I225" s="168"/>
      <c r="J225" s="168"/>
      <c r="K225" s="169"/>
      <c r="L225" s="174">
        <f ca="1">IFERROR(__xludf.DUMMYFUNCTION("IMPORTRANGE(""https://docs.google.com/spreadsheets/d/1Yj_ptqi66GCucihVvJfMjLAmec39IyEx_6qawtMGysU/edit?usp=sharing"",""สบก!BO82"")"),0)</f>
        <v>0</v>
      </c>
      <c r="M225" s="173"/>
      <c r="N225" s="173"/>
      <c r="O225" s="176"/>
      <c r="P225" s="176"/>
    </row>
    <row r="226" spans="1:16" ht="21.75" customHeight="1" x14ac:dyDescent="0.35">
      <c r="A226" s="162"/>
      <c r="B226" s="163"/>
      <c r="C226" s="163"/>
      <c r="D226" s="172"/>
      <c r="E226" s="165"/>
      <c r="F226" s="165"/>
      <c r="G226" s="177" t="s">
        <v>43</v>
      </c>
      <c r="H226" s="167" t="s">
        <v>12</v>
      </c>
      <c r="I226" s="168"/>
      <c r="J226" s="168"/>
      <c r="K226" s="169"/>
      <c r="L226" s="174">
        <f ca="1">IFERROR(__xludf.DUMMYFUNCTION("IMPORTRANGE(""https://docs.google.com/spreadsheets/d/1Yj_ptqi66GCucihVvJfMjLAmec39IyEx_6qawtMGysU/edit?usp=sharing"",""สบก!BP82"")"),0)</f>
        <v>0</v>
      </c>
      <c r="M226" s="173"/>
      <c r="N226" s="173"/>
      <c r="O226" s="176"/>
      <c r="P226" s="176"/>
    </row>
    <row r="227" spans="1:16" ht="21.75" customHeight="1" x14ac:dyDescent="0.45">
      <c r="A227" s="178"/>
      <c r="B227" s="81"/>
      <c r="C227" s="82" t="s">
        <v>16</v>
      </c>
      <c r="D227" s="549" t="s">
        <v>23</v>
      </c>
      <c r="E227" s="545"/>
      <c r="F227" s="89"/>
      <c r="G227" s="83" t="s">
        <v>18</v>
      </c>
      <c r="H227" s="179" t="s">
        <v>12</v>
      </c>
      <c r="I227" s="208"/>
      <c r="J227" s="208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80"/>
      <c r="B228" s="95"/>
      <c r="C228" s="95"/>
      <c r="D228" s="181"/>
      <c r="E228" s="96"/>
      <c r="F228" s="96"/>
      <c r="G228" s="97" t="s">
        <v>19</v>
      </c>
      <c r="H228" s="182" t="s">
        <v>12</v>
      </c>
      <c r="I228" s="208"/>
      <c r="J228" s="208"/>
      <c r="K228" s="296"/>
      <c r="L228" s="91">
        <f ca="1">IFERROR(__xludf.DUMMYFUNCTION("IMPORTRANGE(""https://docs.google.com/spreadsheets/d/1Yj_ptqi66GCucihVvJfMjLAmec39IyEx_6qawtMGysU/edit?usp=sharing"",""สบก!BQ82"")"),0)</f>
        <v>0</v>
      </c>
      <c r="M228" s="101"/>
      <c r="N228" s="91">
        <f ca="1">IFERROR(__xludf.DUMMYFUNCTION("IMPORTRANGE(""https://docs.google.com/spreadsheets/d/1Yj_ptqi66GCucihVvJfMjLAmec39IyEx_6qawtMGysU/edit?usp=sharing"",""สบก!BU82"")"),0)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3"/>
      <c r="B229" s="297"/>
      <c r="C229" s="271" t="s">
        <v>99</v>
      </c>
      <c r="D229" s="270"/>
      <c r="E229" s="270"/>
      <c r="F229" s="270"/>
      <c r="G229" s="272"/>
      <c r="H229" s="273" t="s">
        <v>37</v>
      </c>
      <c r="I229" s="274">
        <f ca="1">IFERROR(__xludf.DUMMYFUNCTION("IMPORTRANGE(""https://docs.google.com/spreadsheets/d/1IYY_tgx_IHuhSq3AJ5eI5OnqOPBNLWSHKh2a30DoXe8/edit?usp=sharing"",""ชุมพร!I149"")"),0)</f>
        <v>0</v>
      </c>
      <c r="J229" s="274">
        <f ca="1">IFERROR(__xludf.DUMMYFUNCTION("IMPORTRANGE(""https://docs.google.com/spreadsheets/d/1IYY_tgx_IHuhSq3AJ5eI5OnqOPBNLWSHKh2a30DoXe8/edit?usp=sharing"",""ชุมพร!J149"")"),0)</f>
        <v>0</v>
      </c>
      <c r="K229" s="275">
        <f ca="1">IF(I229&gt;0,J229*100/I229,0)</f>
        <v>0</v>
      </c>
      <c r="L229" s="298"/>
      <c r="M229" s="298"/>
      <c r="N229" s="298"/>
      <c r="O229" s="298"/>
      <c r="P229" s="298"/>
    </row>
    <row r="230" spans="1:16" ht="21.75" customHeight="1" x14ac:dyDescent="0.35">
      <c r="A230" s="183"/>
      <c r="B230" s="184"/>
      <c r="C230" s="163" t="s">
        <v>16</v>
      </c>
      <c r="D230" s="185" t="s">
        <v>44</v>
      </c>
      <c r="E230" s="186"/>
      <c r="F230" s="186"/>
      <c r="G230" s="187"/>
      <c r="H230" s="188"/>
      <c r="I230" s="168"/>
      <c r="J230" s="168"/>
      <c r="K230" s="169"/>
      <c r="L230" s="189"/>
      <c r="M230" s="189"/>
      <c r="N230" s="189"/>
      <c r="O230" s="189"/>
      <c r="P230" s="189"/>
    </row>
    <row r="231" spans="1:16" ht="21.75" customHeight="1" x14ac:dyDescent="0.35">
      <c r="A231" s="183"/>
      <c r="B231" s="184"/>
      <c r="C231" s="184"/>
      <c r="D231" s="190">
        <v>1</v>
      </c>
      <c r="E231" s="191" t="s">
        <v>45</v>
      </c>
      <c r="F231" s="192"/>
      <c r="G231" s="193"/>
      <c r="H231" s="194"/>
      <c r="I231" s="195"/>
      <c r="J231" s="205">
        <f ca="1">IFERROR(__xludf.DUMMYFUNCTION("IMPORTRANGE(""https://docs.google.com/spreadsheets/d/1IYY_tgx_IHuhSq3AJ5eI5OnqOPBNLWSHKh2a30DoXe8/edit?usp=sharing"",""ชุมพร!J151"")"),0)</f>
        <v>0</v>
      </c>
      <c r="K231" s="169"/>
      <c r="L231" s="189"/>
      <c r="M231" s="189"/>
      <c r="N231" s="189"/>
      <c r="O231" s="189"/>
      <c r="P231" s="189"/>
    </row>
    <row r="232" spans="1:16" ht="21.75" customHeight="1" x14ac:dyDescent="0.35">
      <c r="A232" s="183"/>
      <c r="B232" s="184"/>
      <c r="C232" s="184"/>
      <c r="D232" s="197">
        <v>2</v>
      </c>
      <c r="E232" s="198" t="s">
        <v>46</v>
      </c>
      <c r="F232" s="199"/>
      <c r="G232" s="200"/>
      <c r="H232" s="194"/>
      <c r="I232" s="195"/>
      <c r="J232" s="196">
        <f ca="1">IFERROR(__xludf.DUMMYFUNCTION("IMPORTRANGE(""https://docs.google.com/spreadsheets/d/1IYY_tgx_IHuhSq3AJ5eI5OnqOPBNLWSHKh2a30DoXe8/edit?usp=sharing"",""ชุมพร!J152"")"),0)</f>
        <v>0</v>
      </c>
      <c r="K232" s="169"/>
      <c r="L232" s="189" t="s">
        <v>40</v>
      </c>
      <c r="M232" s="189"/>
      <c r="N232" s="189" t="s">
        <v>40</v>
      </c>
      <c r="O232" s="189"/>
      <c r="P232" s="189"/>
    </row>
    <row r="233" spans="1:16" ht="21.75" customHeight="1" x14ac:dyDescent="0.35">
      <c r="A233" s="183"/>
      <c r="B233" s="184"/>
      <c r="C233" s="184"/>
      <c r="D233" s="201"/>
      <c r="E233" s="202" t="s">
        <v>47</v>
      </c>
      <c r="F233" s="203"/>
      <c r="G233" s="204"/>
      <c r="H233" s="194"/>
      <c r="I233" s="195"/>
      <c r="J233" s="196">
        <f ca="1">IFERROR(__xludf.DUMMYFUNCTION("IMPORTRANGE(""https://docs.google.com/spreadsheets/d/1IYY_tgx_IHuhSq3AJ5eI5OnqOPBNLWSHKh2a30DoXe8/edit?usp=sharing"",""ชุมพร!J153"")"),0)</f>
        <v>0</v>
      </c>
      <c r="K233" s="169"/>
      <c r="L233" s="189"/>
      <c r="M233" s="189"/>
      <c r="N233" s="189"/>
      <c r="O233" s="189"/>
      <c r="P233" s="189"/>
    </row>
    <row r="234" spans="1:16" ht="21.75" customHeight="1" x14ac:dyDescent="0.35">
      <c r="A234" s="183"/>
      <c r="B234" s="184"/>
      <c r="C234" s="184"/>
      <c r="D234" s="201"/>
      <c r="E234" s="202" t="s">
        <v>48</v>
      </c>
      <c r="F234" s="203"/>
      <c r="G234" s="204"/>
      <c r="H234" s="194"/>
      <c r="I234" s="195"/>
      <c r="J234" s="205">
        <f ca="1">IFERROR(__xludf.DUMMYFUNCTION("IMPORTRANGE(""https://docs.google.com/spreadsheets/d/1IYY_tgx_IHuhSq3AJ5eI5OnqOPBNLWSHKh2a30DoXe8/edit?usp=sharing"",""ชุมพร!J154"")"),0)</f>
        <v>0</v>
      </c>
      <c r="K234" s="169"/>
      <c r="L234" s="189"/>
      <c r="M234" s="189"/>
      <c r="N234" s="189"/>
      <c r="O234" s="189"/>
      <c r="P234" s="189"/>
    </row>
    <row r="235" spans="1:16" ht="21.75" customHeight="1" x14ac:dyDescent="0.35">
      <c r="A235" s="183"/>
      <c r="B235" s="184"/>
      <c r="C235" s="184"/>
      <c r="D235" s="201"/>
      <c r="E235" s="206"/>
      <c r="F235" s="203"/>
      <c r="G235" s="299" t="s">
        <v>70</v>
      </c>
      <c r="H235" s="194" t="s">
        <v>37</v>
      </c>
      <c r="I235" s="195">
        <f ca="1">IFERROR(__xludf.DUMMYFUNCTION("IMPORTRANGE(""https://docs.google.com/spreadsheets/d/1IYY_tgx_IHuhSq3AJ5eI5OnqOPBNLWSHKh2a30DoXe8/edit?usp=sharing"",""ชุมพร!I155"")"),0)</f>
        <v>0</v>
      </c>
      <c r="J235" s="196">
        <f ca="1">IFERROR(__xludf.DUMMYFUNCTION("IMPORTRANGE(""https://docs.google.com/spreadsheets/d/1IYY_tgx_IHuhSq3AJ5eI5OnqOPBNLWSHKh2a30DoXe8/edit?usp=sharing"",""ชุมพร!J155"")"),0)</f>
        <v>0</v>
      </c>
      <c r="K235" s="169">
        <f ca="1">IF(I235&gt;0,J235*100/I235,0)</f>
        <v>0</v>
      </c>
      <c r="L235" s="189"/>
      <c r="M235" s="189"/>
      <c r="N235" s="189"/>
      <c r="O235" s="189"/>
      <c r="P235" s="189"/>
    </row>
    <row r="236" spans="1:16" ht="21.75" customHeight="1" x14ac:dyDescent="0.35">
      <c r="A236" s="183"/>
      <c r="B236" s="184"/>
      <c r="C236" s="184"/>
      <c r="D236" s="201"/>
      <c r="E236" s="202" t="s">
        <v>54</v>
      </c>
      <c r="F236" s="203"/>
      <c r="G236" s="204"/>
      <c r="H236" s="194"/>
      <c r="I236" s="195"/>
      <c r="J236" s="205">
        <f ca="1">IFERROR(__xludf.DUMMYFUNCTION("IMPORTRANGE(""https://docs.google.com/spreadsheets/d/1IYY_tgx_IHuhSq3AJ5eI5OnqOPBNLWSHKh2a30DoXe8/edit?usp=sharing"",""ชุมพร!J156"")"),0)</f>
        <v>0</v>
      </c>
      <c r="K236" s="169"/>
      <c r="L236" s="189"/>
      <c r="M236" s="189"/>
      <c r="N236" s="189"/>
      <c r="O236" s="189"/>
      <c r="P236" s="189"/>
    </row>
    <row r="237" spans="1:16" ht="21.75" customHeight="1" x14ac:dyDescent="0.35">
      <c r="A237" s="183"/>
      <c r="B237" s="184"/>
      <c r="C237" s="184"/>
      <c r="D237" s="213">
        <v>3</v>
      </c>
      <c r="E237" s="214" t="s">
        <v>55</v>
      </c>
      <c r="F237" s="215"/>
      <c r="G237" s="216"/>
      <c r="H237" s="194"/>
      <c r="I237" s="195"/>
      <c r="J237" s="217">
        <f ca="1">IFERROR(__xludf.DUMMYFUNCTION("IMPORTRANGE(""https://docs.google.com/spreadsheets/d/1IYY_tgx_IHuhSq3AJ5eI5OnqOPBNLWSHKh2a30DoXe8/edit?usp=sharing"",""ชุมพร!J157"")"),0)</f>
        <v>0</v>
      </c>
      <c r="K237" s="169"/>
      <c r="L237" s="189"/>
      <c r="M237" s="189"/>
      <c r="N237" s="189"/>
      <c r="O237" s="189"/>
      <c r="P237" s="189"/>
    </row>
    <row r="238" spans="1:16" ht="21.75" customHeight="1" x14ac:dyDescent="0.35">
      <c r="A238" s="183"/>
      <c r="B238" s="184"/>
      <c r="C238" s="271" t="s">
        <v>100</v>
      </c>
      <c r="D238" s="300"/>
      <c r="E238" s="270"/>
      <c r="F238" s="270"/>
      <c r="G238" s="272"/>
      <c r="H238" s="273" t="s">
        <v>37</v>
      </c>
      <c r="I238" s="274">
        <f ca="1">IFERROR(__xludf.DUMMYFUNCTION("IMPORTRANGE(""https://docs.google.com/spreadsheets/d/1IYY_tgx_IHuhSq3AJ5eI5OnqOPBNLWSHKh2a30DoXe8/edit?usp=sharing"",""ชุมพร!I158"")"),0)</f>
        <v>0</v>
      </c>
      <c r="J238" s="274">
        <f ca="1">IFERROR(__xludf.DUMMYFUNCTION("IMPORTRANGE(""https://docs.google.com/spreadsheets/d/1IYY_tgx_IHuhSq3AJ5eI5OnqOPBNLWSHKh2a30DoXe8/edit?usp=sharing"",""ชุมพร!J158"")"),0)</f>
        <v>0</v>
      </c>
      <c r="K238" s="275">
        <f ca="1">IF(I238&gt;0,J238*100/I238,0)</f>
        <v>0</v>
      </c>
      <c r="L238" s="189"/>
      <c r="M238" s="189"/>
      <c r="N238" s="189"/>
      <c r="O238" s="189"/>
      <c r="P238" s="189"/>
    </row>
    <row r="239" spans="1:16" ht="21.75" customHeight="1" x14ac:dyDescent="0.35">
      <c r="A239" s="183"/>
      <c r="B239" s="184"/>
      <c r="C239" s="163" t="s">
        <v>16</v>
      </c>
      <c r="D239" s="185" t="s">
        <v>44</v>
      </c>
      <c r="E239" s="186"/>
      <c r="F239" s="186"/>
      <c r="G239" s="187"/>
      <c r="H239" s="188"/>
      <c r="I239" s="168"/>
      <c r="J239" s="168"/>
      <c r="K239" s="169"/>
      <c r="L239" s="189"/>
      <c r="M239" s="189"/>
      <c r="N239" s="189"/>
      <c r="O239" s="189"/>
      <c r="P239" s="189"/>
    </row>
    <row r="240" spans="1:16" ht="21.75" customHeight="1" x14ac:dyDescent="0.35">
      <c r="A240" s="183"/>
      <c r="B240" s="184"/>
      <c r="C240" s="184"/>
      <c r="D240" s="190">
        <v>1</v>
      </c>
      <c r="E240" s="191" t="s">
        <v>45</v>
      </c>
      <c r="F240" s="192"/>
      <c r="G240" s="193"/>
      <c r="H240" s="194"/>
      <c r="I240" s="195"/>
      <c r="J240" s="195" t="str">
        <f ca="1">IFERROR(__xludf.DUMMYFUNCTION("IMPORTRANGE(""https://docs.google.com/spreadsheets/d/1IYY_tgx_IHuhSq3AJ5eI5OnqOPBNLWSHKh2a30DoXe8/edit?usp=sharing"",""ชุมพร!J159"")"),"")</f>
        <v/>
      </c>
      <c r="K240" s="169"/>
      <c r="L240" s="189"/>
      <c r="M240" s="189"/>
      <c r="N240" s="189"/>
      <c r="O240" s="189"/>
      <c r="P240" s="189"/>
    </row>
    <row r="241" spans="1:16" ht="21.75" customHeight="1" x14ac:dyDescent="0.35">
      <c r="A241" s="183"/>
      <c r="B241" s="184"/>
      <c r="C241" s="184"/>
      <c r="D241" s="197">
        <v>2</v>
      </c>
      <c r="E241" s="198" t="s">
        <v>46</v>
      </c>
      <c r="F241" s="199"/>
      <c r="G241" s="200"/>
      <c r="H241" s="194"/>
      <c r="I241" s="195"/>
      <c r="J241" s="195">
        <f ca="1">IFERROR(__xludf.DUMMYFUNCTION("IMPORTRANGE(""https://docs.google.com/spreadsheets/d/1IYY_tgx_IHuhSq3AJ5eI5OnqOPBNLWSHKh2a30DoXe8/edit?usp=sharing"",""ชุมพร!J161"")"),0)</f>
        <v>0</v>
      </c>
      <c r="K241" s="169"/>
      <c r="L241" s="189" t="s">
        <v>40</v>
      </c>
      <c r="M241" s="189"/>
      <c r="N241" s="189" t="s">
        <v>40</v>
      </c>
      <c r="O241" s="189"/>
      <c r="P241" s="189"/>
    </row>
    <row r="242" spans="1:16" ht="21.75" customHeight="1" x14ac:dyDescent="0.35">
      <c r="A242" s="183"/>
      <c r="B242" s="184"/>
      <c r="C242" s="184"/>
      <c r="D242" s="201"/>
      <c r="E242" s="202" t="s">
        <v>47</v>
      </c>
      <c r="F242" s="203"/>
      <c r="G242" s="204"/>
      <c r="H242" s="194"/>
      <c r="I242" s="195"/>
      <c r="J242" s="195">
        <f ca="1">IFERROR(__xludf.DUMMYFUNCTION("IMPORTRANGE(""https://docs.google.com/spreadsheets/d/1IYY_tgx_IHuhSq3AJ5eI5OnqOPBNLWSHKh2a30DoXe8/edit?usp=sharing"",""ชุมพร!J162"")"),0)</f>
        <v>0</v>
      </c>
      <c r="K242" s="169"/>
      <c r="L242" s="189"/>
      <c r="M242" s="189"/>
      <c r="N242" s="189"/>
      <c r="O242" s="189"/>
      <c r="P242" s="189"/>
    </row>
    <row r="243" spans="1:16" ht="21.75" customHeight="1" x14ac:dyDescent="0.35">
      <c r="A243" s="183"/>
      <c r="B243" s="184"/>
      <c r="C243" s="184"/>
      <c r="D243" s="201"/>
      <c r="E243" s="202" t="s">
        <v>48</v>
      </c>
      <c r="F243" s="203"/>
      <c r="G243" s="204"/>
      <c r="H243" s="194"/>
      <c r="I243" s="195"/>
      <c r="J243" s="195">
        <f ca="1">IFERROR(__xludf.DUMMYFUNCTION("IMPORTRANGE(""https://docs.google.com/spreadsheets/d/1IYY_tgx_IHuhSq3AJ5eI5OnqOPBNLWSHKh2a30DoXe8/edit?usp=sharing"",""ชุมพร!J163"")"),0)</f>
        <v>0</v>
      </c>
      <c r="K243" s="169"/>
      <c r="L243" s="189"/>
      <c r="M243" s="189"/>
      <c r="N243" s="189"/>
      <c r="O243" s="189"/>
      <c r="P243" s="189"/>
    </row>
    <row r="244" spans="1:16" ht="21.75" customHeight="1" x14ac:dyDescent="0.35">
      <c r="A244" s="183"/>
      <c r="B244" s="184"/>
      <c r="C244" s="184"/>
      <c r="D244" s="201"/>
      <c r="E244" s="203"/>
      <c r="F244" s="202" t="s">
        <v>101</v>
      </c>
      <c r="G244" s="203"/>
      <c r="H244" s="194" t="s">
        <v>37</v>
      </c>
      <c r="I244" s="211">
        <f ca="1">IFERROR(__xludf.DUMMYFUNCTION("IMPORTRANGE(""https://docs.google.com/spreadsheets/d/1IYY_tgx_IHuhSq3AJ5eI5OnqOPBNLWSHKh2a30DoXe8/edit?usp=sharing"",""ชุมพร!I164"")"),0)</f>
        <v>0</v>
      </c>
      <c r="J244" s="195">
        <f ca="1">IFERROR(__xludf.DUMMYFUNCTION("IMPORTRANGE(""https://docs.google.com/spreadsheets/d/1IYY_tgx_IHuhSq3AJ5eI5OnqOPBNLWSHKh2a30DoXe8/edit?usp=sharing"",""ชุมพร!J164"")"),0)</f>
        <v>0</v>
      </c>
      <c r="K244" s="169">
        <f ca="1">IF(I244&gt;0,J244*100/I244,0)</f>
        <v>0</v>
      </c>
      <c r="L244" s="189"/>
      <c r="M244" s="189"/>
      <c r="N244" s="189"/>
      <c r="O244" s="189"/>
      <c r="P244" s="189"/>
    </row>
    <row r="245" spans="1:16" ht="21.75" customHeight="1" x14ac:dyDescent="0.35">
      <c r="A245" s="183"/>
      <c r="B245" s="184"/>
      <c r="C245" s="184"/>
      <c r="D245" s="201"/>
      <c r="E245" s="202" t="s">
        <v>54</v>
      </c>
      <c r="F245" s="203"/>
      <c r="G245" s="204"/>
      <c r="H245" s="194"/>
      <c r="I245" s="195"/>
      <c r="J245" s="195">
        <f ca="1">IFERROR(__xludf.DUMMYFUNCTION("IMPORTRANGE(""https://docs.google.com/spreadsheets/d/1IYY_tgx_IHuhSq3AJ5eI5OnqOPBNLWSHKh2a30DoXe8/edit?usp=sharing"",""ชุมพร!J165"")"),0)</f>
        <v>0</v>
      </c>
      <c r="K245" s="169"/>
      <c r="L245" s="189"/>
      <c r="M245" s="189"/>
      <c r="N245" s="189"/>
      <c r="O245" s="189"/>
      <c r="P245" s="189"/>
    </row>
    <row r="246" spans="1:16" ht="21.75" customHeight="1" x14ac:dyDescent="0.35">
      <c r="A246" s="241"/>
      <c r="B246" s="242"/>
      <c r="C246" s="242"/>
      <c r="D246" s="243">
        <v>3</v>
      </c>
      <c r="E246" s="244" t="s">
        <v>55</v>
      </c>
      <c r="F246" s="245"/>
      <c r="G246" s="246"/>
      <c r="H246" s="247"/>
      <c r="I246" s="248"/>
      <c r="J246" s="249">
        <f ca="1">IFERROR(__xludf.DUMMYFUNCTION("IMPORTRANGE(""https://docs.google.com/spreadsheets/d/1IYY_tgx_IHuhSq3AJ5eI5OnqOPBNLWSHKh2a30DoXe8/edit?usp=sharing"",""ชุมพร!J166"")"),0)</f>
        <v>0</v>
      </c>
      <c r="K246" s="294"/>
      <c r="L246" s="252"/>
      <c r="M246" s="252"/>
      <c r="N246" s="252"/>
      <c r="O246" s="252"/>
      <c r="P246" s="252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IFERROR(__xludf.DUMMYFUNCTION("IMPORTRANGE(""https://docs.google.com/spreadsheets/d/1IYY_tgx_IHuhSq3AJ5eI5OnqOPBNLWSHKh2a30DoXe8/edit?usp=sharing"",""ชุมพร!I169"")"),20)</f>
        <v>20</v>
      </c>
      <c r="J249" s="322">
        <f ca="1">IFERROR(__xludf.DUMMYFUNCTION("IMPORTRANGE(""https://docs.google.com/spreadsheets/d/1IYY_tgx_IHuhSq3AJ5eI5OnqOPBNLWSHKh2a30DoXe8/edit?usp=sharing"",""ชุมพร!J169"")"),20)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52" t="s">
        <v>17</v>
      </c>
      <c r="E250" s="543"/>
      <c r="F250" s="543"/>
      <c r="G250" s="543"/>
      <c r="H250" s="153" t="s">
        <v>12</v>
      </c>
      <c r="I250" s="168"/>
      <c r="J250" s="168"/>
      <c r="K250" s="169"/>
      <c r="L250" s="156">
        <f t="shared" ref="L250:N250" ca="1" si="77">L251+L252</f>
        <v>71400</v>
      </c>
      <c r="M250" s="156">
        <f t="shared" ca="1" si="77"/>
        <v>37000</v>
      </c>
      <c r="N250" s="156">
        <f t="shared" ca="1" si="77"/>
        <v>10120</v>
      </c>
      <c r="O250" s="155">
        <f t="shared" ref="O250:O252" ca="1" si="78">IF(L250&gt;0,N250*100/L250,0)</f>
        <v>14.173669467787114</v>
      </c>
      <c r="P250" s="155">
        <f t="shared" ref="P250:P252" ca="1" si="79">IF(M250&gt;0,N250*100/M250,0)</f>
        <v>27.351351351351351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8"/>
      <c r="J251" s="168"/>
      <c r="K251" s="169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8"/>
      <c r="J252" s="168"/>
      <c r="K252" s="169"/>
      <c r="L252" s="161">
        <f t="shared" ref="L252:N252" ca="1" si="81">L254+L258</f>
        <v>71400</v>
      </c>
      <c r="M252" s="161">
        <f t="shared" ca="1" si="81"/>
        <v>37000</v>
      </c>
      <c r="N252" s="161">
        <f t="shared" ca="1" si="81"/>
        <v>10120</v>
      </c>
      <c r="O252" s="160">
        <f t="shared" ca="1" si="78"/>
        <v>14.173669467787114</v>
      </c>
      <c r="P252" s="160">
        <f t="shared" ca="1" si="79"/>
        <v>27.351351351351351</v>
      </c>
    </row>
    <row r="253" spans="1:16" ht="21.75" customHeight="1" x14ac:dyDescent="0.35">
      <c r="A253" s="162"/>
      <c r="B253" s="163"/>
      <c r="C253" s="163" t="s">
        <v>16</v>
      </c>
      <c r="D253" s="164" t="s">
        <v>38</v>
      </c>
      <c r="E253" s="165"/>
      <c r="F253" s="165"/>
      <c r="G253" s="166" t="s">
        <v>39</v>
      </c>
      <c r="H253" s="167" t="s">
        <v>12</v>
      </c>
      <c r="I253" s="168" t="s">
        <v>40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 x14ac:dyDescent="0.35">
      <c r="A254" s="162"/>
      <c r="B254" s="163"/>
      <c r="C254" s="163"/>
      <c r="D254" s="172"/>
      <c r="E254" s="165"/>
      <c r="F254" s="165" t="s">
        <v>40</v>
      </c>
      <c r="G254" s="166" t="s">
        <v>41</v>
      </c>
      <c r="H254" s="167" t="s">
        <v>12</v>
      </c>
      <c r="I254" s="168"/>
      <c r="J254" s="168"/>
      <c r="K254" s="169"/>
      <c r="L254" s="173">
        <f ca="1">L255+L256</f>
        <v>71400</v>
      </c>
      <c r="M254" s="174">
        <f ca="1">IFERROR(__xludf.DUMMYFUNCTION("IMPORTRANGE(""https://docs.google.com/spreadsheets/d/1Yj_ptqi66GCucihVvJfMjLAmec39IyEx_6qawtMGysU/edit?usp=sharing"",""สบก!CB82"")"),37000)</f>
        <v>37000</v>
      </c>
      <c r="N254" s="175">
        <f ca="1">IFERROR(__xludf.DUMMYFUNCTION("IMPORTRANGE(""https://docs.google.com/spreadsheets/d/1Yj_ptqi66GCucihVvJfMjLAmec39IyEx_6qawtMGysU/edit?usp=sharing"",""สบก!CC82"")"),10120)</f>
        <v>10120</v>
      </c>
      <c r="O254" s="176">
        <f ca="1">IF(L254&gt;0,N254*100/L254,0)</f>
        <v>14.173669467787114</v>
      </c>
      <c r="P254" s="176">
        <f ca="1">IF(M254&gt;0,N254*100/M254,0)</f>
        <v>27.351351351351351</v>
      </c>
    </row>
    <row r="255" spans="1:16" ht="21.75" customHeight="1" x14ac:dyDescent="0.35">
      <c r="A255" s="162"/>
      <c r="B255" s="163"/>
      <c r="C255" s="163"/>
      <c r="D255" s="172"/>
      <c r="E255" s="165"/>
      <c r="F255" s="165"/>
      <c r="G255" s="177" t="s">
        <v>42</v>
      </c>
      <c r="H255" s="167" t="s">
        <v>12</v>
      </c>
      <c r="I255" s="168"/>
      <c r="J255" s="168"/>
      <c r="K255" s="169"/>
      <c r="L255" s="174">
        <f ca="1">IFERROR(__xludf.DUMMYFUNCTION("IMPORTRANGE(""https://docs.google.com/spreadsheets/d/1Yj_ptqi66GCucihVvJfMjLAmec39IyEx_6qawtMGysU/edit?usp=sharing"",""สบก!BX82"")"),0)</f>
        <v>0</v>
      </c>
      <c r="M255" s="173"/>
      <c r="N255" s="173"/>
      <c r="O255" s="176"/>
      <c r="P255" s="176"/>
    </row>
    <row r="256" spans="1:16" ht="21.75" customHeight="1" x14ac:dyDescent="0.35">
      <c r="A256" s="162"/>
      <c r="B256" s="163"/>
      <c r="C256" s="163"/>
      <c r="D256" s="172"/>
      <c r="E256" s="165"/>
      <c r="F256" s="165"/>
      <c r="G256" s="177" t="s">
        <v>43</v>
      </c>
      <c r="H256" s="167" t="s">
        <v>12</v>
      </c>
      <c r="I256" s="168"/>
      <c r="J256" s="168"/>
      <c r="K256" s="169"/>
      <c r="L256" s="174">
        <f ca="1">IFERROR(__xludf.DUMMYFUNCTION("IMPORTRANGE(""https://docs.google.com/spreadsheets/d/1Yj_ptqi66GCucihVvJfMjLAmec39IyEx_6qawtMGysU/edit?usp=sharing"",""สบก!BY82"")"),71400)</f>
        <v>71400</v>
      </c>
      <c r="M256" s="173"/>
      <c r="N256" s="173"/>
      <c r="O256" s="176"/>
      <c r="P256" s="176"/>
    </row>
    <row r="257" spans="1:16" ht="21.75" customHeight="1" x14ac:dyDescent="0.45">
      <c r="A257" s="178"/>
      <c r="B257" s="81"/>
      <c r="C257" s="82" t="s">
        <v>16</v>
      </c>
      <c r="D257" s="549" t="s">
        <v>23</v>
      </c>
      <c r="E257" s="545"/>
      <c r="F257" s="89"/>
      <c r="G257" s="83" t="s">
        <v>18</v>
      </c>
      <c r="H257" s="179" t="s">
        <v>12</v>
      </c>
      <c r="I257" s="168"/>
      <c r="J257" s="168"/>
      <c r="K257" s="169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80"/>
      <c r="B258" s="95"/>
      <c r="C258" s="95"/>
      <c r="D258" s="181"/>
      <c r="E258" s="96"/>
      <c r="F258" s="96"/>
      <c r="G258" s="97" t="s">
        <v>19</v>
      </c>
      <c r="H258" s="182" t="s">
        <v>12</v>
      </c>
      <c r="I258" s="168"/>
      <c r="J258" s="168"/>
      <c r="K258" s="169"/>
      <c r="L258" s="91">
        <f ca="1">IFERROR(__xludf.DUMMYFUNCTION("IMPORTRANGE(""https://docs.google.com/spreadsheets/d/1Yj_ptqi66GCucihVvJfMjLAmec39IyEx_6qawtMGysU/edit?usp=sharing"",""สบก!BZ82"")"),0)</f>
        <v>0</v>
      </c>
      <c r="M258" s="101"/>
      <c r="N258" s="91">
        <f ca="1">IFERROR(__xludf.DUMMYFUNCTION("IMPORTRANGE(""https://docs.google.com/spreadsheets/d/1Yj_ptqi66GCucihVvJfMjLAmec39IyEx_6qawtMGysU/edit?usp=sharing"",""สบก!CD82"")"),0)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3"/>
      <c r="B259" s="184"/>
      <c r="C259" s="163" t="s">
        <v>16</v>
      </c>
      <c r="D259" s="185" t="s">
        <v>44</v>
      </c>
      <c r="E259" s="186"/>
      <c r="F259" s="186"/>
      <c r="G259" s="187"/>
      <c r="H259" s="188"/>
      <c r="I259" s="168"/>
      <c r="J259" s="168"/>
      <c r="K259" s="169"/>
      <c r="L259" s="189"/>
      <c r="M259" s="189"/>
      <c r="N259" s="189"/>
      <c r="O259" s="189"/>
      <c r="P259" s="189"/>
    </row>
    <row r="260" spans="1:16" ht="21.75" customHeight="1" x14ac:dyDescent="0.35">
      <c r="A260" s="183"/>
      <c r="B260" s="184"/>
      <c r="C260" s="184"/>
      <c r="D260" s="190">
        <v>1</v>
      </c>
      <c r="E260" s="191" t="s">
        <v>45</v>
      </c>
      <c r="F260" s="192"/>
      <c r="G260" s="193"/>
      <c r="H260" s="194"/>
      <c r="I260" s="195"/>
      <c r="J260" s="196">
        <f ca="1">IFERROR(__xludf.DUMMYFUNCTION("IMPORTRANGE(""https://docs.google.com/spreadsheets/d/1IYY_tgx_IHuhSq3AJ5eI5OnqOPBNLWSHKh2a30DoXe8/edit?usp=sharing"",""ชุมพร!J175"")"),0)</f>
        <v>0</v>
      </c>
      <c r="K260" s="169"/>
      <c r="L260" s="189"/>
      <c r="M260" s="189"/>
      <c r="N260" s="189"/>
      <c r="O260" s="189"/>
      <c r="P260" s="189"/>
    </row>
    <row r="261" spans="1:16" ht="21.75" customHeight="1" x14ac:dyDescent="0.35">
      <c r="A261" s="183"/>
      <c r="B261" s="184"/>
      <c r="C261" s="184"/>
      <c r="D261" s="197">
        <v>2</v>
      </c>
      <c r="E261" s="198" t="s">
        <v>46</v>
      </c>
      <c r="F261" s="199"/>
      <c r="G261" s="200"/>
      <c r="H261" s="194"/>
      <c r="I261" s="195"/>
      <c r="J261" s="205">
        <f ca="1">IFERROR(__xludf.DUMMYFUNCTION("IMPORTRANGE(""https://docs.google.com/spreadsheets/d/1IYY_tgx_IHuhSq3AJ5eI5OnqOPBNLWSHKh2a30DoXe8/edit?usp=sharing"",""ชุมพร!J176"")"),1)</f>
        <v>1</v>
      </c>
      <c r="K261" s="169"/>
      <c r="L261" s="189" t="s">
        <v>40</v>
      </c>
      <c r="M261" s="189"/>
      <c r="N261" s="189" t="s">
        <v>40</v>
      </c>
      <c r="O261" s="189"/>
      <c r="P261" s="189"/>
    </row>
    <row r="262" spans="1:16" ht="21.75" customHeight="1" x14ac:dyDescent="0.35">
      <c r="A262" s="183"/>
      <c r="B262" s="184"/>
      <c r="C262" s="184"/>
      <c r="D262" s="201"/>
      <c r="E262" s="202" t="s">
        <v>47</v>
      </c>
      <c r="F262" s="203"/>
      <c r="G262" s="204"/>
      <c r="H262" s="194"/>
      <c r="I262" s="195"/>
      <c r="J262" s="205">
        <f ca="1">IFERROR(__xludf.DUMMYFUNCTION("IMPORTRANGE(""https://docs.google.com/spreadsheets/d/1IYY_tgx_IHuhSq3AJ5eI5OnqOPBNLWSHKh2a30DoXe8/edit?usp=sharing"",""ชุมพร!J177"")"),1)</f>
        <v>1</v>
      </c>
      <c r="K262" s="169"/>
      <c r="L262" s="189"/>
      <c r="M262" s="189"/>
      <c r="N262" s="189"/>
      <c r="O262" s="189"/>
      <c r="P262" s="189"/>
    </row>
    <row r="263" spans="1:16" ht="21.75" customHeight="1" x14ac:dyDescent="0.35">
      <c r="A263" s="183"/>
      <c r="B263" s="184"/>
      <c r="C263" s="184"/>
      <c r="D263" s="201"/>
      <c r="E263" s="202" t="s">
        <v>48</v>
      </c>
      <c r="F263" s="203"/>
      <c r="G263" s="204"/>
      <c r="H263" s="194"/>
      <c r="I263" s="195"/>
      <c r="J263" s="205">
        <f ca="1">IFERROR(__xludf.DUMMYFUNCTION("IMPORTRANGE(""https://docs.google.com/spreadsheets/d/1IYY_tgx_IHuhSq3AJ5eI5OnqOPBNLWSHKh2a30DoXe8/edit?usp=sharing"",""ชุมพร!J178"")"),1)</f>
        <v>1</v>
      </c>
      <c r="K263" s="169"/>
      <c r="L263" s="189"/>
      <c r="M263" s="189"/>
      <c r="N263" s="189"/>
      <c r="O263" s="189"/>
      <c r="P263" s="189"/>
    </row>
    <row r="264" spans="1:16" ht="21.75" customHeight="1" x14ac:dyDescent="0.35">
      <c r="A264" s="183"/>
      <c r="B264" s="184"/>
      <c r="C264" s="184"/>
      <c r="D264" s="201"/>
      <c r="E264" s="206"/>
      <c r="F264" s="202" t="s">
        <v>105</v>
      </c>
      <c r="G264" s="204"/>
      <c r="H264" s="188" t="s">
        <v>59</v>
      </c>
      <c r="I264" s="195">
        <f ca="1">IFERROR(__xludf.DUMMYFUNCTION("IMPORTRANGE(""https://docs.google.com/spreadsheets/d/1IYY_tgx_IHuhSq3AJ5eI5OnqOPBNLWSHKh2a30DoXe8/edit?usp=sharing"",""ชุมพร!I179"")"),1)</f>
        <v>1</v>
      </c>
      <c r="J264" s="196">
        <f ca="1">IFERROR(__xludf.DUMMYFUNCTION("IMPORTRANGE(""https://docs.google.com/spreadsheets/d/1IYY_tgx_IHuhSq3AJ5eI5OnqOPBNLWSHKh2a30DoXe8/edit?usp=sharing"",""ชุมพร!J179"")"),0)</f>
        <v>0</v>
      </c>
      <c r="K264" s="169">
        <f t="shared" ref="K264:K267" ca="1" si="82">IF(I264&gt;0,J264*100/I264,0)</f>
        <v>0</v>
      </c>
      <c r="L264" s="189"/>
      <c r="M264" s="189"/>
      <c r="N264" s="189"/>
      <c r="O264" s="189"/>
      <c r="P264" s="189"/>
    </row>
    <row r="265" spans="1:16" ht="21.75" customHeight="1" x14ac:dyDescent="0.35">
      <c r="A265" s="183"/>
      <c r="B265" s="184"/>
      <c r="C265" s="184"/>
      <c r="D265" s="201"/>
      <c r="E265" s="206"/>
      <c r="F265" s="202" t="s">
        <v>106</v>
      </c>
      <c r="G265" s="204"/>
      <c r="H265" s="188" t="s">
        <v>37</v>
      </c>
      <c r="I265" s="195">
        <f ca="1">IFERROR(__xludf.DUMMYFUNCTION("IMPORTRANGE(""https://docs.google.com/spreadsheets/d/1IYY_tgx_IHuhSq3AJ5eI5OnqOPBNLWSHKh2a30DoXe8/edit?usp=sharing"",""ชุมพร!I180"")"),20)</f>
        <v>20</v>
      </c>
      <c r="J265" s="196">
        <f ca="1">IFERROR(__xludf.DUMMYFUNCTION("IMPORTRANGE(""https://docs.google.com/spreadsheets/d/1IYY_tgx_IHuhSq3AJ5eI5OnqOPBNLWSHKh2a30DoXe8/edit?usp=sharing"",""ชุมพร!J180"")"),20)</f>
        <v>20</v>
      </c>
      <c r="K265" s="169">
        <f t="shared" ca="1" si="82"/>
        <v>100</v>
      </c>
      <c r="L265" s="189"/>
      <c r="M265" s="189"/>
      <c r="N265" s="189"/>
      <c r="O265" s="189"/>
      <c r="P265" s="189"/>
    </row>
    <row r="266" spans="1:16" ht="21.75" customHeight="1" x14ac:dyDescent="0.35">
      <c r="A266" s="183"/>
      <c r="B266" s="184"/>
      <c r="C266" s="184"/>
      <c r="D266" s="201"/>
      <c r="E266" s="206"/>
      <c r="F266" s="202" t="s">
        <v>107</v>
      </c>
      <c r="G266" s="204"/>
      <c r="H266" s="188" t="s">
        <v>37</v>
      </c>
      <c r="I266" s="195">
        <f ca="1">IFERROR(__xludf.DUMMYFUNCTION("IMPORTRANGE(""https://docs.google.com/spreadsheets/d/1IYY_tgx_IHuhSq3AJ5eI5OnqOPBNLWSHKh2a30DoXe8/edit?usp=sharing"",""ชุมพร!I181"")"),20)</f>
        <v>20</v>
      </c>
      <c r="J266" s="196">
        <f ca="1">IFERROR(__xludf.DUMMYFUNCTION("IMPORTRANGE(""https://docs.google.com/spreadsheets/d/1IYY_tgx_IHuhSq3AJ5eI5OnqOPBNLWSHKh2a30DoXe8/edit?usp=sharing"",""ชุมพร!J181"")"),0)</f>
        <v>0</v>
      </c>
      <c r="K266" s="169">
        <f t="shared" ca="1" si="82"/>
        <v>0</v>
      </c>
      <c r="L266" s="189"/>
      <c r="M266" s="189"/>
      <c r="N266" s="189"/>
      <c r="O266" s="189"/>
      <c r="P266" s="189"/>
    </row>
    <row r="267" spans="1:16" ht="21.75" customHeight="1" x14ac:dyDescent="0.35">
      <c r="A267" s="183"/>
      <c r="B267" s="184"/>
      <c r="C267" s="184"/>
      <c r="D267" s="201"/>
      <c r="E267" s="206"/>
      <c r="F267" s="202" t="s">
        <v>108</v>
      </c>
      <c r="G267" s="204"/>
      <c r="H267" s="188" t="s">
        <v>37</v>
      </c>
      <c r="I267" s="195">
        <f ca="1">IFERROR(__xludf.DUMMYFUNCTION("IMPORTRANGE(""https://docs.google.com/spreadsheets/d/1IYY_tgx_IHuhSq3AJ5eI5OnqOPBNLWSHKh2a30DoXe8/edit?usp=sharing"",""ชุมพร!I182"")"),1)</f>
        <v>1</v>
      </c>
      <c r="J267" s="196">
        <f ca="1">IFERROR(__xludf.DUMMYFUNCTION("IMPORTRANGE(""https://docs.google.com/spreadsheets/d/1IYY_tgx_IHuhSq3AJ5eI5OnqOPBNLWSHKh2a30DoXe8/edit?usp=sharing"",""ชุมพร!J182"")"),0)</f>
        <v>0</v>
      </c>
      <c r="K267" s="169">
        <f t="shared" ca="1" si="82"/>
        <v>0</v>
      </c>
      <c r="L267" s="189"/>
      <c r="M267" s="189"/>
      <c r="N267" s="189"/>
      <c r="O267" s="189"/>
      <c r="P267" s="189"/>
    </row>
    <row r="268" spans="1:16" ht="21.75" customHeight="1" x14ac:dyDescent="0.35">
      <c r="A268" s="183"/>
      <c r="B268" s="184"/>
      <c r="C268" s="184"/>
      <c r="D268" s="201"/>
      <c r="E268" s="202" t="s">
        <v>54</v>
      </c>
      <c r="F268" s="203"/>
      <c r="G268" s="204"/>
      <c r="H268" s="194"/>
      <c r="I268" s="195"/>
      <c r="J268" s="205">
        <f ca="1">IFERROR(__xludf.DUMMYFUNCTION("IMPORTRANGE(""https://docs.google.com/spreadsheets/d/1IYY_tgx_IHuhSq3AJ5eI5OnqOPBNLWSHKh2a30DoXe8/edit?usp=sharing"",""ชุมพร!J183"")"),0)</f>
        <v>0</v>
      </c>
      <c r="K268" s="169"/>
      <c r="L268" s="189"/>
      <c r="M268" s="189"/>
      <c r="N268" s="189"/>
      <c r="O268" s="189"/>
      <c r="P268" s="189"/>
    </row>
    <row r="269" spans="1:16" ht="21.75" customHeight="1" x14ac:dyDescent="0.35">
      <c r="A269" s="241"/>
      <c r="B269" s="242"/>
      <c r="C269" s="242"/>
      <c r="D269" s="243">
        <v>3</v>
      </c>
      <c r="E269" s="244" t="s">
        <v>55</v>
      </c>
      <c r="F269" s="245"/>
      <c r="G269" s="246"/>
      <c r="H269" s="247"/>
      <c r="I269" s="248"/>
      <c r="J269" s="293">
        <f ca="1">IFERROR(__xludf.DUMMYFUNCTION("IMPORTRANGE(""https://docs.google.com/spreadsheets/d/1IYY_tgx_IHuhSq3AJ5eI5OnqOPBNLWSHKh2a30DoXe8/edit?usp=sharing"",""ชุมพร!J184"")"),0)</f>
        <v>0</v>
      </c>
      <c r="K269" s="294"/>
      <c r="L269" s="252"/>
      <c r="M269" s="252"/>
      <c r="N269" s="252"/>
      <c r="O269" s="252"/>
      <c r="P269" s="252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IFERROR(__xludf.DUMMYFUNCTION("IMPORTRANGE(""https://docs.google.com/spreadsheets/d/1IYY_tgx_IHuhSq3AJ5eI5OnqOPBNLWSHKh2a30DoXe8/edit?usp=sharing"",""ชุมพร!I185"")"),20)</f>
        <v>20</v>
      </c>
      <c r="J270" s="322">
        <f ca="1">IFERROR(__xludf.DUMMYFUNCTION("IMPORTRANGE(""https://docs.google.com/spreadsheets/d/1IYY_tgx_IHuhSq3AJ5eI5OnqOPBNLWSHKh2a30DoXe8/edit?usp=sharing"",""ชุมพร!J185"")"),20)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52" t="s">
        <v>17</v>
      </c>
      <c r="E271" s="543"/>
      <c r="F271" s="543"/>
      <c r="G271" s="543"/>
      <c r="H271" s="153" t="s">
        <v>12</v>
      </c>
      <c r="I271" s="168"/>
      <c r="J271" s="168"/>
      <c r="K271" s="169"/>
      <c r="L271" s="156">
        <f t="shared" ref="L271:N271" ca="1" si="83">L272+L273</f>
        <v>183600</v>
      </c>
      <c r="M271" s="156">
        <f t="shared" ca="1" si="83"/>
        <v>93000</v>
      </c>
      <c r="N271" s="156">
        <f t="shared" ca="1" si="83"/>
        <v>55879</v>
      </c>
      <c r="O271" s="155">
        <f t="shared" ref="O271:O273" ca="1" si="84">IF(L271&gt;0,N271*100/L271,0)</f>
        <v>30.435185185185187</v>
      </c>
      <c r="P271" s="155">
        <f t="shared" ref="P271:P273" ca="1" si="85">IF(M271&gt;0,N271*100/M271,0)</f>
        <v>60.084946236559141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8"/>
      <c r="J272" s="168"/>
      <c r="K272" s="169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8"/>
      <c r="J273" s="168"/>
      <c r="K273" s="169"/>
      <c r="L273" s="161">
        <f t="shared" ref="L273:N273" ca="1" si="87">L275+L279</f>
        <v>183600</v>
      </c>
      <c r="M273" s="161">
        <f t="shared" ca="1" si="87"/>
        <v>93000</v>
      </c>
      <c r="N273" s="161">
        <f t="shared" ca="1" si="87"/>
        <v>55879</v>
      </c>
      <c r="O273" s="160">
        <f t="shared" ca="1" si="84"/>
        <v>30.435185185185187</v>
      </c>
      <c r="P273" s="160">
        <f t="shared" ca="1" si="85"/>
        <v>60.084946236559141</v>
      </c>
    </row>
    <row r="274" spans="1:16" ht="21.75" customHeight="1" x14ac:dyDescent="0.35">
      <c r="A274" s="162"/>
      <c r="B274" s="163"/>
      <c r="C274" s="163" t="s">
        <v>16</v>
      </c>
      <c r="D274" s="164" t="s">
        <v>38</v>
      </c>
      <c r="E274" s="165"/>
      <c r="F274" s="165"/>
      <c r="G274" s="166" t="s">
        <v>39</v>
      </c>
      <c r="H274" s="167" t="s">
        <v>12</v>
      </c>
      <c r="I274" s="168" t="s">
        <v>40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 x14ac:dyDescent="0.35">
      <c r="A275" s="162"/>
      <c r="B275" s="163"/>
      <c r="C275" s="163"/>
      <c r="D275" s="172"/>
      <c r="E275" s="165"/>
      <c r="F275" s="165" t="s">
        <v>40</v>
      </c>
      <c r="G275" s="166" t="s">
        <v>41</v>
      </c>
      <c r="H275" s="167" t="s">
        <v>12</v>
      </c>
      <c r="I275" s="168"/>
      <c r="J275" s="168"/>
      <c r="K275" s="169"/>
      <c r="L275" s="173">
        <f ca="1">L276+L277</f>
        <v>183600</v>
      </c>
      <c r="M275" s="174">
        <f ca="1">IFERROR(__xludf.DUMMYFUNCTION("IMPORTRANGE(""https://docs.google.com/spreadsheets/d/1Yj_ptqi66GCucihVvJfMjLAmec39IyEx_6qawtMGysU/edit?usp=sharing"",""สบก!CK82"")"),93000)</f>
        <v>93000</v>
      </c>
      <c r="N275" s="175">
        <f ca="1">IFERROR(__xludf.DUMMYFUNCTION("IMPORTRANGE(""https://docs.google.com/spreadsheets/d/1Yj_ptqi66GCucihVvJfMjLAmec39IyEx_6qawtMGysU/edit?usp=sharing"",""สบก!CL82"")"),55879)</f>
        <v>55879</v>
      </c>
      <c r="O275" s="176">
        <f ca="1">IF(L275&gt;0,N275*100/L275,0)</f>
        <v>30.435185185185187</v>
      </c>
      <c r="P275" s="176">
        <f ca="1">IF(M275&gt;0,N275*100/M275,0)</f>
        <v>60.084946236559141</v>
      </c>
    </row>
    <row r="276" spans="1:16" ht="21.75" customHeight="1" x14ac:dyDescent="0.35">
      <c r="A276" s="162"/>
      <c r="B276" s="163"/>
      <c r="C276" s="163"/>
      <c r="D276" s="172"/>
      <c r="E276" s="165"/>
      <c r="F276" s="165"/>
      <c r="G276" s="177" t="s">
        <v>42</v>
      </c>
      <c r="H276" s="167" t="s">
        <v>12</v>
      </c>
      <c r="I276" s="168"/>
      <c r="J276" s="168"/>
      <c r="K276" s="169"/>
      <c r="L276" s="174">
        <f ca="1">IFERROR(__xludf.DUMMYFUNCTION("IMPORTRANGE(""https://docs.google.com/spreadsheets/d/1Yj_ptqi66GCucihVvJfMjLAmec39IyEx_6qawtMGysU/edit?usp=sharing"",""สบก!CG82"")"),0)</f>
        <v>0</v>
      </c>
      <c r="M276" s="173"/>
      <c r="N276" s="173"/>
      <c r="O276" s="176"/>
      <c r="P276" s="176"/>
    </row>
    <row r="277" spans="1:16" ht="21.75" customHeight="1" x14ac:dyDescent="0.35">
      <c r="A277" s="162"/>
      <c r="B277" s="163"/>
      <c r="C277" s="163"/>
      <c r="D277" s="172"/>
      <c r="E277" s="165"/>
      <c r="F277" s="165"/>
      <c r="G277" s="177" t="s">
        <v>43</v>
      </c>
      <c r="H277" s="167" t="s">
        <v>12</v>
      </c>
      <c r="I277" s="168"/>
      <c r="J277" s="168"/>
      <c r="K277" s="169"/>
      <c r="L277" s="174">
        <f ca="1">IFERROR(__xludf.DUMMYFUNCTION("IMPORTRANGE(""https://docs.google.com/spreadsheets/d/1Yj_ptqi66GCucihVvJfMjLAmec39IyEx_6qawtMGysU/edit?usp=sharing"",""สบก!CH82"")"),183600)</f>
        <v>183600</v>
      </c>
      <c r="M277" s="173"/>
      <c r="N277" s="173"/>
      <c r="O277" s="176"/>
      <c r="P277" s="176"/>
    </row>
    <row r="278" spans="1:16" ht="21.75" customHeight="1" x14ac:dyDescent="0.45">
      <c r="A278" s="178"/>
      <c r="B278" s="81"/>
      <c r="C278" s="82" t="s">
        <v>16</v>
      </c>
      <c r="D278" s="549" t="s">
        <v>23</v>
      </c>
      <c r="E278" s="545"/>
      <c r="F278" s="89"/>
      <c r="G278" s="83" t="s">
        <v>18</v>
      </c>
      <c r="H278" s="179" t="s">
        <v>12</v>
      </c>
      <c r="I278" s="168"/>
      <c r="J278" s="168"/>
      <c r="K278" s="169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80"/>
      <c r="B279" s="95"/>
      <c r="C279" s="95"/>
      <c r="D279" s="181"/>
      <c r="E279" s="96"/>
      <c r="F279" s="96"/>
      <c r="G279" s="97" t="s">
        <v>19</v>
      </c>
      <c r="H279" s="182" t="s">
        <v>12</v>
      </c>
      <c r="I279" s="168"/>
      <c r="J279" s="168"/>
      <c r="K279" s="169"/>
      <c r="L279" s="91">
        <f ca="1">IFERROR(__xludf.DUMMYFUNCTION("IMPORTRANGE(""https://docs.google.com/spreadsheets/d/1Yj_ptqi66GCucihVvJfMjLAmec39IyEx_6qawtMGysU/edit?usp=sharing"",""สบก!CI82"")"),0)</f>
        <v>0</v>
      </c>
      <c r="M279" s="101"/>
      <c r="N279" s="91">
        <f ca="1">IFERROR(__xludf.DUMMYFUNCTION("IMPORTRANGE(""https://docs.google.com/spreadsheets/d/1Yj_ptqi66GCucihVvJfMjLAmec39IyEx_6qawtMGysU/edit?usp=sharing"",""สบก!CM82"")"),0)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3"/>
      <c r="B280" s="184"/>
      <c r="C280" s="163" t="s">
        <v>16</v>
      </c>
      <c r="D280" s="185" t="s">
        <v>44</v>
      </c>
      <c r="E280" s="186"/>
      <c r="F280" s="186"/>
      <c r="G280" s="187"/>
      <c r="H280" s="188"/>
      <c r="I280" s="168"/>
      <c r="J280" s="168"/>
      <c r="K280" s="169"/>
      <c r="L280" s="189"/>
      <c r="M280" s="189"/>
      <c r="N280" s="189"/>
      <c r="O280" s="189"/>
      <c r="P280" s="189"/>
    </row>
    <row r="281" spans="1:16" ht="21.75" customHeight="1" x14ac:dyDescent="0.35">
      <c r="A281" s="183"/>
      <c r="B281" s="184"/>
      <c r="C281" s="184"/>
      <c r="D281" s="190">
        <v>1</v>
      </c>
      <c r="E281" s="191" t="s">
        <v>45</v>
      </c>
      <c r="F281" s="192"/>
      <c r="G281" s="193"/>
      <c r="H281" s="194"/>
      <c r="I281" s="195"/>
      <c r="J281" s="196">
        <f ca="1">IFERROR(__xludf.DUMMYFUNCTION("IMPORTRANGE(""https://docs.google.com/spreadsheets/d/1IYY_tgx_IHuhSq3AJ5eI5OnqOPBNLWSHKh2a30DoXe8/edit?usp=sharing"",""ชุมพร!J191"")"),0)</f>
        <v>0</v>
      </c>
      <c r="K281" s="169"/>
      <c r="L281" s="189"/>
      <c r="M281" s="189"/>
      <c r="N281" s="189"/>
      <c r="O281" s="189"/>
      <c r="P281" s="189"/>
    </row>
    <row r="282" spans="1:16" ht="21.75" customHeight="1" x14ac:dyDescent="0.35">
      <c r="A282" s="183"/>
      <c r="B282" s="184"/>
      <c r="C282" s="184"/>
      <c r="D282" s="197">
        <v>2</v>
      </c>
      <c r="E282" s="198" t="s">
        <v>46</v>
      </c>
      <c r="F282" s="199"/>
      <c r="G282" s="200"/>
      <c r="H282" s="194"/>
      <c r="I282" s="195"/>
      <c r="J282" s="205">
        <f ca="1">IFERROR(__xludf.DUMMYFUNCTION("IMPORTRANGE(""https://docs.google.com/spreadsheets/d/1IYY_tgx_IHuhSq3AJ5eI5OnqOPBNLWSHKh2a30DoXe8/edit?usp=sharing"",""ชุมพร!J192"")"),1)</f>
        <v>1</v>
      </c>
      <c r="K282" s="169"/>
      <c r="L282" s="189"/>
      <c r="M282" s="189"/>
      <c r="N282" s="189"/>
      <c r="O282" s="189"/>
      <c r="P282" s="189"/>
    </row>
    <row r="283" spans="1:16" ht="21.75" customHeight="1" x14ac:dyDescent="0.35">
      <c r="A283" s="183"/>
      <c r="B283" s="184"/>
      <c r="C283" s="184"/>
      <c r="D283" s="201"/>
      <c r="E283" s="202" t="s">
        <v>47</v>
      </c>
      <c r="F283" s="203"/>
      <c r="G283" s="204"/>
      <c r="H283" s="194"/>
      <c r="I283" s="195"/>
      <c r="J283" s="205">
        <f ca="1">IFERROR(__xludf.DUMMYFUNCTION("IMPORTRANGE(""https://docs.google.com/spreadsheets/d/1IYY_tgx_IHuhSq3AJ5eI5OnqOPBNLWSHKh2a30DoXe8/edit?usp=sharing"",""ชุมพร!J193"")"),1)</f>
        <v>1</v>
      </c>
      <c r="K283" s="169"/>
      <c r="L283" s="189"/>
      <c r="M283" s="189"/>
      <c r="N283" s="189"/>
      <c r="O283" s="189"/>
      <c r="P283" s="189"/>
    </row>
    <row r="284" spans="1:16" ht="21.75" customHeight="1" x14ac:dyDescent="0.35">
      <c r="A284" s="183"/>
      <c r="B284" s="184"/>
      <c r="C284" s="184"/>
      <c r="D284" s="201"/>
      <c r="E284" s="202" t="s">
        <v>48</v>
      </c>
      <c r="F284" s="203"/>
      <c r="G284" s="204"/>
      <c r="H284" s="194"/>
      <c r="I284" s="195"/>
      <c r="J284" s="205">
        <f ca="1">IFERROR(__xludf.DUMMYFUNCTION("IMPORTRANGE(""https://docs.google.com/spreadsheets/d/1IYY_tgx_IHuhSq3AJ5eI5OnqOPBNLWSHKh2a30DoXe8/edit?usp=sharing"",""ชุมพร!J194"")"),1)</f>
        <v>1</v>
      </c>
      <c r="K284" s="169"/>
      <c r="L284" s="189"/>
      <c r="M284" s="189"/>
      <c r="N284" s="189"/>
      <c r="O284" s="189"/>
      <c r="P284" s="189"/>
    </row>
    <row r="285" spans="1:16" ht="21.75" customHeight="1" x14ac:dyDescent="0.35">
      <c r="A285" s="183"/>
      <c r="B285" s="184"/>
      <c r="C285" s="184"/>
      <c r="D285" s="201"/>
      <c r="E285" s="203"/>
      <c r="F285" s="202" t="s">
        <v>110</v>
      </c>
      <c r="G285" s="204"/>
      <c r="H285" s="194" t="s">
        <v>37</v>
      </c>
      <c r="I285" s="195">
        <f ca="1">IFERROR(__xludf.DUMMYFUNCTION("IMPORTRANGE(""https://docs.google.com/spreadsheets/d/1IYY_tgx_IHuhSq3AJ5eI5OnqOPBNLWSHKh2a30DoXe8/edit?usp=sharing"",""ชุมพร!I195"")"),20)</f>
        <v>20</v>
      </c>
      <c r="J285" s="196">
        <f ca="1">IFERROR(__xludf.DUMMYFUNCTION("IMPORTRANGE(""https://docs.google.com/spreadsheets/d/1IYY_tgx_IHuhSq3AJ5eI5OnqOPBNLWSHKh2a30DoXe8/edit?usp=sharing"",""ชุมพร!J195"")"),20)</f>
        <v>20</v>
      </c>
      <c r="K285" s="169">
        <f ca="1">IF(I285&gt;0,J285*100/I285,0)</f>
        <v>100</v>
      </c>
      <c r="L285" s="189"/>
      <c r="M285" s="189"/>
      <c r="N285" s="189"/>
      <c r="O285" s="189"/>
      <c r="P285" s="189"/>
    </row>
    <row r="286" spans="1:16" ht="21.75" customHeight="1" x14ac:dyDescent="0.35">
      <c r="A286" s="183"/>
      <c r="B286" s="184"/>
      <c r="C286" s="184"/>
      <c r="D286" s="201"/>
      <c r="E286" s="202" t="s">
        <v>54</v>
      </c>
      <c r="F286" s="203"/>
      <c r="G286" s="204"/>
      <c r="H286" s="194"/>
      <c r="I286" s="195"/>
      <c r="J286" s="205">
        <f ca="1">IFERROR(__xludf.DUMMYFUNCTION("IMPORTRANGE(""https://docs.google.com/spreadsheets/d/1IYY_tgx_IHuhSq3AJ5eI5OnqOPBNLWSHKh2a30DoXe8/edit?usp=sharing"",""ชุมพร!J196"")"),0)</f>
        <v>0</v>
      </c>
      <c r="K286" s="169"/>
      <c r="L286" s="189"/>
      <c r="M286" s="189"/>
      <c r="N286" s="189"/>
      <c r="O286" s="189"/>
      <c r="P286" s="189"/>
    </row>
    <row r="287" spans="1:16" ht="21.75" customHeight="1" x14ac:dyDescent="0.35">
      <c r="A287" s="183"/>
      <c r="B287" s="184"/>
      <c r="C287" s="184"/>
      <c r="D287" s="213">
        <v>3</v>
      </c>
      <c r="E287" s="214" t="s">
        <v>55</v>
      </c>
      <c r="F287" s="215"/>
      <c r="G287" s="216"/>
      <c r="H287" s="194"/>
      <c r="I287" s="195"/>
      <c r="J287" s="217">
        <f ca="1">IFERROR(__xludf.DUMMYFUNCTION("IMPORTRANGE(""https://docs.google.com/spreadsheets/d/1IYY_tgx_IHuhSq3AJ5eI5OnqOPBNLWSHKh2a30DoXe8/edit?usp=sharing"",""ชุมพร!J197"")"),0)</f>
        <v>0</v>
      </c>
      <c r="K287" s="169"/>
      <c r="L287" s="189"/>
      <c r="M287" s="189"/>
      <c r="N287" s="189"/>
      <c r="O287" s="189"/>
      <c r="P287" s="189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IFERROR(__xludf.DUMMYFUNCTION("IMPORTRANGE(""https://docs.google.com/spreadsheets/d/1IYY_tgx_IHuhSq3AJ5eI5OnqOPBNLWSHKh2a30DoXe8/edit?usp=sharing"",""ชุมพร!I199"")"),30)</f>
        <v>30</v>
      </c>
      <c r="J289" s="322">
        <f ca="1">IFERROR(__xludf.DUMMYFUNCTION("IMPORTRANGE(""https://docs.google.com/spreadsheets/d/1IYY_tgx_IHuhSq3AJ5eI5OnqOPBNLWSHKh2a30DoXe8/edit?usp=sharing"",""ชุมพร!J199"")"),30)</f>
        <v>30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52" t="s">
        <v>17</v>
      </c>
      <c r="E290" s="543"/>
      <c r="F290" s="543"/>
      <c r="G290" s="543"/>
      <c r="H290" s="153" t="s">
        <v>12</v>
      </c>
      <c r="I290" s="195"/>
      <c r="J290" s="195"/>
      <c r="K290" s="231"/>
      <c r="L290" s="156">
        <f t="shared" ref="L290:N290" ca="1" si="88">L291+L292</f>
        <v>95360</v>
      </c>
      <c r="M290" s="156">
        <f t="shared" ca="1" si="88"/>
        <v>95360</v>
      </c>
      <c r="N290" s="156">
        <f t="shared" ca="1" si="88"/>
        <v>52750</v>
      </c>
      <c r="O290" s="155">
        <f t="shared" ref="O290:O292" ca="1" si="89">IF(L290&gt;0,N290*100/L290,0)</f>
        <v>55.316694630872483</v>
      </c>
      <c r="P290" s="155">
        <f t="shared" ref="P290:P292" ca="1" si="90">IF(M290&gt;0,N290*100/M290,0)</f>
        <v>55.316694630872483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5"/>
      <c r="J291" s="195"/>
      <c r="K291" s="231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5"/>
      <c r="J292" s="195"/>
      <c r="K292" s="231"/>
      <c r="L292" s="161">
        <f t="shared" ref="L292:N292" ca="1" si="92">L294+L298</f>
        <v>95360</v>
      </c>
      <c r="M292" s="161">
        <f t="shared" ca="1" si="92"/>
        <v>95360</v>
      </c>
      <c r="N292" s="161">
        <f t="shared" ca="1" si="92"/>
        <v>52750</v>
      </c>
      <c r="O292" s="160">
        <f t="shared" ca="1" si="89"/>
        <v>55.316694630872483</v>
      </c>
      <c r="P292" s="160">
        <f t="shared" ca="1" si="90"/>
        <v>55.316694630872483</v>
      </c>
    </row>
    <row r="293" spans="1:16" ht="21.75" customHeight="1" x14ac:dyDescent="0.35">
      <c r="A293" s="162"/>
      <c r="B293" s="163"/>
      <c r="C293" s="163" t="s">
        <v>16</v>
      </c>
      <c r="D293" s="164" t="s">
        <v>38</v>
      </c>
      <c r="E293" s="165"/>
      <c r="F293" s="165"/>
      <c r="G293" s="166" t="s">
        <v>39</v>
      </c>
      <c r="H293" s="167" t="s">
        <v>12</v>
      </c>
      <c r="I293" s="195" t="s">
        <v>40</v>
      </c>
      <c r="J293" s="195"/>
      <c r="K293" s="231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 x14ac:dyDescent="0.35">
      <c r="A294" s="162"/>
      <c r="B294" s="163"/>
      <c r="C294" s="163"/>
      <c r="D294" s="172"/>
      <c r="E294" s="165"/>
      <c r="F294" s="165" t="s">
        <v>40</v>
      </c>
      <c r="G294" s="166" t="s">
        <v>41</v>
      </c>
      <c r="H294" s="167" t="s">
        <v>12</v>
      </c>
      <c r="I294" s="195"/>
      <c r="J294" s="195"/>
      <c r="K294" s="231"/>
      <c r="L294" s="173">
        <f ca="1">L295+L296</f>
        <v>95360</v>
      </c>
      <c r="M294" s="174">
        <f ca="1">IFERROR(__xludf.DUMMYFUNCTION("IMPORTRANGE(""https://docs.google.com/spreadsheets/d/1Yj_ptqi66GCucihVvJfMjLAmec39IyEx_6qawtMGysU/edit?usp=sharing"",""สบก!CT82"")"),95360)</f>
        <v>95360</v>
      </c>
      <c r="N294" s="175">
        <f ca="1">IFERROR(__xludf.DUMMYFUNCTION("IMPORTRANGE(""https://docs.google.com/spreadsheets/d/1Yj_ptqi66GCucihVvJfMjLAmec39IyEx_6qawtMGysU/edit?usp=sharing"",""สบก!CU82"")"),52750)</f>
        <v>52750</v>
      </c>
      <c r="O294" s="176">
        <f ca="1">IF(L294&gt;0,N294*100/L294,0)</f>
        <v>55.316694630872483</v>
      </c>
      <c r="P294" s="176">
        <f ca="1">IF(M294&gt;0,N294*100/M294,0)</f>
        <v>55.316694630872483</v>
      </c>
    </row>
    <row r="295" spans="1:16" ht="21.75" customHeight="1" x14ac:dyDescent="0.35">
      <c r="A295" s="162"/>
      <c r="B295" s="163"/>
      <c r="C295" s="163"/>
      <c r="D295" s="172"/>
      <c r="E295" s="165"/>
      <c r="F295" s="165"/>
      <c r="G295" s="177" t="s">
        <v>42</v>
      </c>
      <c r="H295" s="167" t="s">
        <v>12</v>
      </c>
      <c r="I295" s="195"/>
      <c r="J295" s="195"/>
      <c r="K295" s="231"/>
      <c r="L295" s="174">
        <f ca="1">IFERROR(__xludf.DUMMYFUNCTION("IMPORTRANGE(""https://docs.google.com/spreadsheets/d/1Yj_ptqi66GCucihVvJfMjLAmec39IyEx_6qawtMGysU/edit?usp=sharing"",""สบก!CP82"")"),0)</f>
        <v>0</v>
      </c>
      <c r="M295" s="173"/>
      <c r="N295" s="173"/>
      <c r="O295" s="176"/>
      <c r="P295" s="176"/>
    </row>
    <row r="296" spans="1:16" ht="21.75" customHeight="1" x14ac:dyDescent="0.35">
      <c r="A296" s="162"/>
      <c r="B296" s="163"/>
      <c r="C296" s="163"/>
      <c r="D296" s="172"/>
      <c r="E296" s="165"/>
      <c r="F296" s="165"/>
      <c r="G296" s="177" t="s">
        <v>43</v>
      </c>
      <c r="H296" s="167" t="s">
        <v>12</v>
      </c>
      <c r="I296" s="195"/>
      <c r="J296" s="195"/>
      <c r="K296" s="231"/>
      <c r="L296" s="174">
        <f ca="1">IFERROR(__xludf.DUMMYFUNCTION("IMPORTRANGE(""https://docs.google.com/spreadsheets/d/1Yj_ptqi66GCucihVvJfMjLAmec39IyEx_6qawtMGysU/edit?usp=sharing"",""สบก!CQ82"")"),95360)</f>
        <v>95360</v>
      </c>
      <c r="M296" s="173"/>
      <c r="N296" s="173"/>
      <c r="O296" s="176"/>
      <c r="P296" s="176"/>
    </row>
    <row r="297" spans="1:16" ht="21.75" customHeight="1" x14ac:dyDescent="0.45">
      <c r="A297" s="178"/>
      <c r="B297" s="81"/>
      <c r="C297" s="82" t="s">
        <v>16</v>
      </c>
      <c r="D297" s="549" t="s">
        <v>23</v>
      </c>
      <c r="E297" s="545"/>
      <c r="F297" s="89"/>
      <c r="G297" s="83" t="s">
        <v>18</v>
      </c>
      <c r="H297" s="179" t="s">
        <v>12</v>
      </c>
      <c r="I297" s="195"/>
      <c r="J297" s="195"/>
      <c r="K297" s="231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80"/>
      <c r="B298" s="95"/>
      <c r="C298" s="95"/>
      <c r="D298" s="181"/>
      <c r="E298" s="96"/>
      <c r="F298" s="96"/>
      <c r="G298" s="97" t="s">
        <v>19</v>
      </c>
      <c r="H298" s="182" t="s">
        <v>12</v>
      </c>
      <c r="I298" s="195"/>
      <c r="J298" s="195"/>
      <c r="K298" s="231"/>
      <c r="L298" s="91">
        <f ca="1">IFERROR(__xludf.DUMMYFUNCTION("IMPORTRANGE(""https://docs.google.com/spreadsheets/d/1Yj_ptqi66GCucihVvJfMjLAmec39IyEx_6qawtMGysU/edit?usp=sharing"",""สบก!CR82"")"),0)</f>
        <v>0</v>
      </c>
      <c r="M298" s="101"/>
      <c r="N298" s="91">
        <f ca="1">IFERROR(__xludf.DUMMYFUNCTION("IMPORTRANGE(""https://docs.google.com/spreadsheets/d/1Yj_ptqi66GCucihVvJfMjLAmec39IyEx_6qawtMGysU/edit?usp=sharing"",""สบก!CV82"")"),0)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3"/>
      <c r="B299" s="184"/>
      <c r="C299" s="163" t="s">
        <v>16</v>
      </c>
      <c r="D299" s="185" t="s">
        <v>44</v>
      </c>
      <c r="E299" s="186"/>
      <c r="F299" s="186"/>
      <c r="G299" s="187"/>
      <c r="H299" s="188"/>
      <c r="I299" s="195"/>
      <c r="J299" s="195"/>
      <c r="K299" s="231"/>
      <c r="L299" s="176"/>
      <c r="M299" s="176"/>
      <c r="N299" s="176"/>
      <c r="O299" s="189"/>
      <c r="P299" s="189"/>
    </row>
    <row r="300" spans="1:16" ht="21.75" customHeight="1" x14ac:dyDescent="0.35">
      <c r="A300" s="183"/>
      <c r="B300" s="184"/>
      <c r="C300" s="184"/>
      <c r="D300" s="190">
        <v>1</v>
      </c>
      <c r="E300" s="191" t="s">
        <v>45</v>
      </c>
      <c r="F300" s="192"/>
      <c r="G300" s="193"/>
      <c r="H300" s="194"/>
      <c r="I300" s="195"/>
      <c r="J300" s="195">
        <f ca="1">IFERROR(__xludf.DUMMYFUNCTION("IMPORTRANGE(""https://docs.google.com/spreadsheets/d/1IYY_tgx_IHuhSq3AJ5eI5OnqOPBNLWSHKh2a30DoXe8/edit?usp=sharing"",""ชุมพร!J205"")"),0)</f>
        <v>0</v>
      </c>
      <c r="K300" s="231"/>
      <c r="L300" s="176"/>
      <c r="M300" s="176"/>
      <c r="N300" s="176"/>
      <c r="O300" s="189"/>
      <c r="P300" s="189"/>
    </row>
    <row r="301" spans="1:16" ht="21.75" customHeight="1" x14ac:dyDescent="0.35">
      <c r="A301" s="183"/>
      <c r="B301" s="184"/>
      <c r="C301" s="184"/>
      <c r="D301" s="197">
        <v>2</v>
      </c>
      <c r="E301" s="198" t="s">
        <v>46</v>
      </c>
      <c r="F301" s="199"/>
      <c r="G301" s="200"/>
      <c r="H301" s="194"/>
      <c r="I301" s="195"/>
      <c r="J301" s="195">
        <f ca="1">IFERROR(__xludf.DUMMYFUNCTION("IMPORTRANGE(""https://docs.google.com/spreadsheets/d/1IYY_tgx_IHuhSq3AJ5eI5OnqOPBNLWSHKh2a30DoXe8/edit?usp=sharing"",""ชุมพร!J206"")"),1)</f>
        <v>1</v>
      </c>
      <c r="K301" s="231"/>
      <c r="L301" s="176" t="s">
        <v>40</v>
      </c>
      <c r="M301" s="176"/>
      <c r="N301" s="176" t="s">
        <v>40</v>
      </c>
      <c r="O301" s="189"/>
      <c r="P301" s="189"/>
    </row>
    <row r="302" spans="1:16" ht="21.75" customHeight="1" x14ac:dyDescent="0.35">
      <c r="A302" s="183"/>
      <c r="B302" s="184"/>
      <c r="C302" s="184"/>
      <c r="D302" s="201"/>
      <c r="E302" s="202" t="s">
        <v>47</v>
      </c>
      <c r="F302" s="203"/>
      <c r="G302" s="204"/>
      <c r="H302" s="194"/>
      <c r="I302" s="195"/>
      <c r="J302" s="195">
        <f ca="1">IFERROR(__xludf.DUMMYFUNCTION("IMPORTRANGE(""https://docs.google.com/spreadsheets/d/1IYY_tgx_IHuhSq3AJ5eI5OnqOPBNLWSHKh2a30DoXe8/edit?usp=sharing"",""ชุมพร!J207"")"),1)</f>
        <v>1</v>
      </c>
      <c r="K302" s="231"/>
      <c r="L302" s="176"/>
      <c r="M302" s="176"/>
      <c r="N302" s="176"/>
      <c r="O302" s="189"/>
      <c r="P302" s="189"/>
    </row>
    <row r="303" spans="1:16" ht="21.75" customHeight="1" x14ac:dyDescent="0.35">
      <c r="A303" s="183"/>
      <c r="B303" s="184"/>
      <c r="C303" s="184"/>
      <c r="D303" s="201"/>
      <c r="E303" s="202" t="s">
        <v>48</v>
      </c>
      <c r="F303" s="203"/>
      <c r="G303" s="204"/>
      <c r="H303" s="194"/>
      <c r="I303" s="195"/>
      <c r="J303" s="195">
        <f ca="1">IFERROR(__xludf.DUMMYFUNCTION("IMPORTRANGE(""https://docs.google.com/spreadsheets/d/1IYY_tgx_IHuhSq3AJ5eI5OnqOPBNLWSHKh2a30DoXe8/edit?usp=sharing"",""ชุมพร!J208"")"),1)</f>
        <v>1</v>
      </c>
      <c r="K303" s="231"/>
      <c r="L303" s="176"/>
      <c r="M303" s="176"/>
      <c r="N303" s="176"/>
      <c r="O303" s="189"/>
      <c r="P303" s="189"/>
    </row>
    <row r="304" spans="1:16" ht="21.75" customHeight="1" x14ac:dyDescent="0.35">
      <c r="A304" s="183"/>
      <c r="B304" s="184"/>
      <c r="C304" s="184"/>
      <c r="D304" s="201"/>
      <c r="E304" s="206"/>
      <c r="F304" s="202" t="s">
        <v>113</v>
      </c>
      <c r="G304" s="204"/>
      <c r="H304" s="188" t="s">
        <v>37</v>
      </c>
      <c r="I304" s="195">
        <f ca="1">IFERROR(__xludf.DUMMYFUNCTION("IMPORTRANGE(""https://docs.google.com/spreadsheets/d/1IYY_tgx_IHuhSq3AJ5eI5OnqOPBNLWSHKh2a30DoXe8/edit?usp=sharing"",""ชุมพร!I209"")"),30)</f>
        <v>30</v>
      </c>
      <c r="J304" s="211">
        <f ca="1">IFERROR(__xludf.DUMMYFUNCTION("IMPORTRANGE(""https://docs.google.com/spreadsheets/d/1IYY_tgx_IHuhSq3AJ5eI5OnqOPBNLWSHKh2a30DoXe8/edit?usp=sharing"",""ชุมพร!J209"")"),30)</f>
        <v>30</v>
      </c>
      <c r="K304" s="231">
        <f ca="1">IF(I304&gt;0,J304*100/I304,0)</f>
        <v>100</v>
      </c>
      <c r="L304" s="176"/>
      <c r="M304" s="176"/>
      <c r="N304" s="176"/>
      <c r="O304" s="189"/>
      <c r="P304" s="189"/>
    </row>
    <row r="305" spans="1:16" ht="21.75" customHeight="1" x14ac:dyDescent="0.35">
      <c r="A305" s="183"/>
      <c r="B305" s="184"/>
      <c r="C305" s="184"/>
      <c r="D305" s="201"/>
      <c r="E305" s="206"/>
      <c r="F305" s="202" t="s">
        <v>114</v>
      </c>
      <c r="G305" s="204"/>
      <c r="H305" s="188"/>
      <c r="I305" s="195"/>
      <c r="J305" s="195"/>
      <c r="K305" s="231"/>
      <c r="L305" s="176"/>
      <c r="M305" s="176"/>
      <c r="N305" s="176"/>
      <c r="O305" s="189"/>
      <c r="P305" s="189"/>
    </row>
    <row r="306" spans="1:16" ht="21.75" customHeight="1" x14ac:dyDescent="0.35">
      <c r="A306" s="183"/>
      <c r="B306" s="184"/>
      <c r="C306" s="184"/>
      <c r="D306" s="201"/>
      <c r="E306" s="206"/>
      <c r="F306" s="203" t="s">
        <v>53</v>
      </c>
      <c r="G306" s="204"/>
      <c r="H306" s="188" t="s">
        <v>37</v>
      </c>
      <c r="I306" s="195">
        <f ca="1">IFERROR(__xludf.DUMMYFUNCTION("IMPORTRANGE(""https://docs.google.com/spreadsheets/d/1IYY_tgx_IHuhSq3AJ5eI5OnqOPBNLWSHKh2a30DoXe8/edit?usp=sharing"",""ชุมพร!I211"")"),30)</f>
        <v>30</v>
      </c>
      <c r="J306" s="211">
        <f ca="1">IFERROR(__xludf.DUMMYFUNCTION("IMPORTRANGE(""https://docs.google.com/spreadsheets/d/1IYY_tgx_IHuhSq3AJ5eI5OnqOPBNLWSHKh2a30DoXe8/edit?usp=sharing"",""ชุมพร!J211"")"),0)</f>
        <v>0</v>
      </c>
      <c r="K306" s="231">
        <f ca="1">IF(I306&gt;0,J306*100/I306,0)</f>
        <v>0</v>
      </c>
      <c r="L306" s="176"/>
      <c r="M306" s="176"/>
      <c r="N306" s="176"/>
      <c r="O306" s="189"/>
      <c r="P306" s="189"/>
    </row>
    <row r="307" spans="1:16" ht="21.75" customHeight="1" x14ac:dyDescent="0.35">
      <c r="A307" s="183"/>
      <c r="B307" s="184"/>
      <c r="C307" s="184"/>
      <c r="D307" s="201"/>
      <c r="E307" s="202" t="s">
        <v>54</v>
      </c>
      <c r="F307" s="203"/>
      <c r="G307" s="204"/>
      <c r="H307" s="194"/>
      <c r="I307" s="195"/>
      <c r="J307" s="195">
        <f ca="1">IFERROR(__xludf.DUMMYFUNCTION("IMPORTRANGE(""https://docs.google.com/spreadsheets/d/1IYY_tgx_IHuhSq3AJ5eI5OnqOPBNLWSHKh2a30DoXe8/edit?usp=sharing"",""ชุมพร!J212"")"),0)</f>
        <v>0</v>
      </c>
      <c r="K307" s="231"/>
      <c r="L307" s="176"/>
      <c r="M307" s="176"/>
      <c r="N307" s="176"/>
      <c r="O307" s="189"/>
      <c r="P307" s="189"/>
    </row>
    <row r="308" spans="1:16" ht="21.75" customHeight="1" x14ac:dyDescent="0.35">
      <c r="A308" s="183"/>
      <c r="B308" s="184"/>
      <c r="C308" s="184"/>
      <c r="D308" s="213">
        <v>3</v>
      </c>
      <c r="E308" s="214" t="s">
        <v>55</v>
      </c>
      <c r="F308" s="215"/>
      <c r="G308" s="216"/>
      <c r="H308" s="194"/>
      <c r="I308" s="195"/>
      <c r="J308" s="332">
        <f ca="1">IFERROR(__xludf.DUMMYFUNCTION("IMPORTRANGE(""https://docs.google.com/spreadsheets/d/1IYY_tgx_IHuhSq3AJ5eI5OnqOPBNLWSHKh2a30DoXe8/edit?usp=sharing"",""ชุมพร!J213"")"),0)</f>
        <v>0</v>
      </c>
      <c r="K308" s="231"/>
      <c r="L308" s="176"/>
      <c r="M308" s="176"/>
      <c r="N308" s="176"/>
      <c r="O308" s="189"/>
      <c r="P308" s="189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IFERROR(__xludf.DUMMYFUNCTION("IMPORTRANGE(""https://docs.google.com/spreadsheets/d/1IYY_tgx_IHuhSq3AJ5eI5OnqOPBNLWSHKh2a30DoXe8/edit?usp=sharing"",""ชุมพร!I214"")"),1)</f>
        <v>1</v>
      </c>
      <c r="J309" s="339">
        <f ca="1">IFERROR(__xludf.DUMMYFUNCTION("IMPORTRANGE(""https://docs.google.com/spreadsheets/d/1IYY_tgx_IHuhSq3AJ5eI5OnqOPBNLWSHKh2a30DoXe8/edit?usp=sharing"",""ชุมพร!J214"")"),1)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52" t="s">
        <v>17</v>
      </c>
      <c r="E310" s="543"/>
      <c r="F310" s="543"/>
      <c r="G310" s="543"/>
      <c r="H310" s="153" t="s">
        <v>12</v>
      </c>
      <c r="I310" s="342"/>
      <c r="J310" s="342"/>
      <c r="K310" s="343"/>
      <c r="L310" s="156">
        <f t="shared" ref="L310:N310" ca="1" si="93">L311+L312</f>
        <v>231600</v>
      </c>
      <c r="M310" s="156">
        <f t="shared" ca="1" si="93"/>
        <v>115800</v>
      </c>
      <c r="N310" s="156">
        <f t="shared" ca="1" si="93"/>
        <v>101001</v>
      </c>
      <c r="O310" s="155">
        <f t="shared" ref="O310:O312" ca="1" si="94">IF(L310&gt;0,N310*100/L310,0)</f>
        <v>43.610103626943008</v>
      </c>
      <c r="P310" s="155">
        <f t="shared" ref="P310:P312" ca="1" si="95">IF(M310&gt;0,N310*100/M310,0)</f>
        <v>87.220207253886016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231600</v>
      </c>
      <c r="M312" s="161">
        <f t="shared" ca="1" si="97"/>
        <v>115800</v>
      </c>
      <c r="N312" s="161">
        <f t="shared" ca="1" si="97"/>
        <v>101001</v>
      </c>
      <c r="O312" s="160">
        <f t="shared" ca="1" si="94"/>
        <v>43.610103626943008</v>
      </c>
      <c r="P312" s="160">
        <f t="shared" ca="1" si="95"/>
        <v>87.220207253886016</v>
      </c>
    </row>
    <row r="313" spans="1:16" ht="21.75" customHeight="1" x14ac:dyDescent="0.35">
      <c r="A313" s="162"/>
      <c r="B313" s="163"/>
      <c r="C313" s="163" t="s">
        <v>16</v>
      </c>
      <c r="D313" s="164" t="s">
        <v>38</v>
      </c>
      <c r="E313" s="165"/>
      <c r="F313" s="165"/>
      <c r="G313" s="166" t="s">
        <v>39</v>
      </c>
      <c r="H313" s="167" t="s">
        <v>12</v>
      </c>
      <c r="I313" s="168" t="s">
        <v>40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 x14ac:dyDescent="0.35">
      <c r="A314" s="162"/>
      <c r="B314" s="163"/>
      <c r="C314" s="163"/>
      <c r="D314" s="172"/>
      <c r="E314" s="165"/>
      <c r="F314" s="165" t="s">
        <v>40</v>
      </c>
      <c r="G314" s="166" t="s">
        <v>41</v>
      </c>
      <c r="H314" s="167" t="s">
        <v>12</v>
      </c>
      <c r="I314" s="168"/>
      <c r="J314" s="168"/>
      <c r="K314" s="169"/>
      <c r="L314" s="173">
        <f ca="1">L315+L316</f>
        <v>231600</v>
      </c>
      <c r="M314" s="174">
        <f ca="1">IFERROR(__xludf.DUMMYFUNCTION("IMPORTRANGE(""https://docs.google.com/spreadsheets/d/1Yj_ptqi66GCucihVvJfMjLAmec39IyEx_6qawtMGysU/edit?usp=sharing"",""สบก!DC82"")"),115800)</f>
        <v>115800</v>
      </c>
      <c r="N314" s="175">
        <f ca="1">IFERROR(__xludf.DUMMYFUNCTION("IMPORTRANGE(""https://docs.google.com/spreadsheets/d/1Yj_ptqi66GCucihVvJfMjLAmec39IyEx_6qawtMGysU/edit?usp=sharing"",""สบก!DD82"")"),101001)</f>
        <v>101001</v>
      </c>
      <c r="O314" s="176">
        <f ca="1">IF(L314&gt;0,N314*100/L314,0)</f>
        <v>43.610103626943008</v>
      </c>
      <c r="P314" s="176">
        <f ca="1">IF(M314&gt;0,N314*100/M314,0)</f>
        <v>87.220207253886016</v>
      </c>
    </row>
    <row r="315" spans="1:16" ht="21.75" customHeight="1" x14ac:dyDescent="0.35">
      <c r="A315" s="162"/>
      <c r="B315" s="163"/>
      <c r="C315" s="163"/>
      <c r="D315" s="172"/>
      <c r="E315" s="165"/>
      <c r="F315" s="165"/>
      <c r="G315" s="177" t="s">
        <v>42</v>
      </c>
      <c r="H315" s="167" t="s">
        <v>12</v>
      </c>
      <c r="I315" s="168"/>
      <c r="J315" s="168"/>
      <c r="K315" s="169"/>
      <c r="L315" s="174">
        <f ca="1">IFERROR(__xludf.DUMMYFUNCTION("IMPORTRANGE(""https://docs.google.com/spreadsheets/d/1Yj_ptqi66GCucihVvJfMjLAmec39IyEx_6qawtMGysU/edit?usp=sharing"",""สบก!CY82"")"),0)</f>
        <v>0</v>
      </c>
      <c r="M315" s="173"/>
      <c r="N315" s="173"/>
      <c r="O315" s="176"/>
      <c r="P315" s="176"/>
    </row>
    <row r="316" spans="1:16" ht="21.75" customHeight="1" x14ac:dyDescent="0.35">
      <c r="A316" s="162"/>
      <c r="B316" s="163"/>
      <c r="C316" s="163"/>
      <c r="D316" s="172"/>
      <c r="E316" s="165"/>
      <c r="F316" s="165"/>
      <c r="G316" s="177" t="s">
        <v>43</v>
      </c>
      <c r="H316" s="167" t="s">
        <v>12</v>
      </c>
      <c r="I316" s="168"/>
      <c r="J316" s="195"/>
      <c r="K316" s="231"/>
      <c r="L316" s="174">
        <f ca="1">IFERROR(__xludf.DUMMYFUNCTION("IMPORTRANGE(""https://docs.google.com/spreadsheets/d/1Yj_ptqi66GCucihVvJfMjLAmec39IyEx_6qawtMGysU/edit?usp=sharing"",""สบก!CZ82"")"),231600)</f>
        <v>231600</v>
      </c>
      <c r="M316" s="173"/>
      <c r="N316" s="173"/>
      <c r="O316" s="176"/>
      <c r="P316" s="176"/>
    </row>
    <row r="317" spans="1:16" ht="21.75" customHeight="1" x14ac:dyDescent="0.45">
      <c r="A317" s="178"/>
      <c r="B317" s="81"/>
      <c r="C317" s="82" t="s">
        <v>16</v>
      </c>
      <c r="D317" s="549" t="s">
        <v>23</v>
      </c>
      <c r="E317" s="545"/>
      <c r="F317" s="89"/>
      <c r="G317" s="83" t="s">
        <v>18</v>
      </c>
      <c r="H317" s="179" t="s">
        <v>12</v>
      </c>
      <c r="I317" s="168"/>
      <c r="J317" s="195"/>
      <c r="K317" s="231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80"/>
      <c r="B318" s="95"/>
      <c r="C318" s="95"/>
      <c r="D318" s="181"/>
      <c r="E318" s="96"/>
      <c r="F318" s="96"/>
      <c r="G318" s="97" t="s">
        <v>19</v>
      </c>
      <c r="H318" s="182" t="s">
        <v>12</v>
      </c>
      <c r="I318" s="168"/>
      <c r="J318" s="195"/>
      <c r="K318" s="231"/>
      <c r="L318" s="91">
        <f ca="1">IFERROR(__xludf.DUMMYFUNCTION("IMPORTRANGE(""https://docs.google.com/spreadsheets/d/1Yj_ptqi66GCucihVvJfMjLAmec39IyEx_6qawtMGysU/edit?usp=sharing"",""สบก!DA82"")"),0)</f>
        <v>0</v>
      </c>
      <c r="M318" s="101"/>
      <c r="N318" s="91">
        <f ca="1">IFERROR(__xludf.DUMMYFUNCTION("IMPORTRANGE(""https://docs.google.com/spreadsheets/d/1Yj_ptqi66GCucihVvJfMjLAmec39IyEx_6qawtMGysU/edit?usp=sharing"",""สบก!DE82"")"),0)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3"/>
      <c r="B319" s="184"/>
      <c r="C319" s="163" t="s">
        <v>16</v>
      </c>
      <c r="D319" s="185" t="s">
        <v>44</v>
      </c>
      <c r="E319" s="186"/>
      <c r="F319" s="186"/>
      <c r="G319" s="187"/>
      <c r="H319" s="188"/>
      <c r="I319" s="168"/>
      <c r="J319" s="195"/>
      <c r="K319" s="231"/>
      <c r="L319" s="176"/>
      <c r="M319" s="176"/>
      <c r="N319" s="176"/>
      <c r="O319" s="189"/>
      <c r="P319" s="189"/>
    </row>
    <row r="320" spans="1:16" ht="21.75" customHeight="1" x14ac:dyDescent="0.35">
      <c r="A320" s="183"/>
      <c r="B320" s="184"/>
      <c r="C320" s="184"/>
      <c r="D320" s="190">
        <v>1</v>
      </c>
      <c r="E320" s="191" t="s">
        <v>45</v>
      </c>
      <c r="F320" s="192"/>
      <c r="G320" s="193"/>
      <c r="H320" s="194"/>
      <c r="I320" s="195"/>
      <c r="J320" s="195">
        <f ca="1">IFERROR(__xludf.DUMMYFUNCTION("IMPORTRANGE(""https://docs.google.com/spreadsheets/d/1IYY_tgx_IHuhSq3AJ5eI5OnqOPBNLWSHKh2a30DoXe8/edit?usp=sharing"",""ชุมพร!J220"")"),0)</f>
        <v>0</v>
      </c>
      <c r="K320" s="231"/>
      <c r="L320" s="176"/>
      <c r="M320" s="176"/>
      <c r="N320" s="176"/>
      <c r="O320" s="189"/>
      <c r="P320" s="189"/>
    </row>
    <row r="321" spans="1:16" ht="21.75" customHeight="1" x14ac:dyDescent="0.35">
      <c r="A321" s="183"/>
      <c r="B321" s="184"/>
      <c r="C321" s="184"/>
      <c r="D321" s="197">
        <v>2</v>
      </c>
      <c r="E321" s="198" t="s">
        <v>46</v>
      </c>
      <c r="F321" s="199"/>
      <c r="G321" s="200"/>
      <c r="H321" s="194"/>
      <c r="I321" s="195"/>
      <c r="J321" s="195">
        <f ca="1">IFERROR(__xludf.DUMMYFUNCTION("IMPORTRANGE(""https://docs.google.com/spreadsheets/d/1IYY_tgx_IHuhSq3AJ5eI5OnqOPBNLWSHKh2a30DoXe8/edit?usp=sharing"",""ชุมพร!J221"")"),1)</f>
        <v>1</v>
      </c>
      <c r="K321" s="231"/>
      <c r="L321" s="176" t="s">
        <v>40</v>
      </c>
      <c r="M321" s="176"/>
      <c r="N321" s="176" t="s">
        <v>40</v>
      </c>
      <c r="O321" s="189"/>
      <c r="P321" s="189"/>
    </row>
    <row r="322" spans="1:16" ht="21.75" customHeight="1" x14ac:dyDescent="0.35">
      <c r="A322" s="183"/>
      <c r="B322" s="184"/>
      <c r="C322" s="184"/>
      <c r="D322" s="201"/>
      <c r="E322" s="202" t="s">
        <v>47</v>
      </c>
      <c r="F322" s="203"/>
      <c r="G322" s="204"/>
      <c r="H322" s="194"/>
      <c r="I322" s="195"/>
      <c r="J322" s="195">
        <f ca="1">IFERROR(__xludf.DUMMYFUNCTION("IMPORTRANGE(""https://docs.google.com/spreadsheets/d/1IYY_tgx_IHuhSq3AJ5eI5OnqOPBNLWSHKh2a30DoXe8/edit?usp=sharing"",""ชุมพร!J222"")"),1)</f>
        <v>1</v>
      </c>
      <c r="K322" s="231"/>
      <c r="L322" s="176"/>
      <c r="M322" s="176"/>
      <c r="N322" s="176"/>
      <c r="O322" s="189"/>
      <c r="P322" s="189"/>
    </row>
    <row r="323" spans="1:16" ht="21.75" customHeight="1" x14ac:dyDescent="0.35">
      <c r="A323" s="183"/>
      <c r="B323" s="184"/>
      <c r="C323" s="184"/>
      <c r="D323" s="201"/>
      <c r="E323" s="202" t="s">
        <v>48</v>
      </c>
      <c r="F323" s="203"/>
      <c r="G323" s="204"/>
      <c r="H323" s="194"/>
      <c r="I323" s="195"/>
      <c r="J323" s="195">
        <f ca="1">IFERROR(__xludf.DUMMYFUNCTION("IMPORTRANGE(""https://docs.google.com/spreadsheets/d/1IYY_tgx_IHuhSq3AJ5eI5OnqOPBNLWSHKh2a30DoXe8/edit?usp=sharing"",""ชุมพร!J223"")"),1)</f>
        <v>1</v>
      </c>
      <c r="K323" s="231"/>
      <c r="L323" s="176"/>
      <c r="M323" s="176"/>
      <c r="N323" s="176"/>
      <c r="O323" s="189"/>
      <c r="P323" s="189"/>
    </row>
    <row r="324" spans="1:16" ht="21.75" customHeight="1" x14ac:dyDescent="0.35">
      <c r="A324" s="183"/>
      <c r="B324" s="184"/>
      <c r="C324" s="184"/>
      <c r="D324" s="201"/>
      <c r="E324" s="206"/>
      <c r="F324" s="202" t="s">
        <v>117</v>
      </c>
      <c r="G324" s="204"/>
      <c r="H324" s="194" t="s">
        <v>116</v>
      </c>
      <c r="I324" s="195">
        <f ca="1">IFERROR(__xludf.DUMMYFUNCTION("IMPORTRANGE(""https://docs.google.com/spreadsheets/d/1IYY_tgx_IHuhSq3AJ5eI5OnqOPBNLWSHKh2a30DoXe8/edit?usp=sharing"",""ชุมพร!I224"")"),1)</f>
        <v>1</v>
      </c>
      <c r="J324" s="211">
        <f ca="1">IFERROR(__xludf.DUMMYFUNCTION("IMPORTRANGE(""https://docs.google.com/spreadsheets/d/1IYY_tgx_IHuhSq3AJ5eI5OnqOPBNLWSHKh2a30DoXe8/edit?usp=sharing"",""ชุมพร!J224"")"),1)</f>
        <v>1</v>
      </c>
      <c r="K324" s="231">
        <f ca="1">IF(I324&gt;0,J324*100/I324,0)</f>
        <v>100</v>
      </c>
      <c r="L324" s="176"/>
      <c r="M324" s="176"/>
      <c r="N324" s="176"/>
      <c r="O324" s="189"/>
      <c r="P324" s="189"/>
    </row>
    <row r="325" spans="1:16" ht="21.75" customHeight="1" x14ac:dyDescent="0.35">
      <c r="A325" s="183"/>
      <c r="B325" s="184"/>
      <c r="C325" s="184"/>
      <c r="D325" s="201"/>
      <c r="E325" s="202" t="s">
        <v>54</v>
      </c>
      <c r="F325" s="203"/>
      <c r="G325" s="204"/>
      <c r="H325" s="194"/>
      <c r="I325" s="195"/>
      <c r="J325" s="195">
        <f ca="1">IFERROR(__xludf.DUMMYFUNCTION("IMPORTRANGE(""https://docs.google.com/spreadsheets/d/1IYY_tgx_IHuhSq3AJ5eI5OnqOPBNLWSHKh2a30DoXe8/edit?usp=sharing"",""ชุมพร!J225"")"),0)</f>
        <v>0</v>
      </c>
      <c r="K325" s="231"/>
      <c r="L325" s="176"/>
      <c r="M325" s="176"/>
      <c r="N325" s="176"/>
      <c r="O325" s="189"/>
      <c r="P325" s="189"/>
    </row>
    <row r="326" spans="1:16" ht="21.75" customHeight="1" x14ac:dyDescent="0.35">
      <c r="A326" s="183"/>
      <c r="B326" s="184"/>
      <c r="C326" s="184"/>
      <c r="D326" s="213">
        <v>3</v>
      </c>
      <c r="E326" s="214" t="s">
        <v>55</v>
      </c>
      <c r="F326" s="215"/>
      <c r="G326" s="216"/>
      <c r="H326" s="194"/>
      <c r="I326" s="195"/>
      <c r="J326" s="234">
        <f ca="1">IFERROR(__xludf.DUMMYFUNCTION("IMPORTRANGE(""https://docs.google.com/spreadsheets/d/1IYY_tgx_IHuhSq3AJ5eI5OnqOPBNLWSHKh2a30DoXe8/edit?usp=sharing"",""ชุมพร!J226"")"),0)</f>
        <v>0</v>
      </c>
      <c r="K326" s="231"/>
      <c r="L326" s="176"/>
      <c r="M326" s="176"/>
      <c r="N326" s="176"/>
      <c r="O326" s="189"/>
      <c r="P326" s="189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IFERROR(__xludf.DUMMYFUNCTION("IMPORTRANGE(""https://docs.google.com/spreadsheets/d/1IYY_tgx_IHuhSq3AJ5eI5OnqOPBNLWSHKh2a30DoXe8/edit?usp=sharing"",""ชุมพร!I228"")"),240)</f>
        <v>240</v>
      </c>
      <c r="J328" s="345">
        <f ca="1">IFERROR(__xludf.DUMMYFUNCTION("IMPORTRANGE(""https://docs.google.com/spreadsheets/d/1IYY_tgx_IHuhSq3AJ5eI5OnqOPBNLWSHKh2a30DoXe8/edit?usp=sharing"",""ชุมพร!J228"")"),69)</f>
        <v>69</v>
      </c>
      <c r="K328" s="323">
        <f ca="1">IF(I328&gt;0,J328*100/I328,0)</f>
        <v>28.75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52" t="s">
        <v>17</v>
      </c>
      <c r="E329" s="543"/>
      <c r="F329" s="543"/>
      <c r="G329" s="543"/>
      <c r="H329" s="153" t="s">
        <v>12</v>
      </c>
      <c r="I329" s="168"/>
      <c r="J329" s="168"/>
      <c r="K329" s="169"/>
      <c r="L329" s="156">
        <f t="shared" ref="L329:N329" ca="1" si="98">L330+L331</f>
        <v>624360</v>
      </c>
      <c r="M329" s="156">
        <f t="shared" ca="1" si="98"/>
        <v>352120</v>
      </c>
      <c r="N329" s="156">
        <f t="shared" ca="1" si="98"/>
        <v>233421</v>
      </c>
      <c r="O329" s="155">
        <f t="shared" ref="O329:O331" ca="1" si="99">IF(L329&gt;0,N329*100/L329,0)</f>
        <v>37.385642898327887</v>
      </c>
      <c r="P329" s="155">
        <f t="shared" ref="P329:P331" ca="1" si="100">IF(M329&gt;0,N329*100/M329,0)</f>
        <v>66.290185164148582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8"/>
      <c r="J330" s="168"/>
      <c r="K330" s="169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8"/>
      <c r="J331" s="168"/>
      <c r="K331" s="169"/>
      <c r="L331" s="161">
        <f t="shared" ref="L331:N331" ca="1" si="102">L333+L337</f>
        <v>624360</v>
      </c>
      <c r="M331" s="161">
        <f t="shared" ca="1" si="102"/>
        <v>352120</v>
      </c>
      <c r="N331" s="161">
        <f t="shared" ca="1" si="102"/>
        <v>233421</v>
      </c>
      <c r="O331" s="160">
        <f t="shared" ca="1" si="99"/>
        <v>37.385642898327887</v>
      </c>
      <c r="P331" s="160">
        <f t="shared" ca="1" si="100"/>
        <v>66.290185164148582</v>
      </c>
    </row>
    <row r="332" spans="1:16" ht="21.75" customHeight="1" x14ac:dyDescent="0.35">
      <c r="A332" s="162"/>
      <c r="B332" s="163"/>
      <c r="C332" s="163" t="s">
        <v>16</v>
      </c>
      <c r="D332" s="164" t="s">
        <v>38</v>
      </c>
      <c r="E332" s="165"/>
      <c r="F332" s="165"/>
      <c r="G332" s="166" t="s">
        <v>39</v>
      </c>
      <c r="H332" s="167" t="s">
        <v>12</v>
      </c>
      <c r="I332" s="168" t="s">
        <v>40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 x14ac:dyDescent="0.35">
      <c r="A333" s="162"/>
      <c r="B333" s="163"/>
      <c r="C333" s="163"/>
      <c r="D333" s="172"/>
      <c r="E333" s="165"/>
      <c r="F333" s="165" t="s">
        <v>40</v>
      </c>
      <c r="G333" s="166" t="s">
        <v>41</v>
      </c>
      <c r="H333" s="167" t="s">
        <v>12</v>
      </c>
      <c r="I333" s="168"/>
      <c r="J333" s="168"/>
      <c r="K333" s="169"/>
      <c r="L333" s="173">
        <f ca="1">L334+L335</f>
        <v>624360</v>
      </c>
      <c r="M333" s="174">
        <f ca="1">IFERROR(__xludf.DUMMYFUNCTION("IMPORTRANGE(""https://docs.google.com/spreadsheets/d/1Yj_ptqi66GCucihVvJfMjLAmec39IyEx_6qawtMGysU/edit?usp=sharing"",""สบก!DL82"")"),352120)</f>
        <v>352120</v>
      </c>
      <c r="N333" s="175">
        <f ca="1">IFERROR(__xludf.DUMMYFUNCTION("IMPORTRANGE(""https://docs.google.com/spreadsheets/d/1Yj_ptqi66GCucihVvJfMjLAmec39IyEx_6qawtMGysU/edit?usp=sharing"",""สบก!DM82"")"),233421)</f>
        <v>233421</v>
      </c>
      <c r="O333" s="176">
        <f ca="1">IF(L333&gt;0,N333*100/L333,0)</f>
        <v>37.385642898327887</v>
      </c>
      <c r="P333" s="176">
        <f ca="1">IF(M333&gt;0,N333*100/M333,0)</f>
        <v>66.290185164148582</v>
      </c>
    </row>
    <row r="334" spans="1:16" ht="21.75" customHeight="1" x14ac:dyDescent="0.35">
      <c r="A334" s="162"/>
      <c r="B334" s="163"/>
      <c r="C334" s="163"/>
      <c r="D334" s="172"/>
      <c r="E334" s="165"/>
      <c r="F334" s="165"/>
      <c r="G334" s="177" t="s">
        <v>42</v>
      </c>
      <c r="H334" s="167" t="s">
        <v>12</v>
      </c>
      <c r="I334" s="168"/>
      <c r="J334" s="168"/>
      <c r="K334" s="169"/>
      <c r="L334" s="174">
        <f ca="1">IFERROR(__xludf.DUMMYFUNCTION("IMPORTRANGE(""https://docs.google.com/spreadsheets/d/1Yj_ptqi66GCucihVvJfMjLAmec39IyEx_6qawtMGysU/edit?usp=sharing"",""สบก!DH82"")"),194400)</f>
        <v>194400</v>
      </c>
      <c r="M334" s="173"/>
      <c r="N334" s="173"/>
      <c r="O334" s="176"/>
      <c r="P334" s="176"/>
    </row>
    <row r="335" spans="1:16" ht="21.75" customHeight="1" x14ac:dyDescent="0.35">
      <c r="A335" s="162"/>
      <c r="B335" s="163"/>
      <c r="C335" s="163"/>
      <c r="D335" s="172"/>
      <c r="E335" s="165"/>
      <c r="F335" s="165"/>
      <c r="G335" s="177" t="s">
        <v>43</v>
      </c>
      <c r="H335" s="167" t="s">
        <v>12</v>
      </c>
      <c r="I335" s="168"/>
      <c r="J335" s="168"/>
      <c r="K335" s="169"/>
      <c r="L335" s="174">
        <f ca="1">IFERROR(__xludf.DUMMYFUNCTION("IMPORTRANGE(""https://docs.google.com/spreadsheets/d/1Yj_ptqi66GCucihVvJfMjLAmec39IyEx_6qawtMGysU/edit?usp=sharing"",""สบก!DI82"")"),429960)</f>
        <v>429960</v>
      </c>
      <c r="M335" s="173"/>
      <c r="N335" s="173"/>
      <c r="O335" s="176"/>
      <c r="P335" s="176"/>
    </row>
    <row r="336" spans="1:16" ht="21.75" customHeight="1" x14ac:dyDescent="0.45">
      <c r="A336" s="178"/>
      <c r="B336" s="81"/>
      <c r="C336" s="82" t="s">
        <v>16</v>
      </c>
      <c r="D336" s="549" t="s">
        <v>23</v>
      </c>
      <c r="E336" s="545"/>
      <c r="F336" s="89"/>
      <c r="G336" s="83" t="s">
        <v>18</v>
      </c>
      <c r="H336" s="179" t="s">
        <v>12</v>
      </c>
      <c r="I336" s="168"/>
      <c r="J336" s="168"/>
      <c r="K336" s="169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80"/>
      <c r="B337" s="95"/>
      <c r="C337" s="95"/>
      <c r="D337" s="181"/>
      <c r="E337" s="96"/>
      <c r="F337" s="96"/>
      <c r="G337" s="97" t="s">
        <v>19</v>
      </c>
      <c r="H337" s="182" t="s">
        <v>12</v>
      </c>
      <c r="I337" s="168"/>
      <c r="J337" s="168"/>
      <c r="K337" s="169"/>
      <c r="L337" s="91">
        <f ca="1">IFERROR(__xludf.DUMMYFUNCTION("IMPORTRANGE(""https://docs.google.com/spreadsheets/d/1Yj_ptqi66GCucihVvJfMjLAmec39IyEx_6qawtMGysU/edit?usp=sharing"",""สบก!DJ82"")"),0)</f>
        <v>0</v>
      </c>
      <c r="M337" s="101"/>
      <c r="N337" s="91">
        <f ca="1">IFERROR(__xludf.DUMMYFUNCTION("IMPORTRANGE(""https://docs.google.com/spreadsheets/d/1Yj_ptqi66GCucihVvJfMjLAmec39IyEx_6qawtMGysU/edit?usp=sharing"",""สบก!DN82"")"),0)</f>
        <v>0</v>
      </c>
      <c r="O337" s="101">
        <f ca="1">IF(L337&gt;0,N337*100/L337,0)</f>
        <v>0</v>
      </c>
      <c r="P337" s="101"/>
    </row>
    <row r="338" spans="1:16" ht="21.75" customHeight="1" x14ac:dyDescent="0.35">
      <c r="A338" s="183"/>
      <c r="B338" s="297"/>
      <c r="C338" s="346" t="s">
        <v>120</v>
      </c>
      <c r="D338" s="203"/>
      <c r="E338" s="203"/>
      <c r="F338" s="203"/>
      <c r="G338" s="204"/>
      <c r="H338" s="188"/>
      <c r="I338" s="347"/>
      <c r="J338" s="347"/>
      <c r="K338" s="348"/>
      <c r="L338" s="189"/>
      <c r="M338" s="189"/>
      <c r="N338" s="189"/>
      <c r="O338" s="349"/>
      <c r="P338" s="349"/>
    </row>
    <row r="339" spans="1:16" ht="21.75" customHeight="1" x14ac:dyDescent="0.35">
      <c r="A339" s="183"/>
      <c r="B339" s="297"/>
      <c r="C339" s="184"/>
      <c r="D339" s="203"/>
      <c r="E339" s="202" t="s">
        <v>121</v>
      </c>
      <c r="F339" s="203"/>
      <c r="G339" s="204"/>
      <c r="H339" s="350" t="s">
        <v>37</v>
      </c>
      <c r="I339" s="211">
        <f ca="1">IFERROR(__xludf.DUMMYFUNCTION("IMPORTRANGE(""https://docs.google.com/spreadsheets/d/1IYY_tgx_IHuhSq3AJ5eI5OnqOPBNLWSHKh2a30DoXe8/edit?usp=sharing"",""ชุมพร!I234"")"),0)</f>
        <v>0</v>
      </c>
      <c r="J339" s="195">
        <f ca="1">IFERROR(__xludf.DUMMYFUNCTION("IMPORTRANGE(""https://docs.google.com/spreadsheets/d/1IYY_tgx_IHuhSq3AJ5eI5OnqOPBNLWSHKh2a30DoXe8/edit?usp=sharing"",""ชุมพร!J234"")"),101)</f>
        <v>101</v>
      </c>
      <c r="K339" s="348">
        <f t="shared" ref="K339:K346" ca="1" si="103">IF(I339&gt;0,J339*100/I339,0)</f>
        <v>0</v>
      </c>
      <c r="L339" s="189"/>
      <c r="M339" s="189"/>
      <c r="N339" s="189"/>
      <c r="O339" s="349"/>
      <c r="P339" s="349"/>
    </row>
    <row r="340" spans="1:16" ht="21.75" customHeight="1" x14ac:dyDescent="0.35">
      <c r="A340" s="183"/>
      <c r="B340" s="297"/>
      <c r="C340" s="184"/>
      <c r="D340" s="203"/>
      <c r="E340" s="203"/>
      <c r="F340" s="203"/>
      <c r="G340" s="204"/>
      <c r="H340" s="350" t="s">
        <v>122</v>
      </c>
      <c r="I340" s="195">
        <f ca="1">IFERROR(__xludf.DUMMYFUNCTION("IMPORTRANGE(""https://docs.google.com/spreadsheets/d/1IYY_tgx_IHuhSq3AJ5eI5OnqOPBNLWSHKh2a30DoXe8/edit?usp=sharing"",""ชุมพร!I235"")"),2510)</f>
        <v>2510</v>
      </c>
      <c r="J340" s="195">
        <f ca="1">IFERROR(__xludf.DUMMYFUNCTION("IMPORTRANGE(""https://docs.google.com/spreadsheets/d/1IYY_tgx_IHuhSq3AJ5eI5OnqOPBNLWSHKh2a30DoXe8/edit?usp=sharing"",""ชุมพร!J235"")"),1125.91)</f>
        <v>1125.9100000000001</v>
      </c>
      <c r="K340" s="348">
        <f t="shared" ca="1" si="103"/>
        <v>44.856972111553787</v>
      </c>
      <c r="L340" s="189"/>
      <c r="M340" s="189"/>
      <c r="N340" s="189"/>
      <c r="O340" s="349"/>
      <c r="P340" s="349"/>
    </row>
    <row r="341" spans="1:16" ht="21.75" customHeight="1" x14ac:dyDescent="0.35">
      <c r="A341" s="183"/>
      <c r="B341" s="297"/>
      <c r="C341" s="184"/>
      <c r="D341" s="203"/>
      <c r="E341" s="202" t="s">
        <v>123</v>
      </c>
      <c r="F341" s="203"/>
      <c r="G341" s="204"/>
      <c r="H341" s="188" t="s">
        <v>37</v>
      </c>
      <c r="I341" s="195">
        <f ca="1">IFERROR(__xludf.DUMMYFUNCTION("IMPORTRANGE(""https://docs.google.com/spreadsheets/d/1IYY_tgx_IHuhSq3AJ5eI5OnqOPBNLWSHKh2a30DoXe8/edit?usp=sharing"",""ชุมพร!I236"")"),240)</f>
        <v>240</v>
      </c>
      <c r="J341" s="195">
        <f ca="1">IFERROR(__xludf.DUMMYFUNCTION("IMPORTRANGE(""https://docs.google.com/spreadsheets/d/1IYY_tgx_IHuhSq3AJ5eI5OnqOPBNLWSHKh2a30DoXe8/edit?usp=sharing"",""ชุมพร!J236"")"),77)</f>
        <v>77</v>
      </c>
      <c r="K341" s="348">
        <f t="shared" ca="1" si="103"/>
        <v>32.083333333333336</v>
      </c>
      <c r="L341" s="189"/>
      <c r="M341" s="189"/>
      <c r="N341" s="189"/>
      <c r="O341" s="349"/>
      <c r="P341" s="349"/>
    </row>
    <row r="342" spans="1:16" ht="21.75" customHeight="1" x14ac:dyDescent="0.35">
      <c r="A342" s="183"/>
      <c r="B342" s="297"/>
      <c r="C342" s="184"/>
      <c r="D342" s="203"/>
      <c r="E342" s="203"/>
      <c r="F342" s="203"/>
      <c r="G342" s="204"/>
      <c r="H342" s="188" t="s">
        <v>122</v>
      </c>
      <c r="I342" s="351">
        <f ca="1">IFERROR(__xludf.DUMMYFUNCTION("IMPORTRANGE(""https://docs.google.com/spreadsheets/d/1IYY_tgx_IHuhSq3AJ5eI5OnqOPBNLWSHKh2a30DoXe8/edit?usp=sharing"",""ชุมพร!I237"")"),0)</f>
        <v>0</v>
      </c>
      <c r="J342" s="195">
        <f ca="1">IFERROR(__xludf.DUMMYFUNCTION("IMPORTRANGE(""https://docs.google.com/spreadsheets/d/1IYY_tgx_IHuhSq3AJ5eI5OnqOPBNLWSHKh2a30DoXe8/edit?usp=sharing"",""ชุมพร!J237"")"),849.12)</f>
        <v>849.12</v>
      </c>
      <c r="K342" s="348">
        <f t="shared" ca="1" si="103"/>
        <v>0</v>
      </c>
      <c r="L342" s="189"/>
      <c r="M342" s="189"/>
      <c r="N342" s="189"/>
      <c r="O342" s="349"/>
      <c r="P342" s="349"/>
    </row>
    <row r="343" spans="1:16" ht="21.75" customHeight="1" x14ac:dyDescent="0.35">
      <c r="A343" s="183"/>
      <c r="B343" s="297"/>
      <c r="C343" s="184"/>
      <c r="D343" s="203"/>
      <c r="E343" s="202" t="s">
        <v>124</v>
      </c>
      <c r="F343" s="203"/>
      <c r="G343" s="204"/>
      <c r="H343" s="188" t="s">
        <v>37</v>
      </c>
      <c r="I343" s="195">
        <f ca="1">IFERROR(__xludf.DUMMYFUNCTION("IMPORTRANGE(""https://docs.google.com/spreadsheets/d/1IYY_tgx_IHuhSq3AJ5eI5OnqOPBNLWSHKh2a30DoXe8/edit?usp=sharing"",""ชุมพร!I238"")"),240)</f>
        <v>240</v>
      </c>
      <c r="J343" s="195">
        <f ca="1">IFERROR(__xludf.DUMMYFUNCTION("IMPORTRANGE(""https://docs.google.com/spreadsheets/d/1IYY_tgx_IHuhSq3AJ5eI5OnqOPBNLWSHKh2a30DoXe8/edit?usp=sharing"",""ชุมพร!J238"")"),0)</f>
        <v>0</v>
      </c>
      <c r="K343" s="348">
        <f t="shared" ca="1" si="103"/>
        <v>0</v>
      </c>
      <c r="L343" s="189"/>
      <c r="M343" s="189"/>
      <c r="N343" s="189"/>
      <c r="O343" s="349"/>
      <c r="P343" s="349"/>
    </row>
    <row r="344" spans="1:16" ht="21.75" customHeight="1" x14ac:dyDescent="0.35">
      <c r="A344" s="183"/>
      <c r="B344" s="297"/>
      <c r="C344" s="184"/>
      <c r="D344" s="203"/>
      <c r="E344" s="203"/>
      <c r="F344" s="203"/>
      <c r="G344" s="204"/>
      <c r="H344" s="188" t="s">
        <v>122</v>
      </c>
      <c r="I344" s="351">
        <f ca="1">IFERROR(__xludf.DUMMYFUNCTION("IMPORTRANGE(""https://docs.google.com/spreadsheets/d/1IYY_tgx_IHuhSq3AJ5eI5OnqOPBNLWSHKh2a30DoXe8/edit?usp=sharing"",""ชุมพร!I239"")"),0)</f>
        <v>0</v>
      </c>
      <c r="J344" s="195">
        <f ca="1">IFERROR(__xludf.DUMMYFUNCTION("IMPORTRANGE(""https://docs.google.com/spreadsheets/d/1IYY_tgx_IHuhSq3AJ5eI5OnqOPBNLWSHKh2a30DoXe8/edit?usp=sharing"",""ชุมพร!J239"")"),0)</f>
        <v>0</v>
      </c>
      <c r="K344" s="348">
        <f t="shared" ca="1" si="103"/>
        <v>0</v>
      </c>
      <c r="L344" s="189"/>
      <c r="M344" s="189"/>
      <c r="N344" s="189"/>
      <c r="O344" s="349"/>
      <c r="P344" s="349"/>
    </row>
    <row r="345" spans="1:16" ht="21.75" customHeight="1" x14ac:dyDescent="0.35">
      <c r="A345" s="183"/>
      <c r="B345" s="297"/>
      <c r="C345" s="184"/>
      <c r="D345" s="203"/>
      <c r="E345" s="202" t="s">
        <v>125</v>
      </c>
      <c r="F345" s="203"/>
      <c r="G345" s="204"/>
      <c r="H345" s="188" t="s">
        <v>37</v>
      </c>
      <c r="I345" s="195">
        <f ca="1">IFERROR(__xludf.DUMMYFUNCTION("IMPORTRANGE(""https://docs.google.com/spreadsheets/d/1IYY_tgx_IHuhSq3AJ5eI5OnqOPBNLWSHKh2a30DoXe8/edit?usp=sharing"",""ชุมพร!I240"")"),240)</f>
        <v>240</v>
      </c>
      <c r="J345" s="195">
        <f ca="1">IFERROR(__xludf.DUMMYFUNCTION("IMPORTRANGE(""https://docs.google.com/spreadsheets/d/1IYY_tgx_IHuhSq3AJ5eI5OnqOPBNLWSHKh2a30DoXe8/edit?usp=sharing"",""ชุมพร!J240"")"),69)</f>
        <v>69</v>
      </c>
      <c r="K345" s="348">
        <f t="shared" ca="1" si="103"/>
        <v>28.75</v>
      </c>
      <c r="L345" s="189"/>
      <c r="M345" s="189"/>
      <c r="N345" s="189"/>
      <c r="O345" s="349"/>
      <c r="P345" s="349"/>
    </row>
    <row r="346" spans="1:16" ht="21.75" customHeight="1" x14ac:dyDescent="0.35">
      <c r="A346" s="241"/>
      <c r="B346" s="352"/>
      <c r="C346" s="242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IFERROR(__xludf.DUMMYFUNCTION("IMPORTRANGE(""https://docs.google.com/spreadsheets/d/1IYY_tgx_IHuhSq3AJ5eI5OnqOPBNLWSHKh2a30DoXe8/edit?usp=sharing"",""ชุมพร!I241"")"),0)</f>
        <v>0</v>
      </c>
      <c r="J346" s="195">
        <f ca="1">IFERROR(__xludf.DUMMYFUNCTION("IMPORTRANGE(""https://docs.google.com/spreadsheets/d/1IYY_tgx_IHuhSq3AJ5eI5OnqOPBNLWSHKh2a30DoXe8/edit?usp=sharing"",""ชุมพร!J241"")"),745.7)</f>
        <v>745.7</v>
      </c>
      <c r="K346" s="357">
        <f t="shared" ca="1" si="103"/>
        <v>0</v>
      </c>
      <c r="L346" s="252"/>
      <c r="M346" s="252"/>
      <c r="N346" s="252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IFERROR(__xludf.DUMMYFUNCTION("IMPORTRANGE(""https://docs.google.com/spreadsheets/d/1IYY_tgx_IHuhSq3AJ5eI5OnqOPBNLWSHKh2a30DoXe8/edit?usp=sharing"",""ชุมพร!L242"")"),2083897)</f>
        <v>2083897</v>
      </c>
      <c r="M347" s="364"/>
      <c r="N347" s="364">
        <f ca="1">IFERROR(__xludf.DUMMYFUNCTION("IMPORTRANGE(""https://docs.google.com/spreadsheets/d/1IYY_tgx_IHuhSq3AJ5eI5OnqOPBNLWSHKh2a30DoXe8/edit?usp=sharing"",""ชุมพร!M242"")"),481218.07)</f>
        <v>481218.07</v>
      </c>
      <c r="O347" s="364">
        <f ca="1">+IF(L347&gt;0,N347*100/L347,0)</f>
        <v>23.092219529084211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IFERROR(__xludf.DUMMYFUNCTION("IMPORTRANGE(""https://docs.google.com/spreadsheets/d/1IYY_tgx_IHuhSq3AJ5eI5OnqOPBNLWSHKh2a30DoXe8/edit?usp=sharing"",""ชุมพร!I244"")"),175)</f>
        <v>175</v>
      </c>
      <c r="J349" s="377">
        <f ca="1">IFERROR(__xludf.DUMMYFUNCTION("IMPORTRANGE(""https://docs.google.com/spreadsheets/d/1IYY_tgx_IHuhSq3AJ5eI5OnqOPBNLWSHKh2a30DoXe8/edit?usp=sharing"",""ชุมพร!J244"")"),0)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IFERROR(__xludf.DUMMYFUNCTION("IMPORTRANGE(""https://docs.google.com/spreadsheets/d/1IYY_tgx_IHuhSq3AJ5eI5OnqOPBNLWSHKh2a30DoXe8/edit?usp=sharing"",""ชุมพร!L244"")"),369210)</f>
        <v>369210</v>
      </c>
      <c r="M349" s="379"/>
      <c r="N349" s="379">
        <f ca="1">IFERROR(__xludf.DUMMYFUNCTION("IMPORTRANGE(""https://docs.google.com/spreadsheets/d/1IYY_tgx_IHuhSq3AJ5eI5OnqOPBNLWSHKh2a30DoXe8/edit?usp=sharing"",""ชุมพร!M244"")"),91637)</f>
        <v>91637</v>
      </c>
      <c r="O349" s="379">
        <f ca="1">+IF(L349&gt;0,N349*100/L349,0)</f>
        <v>24.819750277619782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IFERROR(__xludf.DUMMYFUNCTION("IMPORTRANGE(""https://docs.google.com/spreadsheets/d/1IYY_tgx_IHuhSq3AJ5eI5OnqOPBNLWSHKh2a30DoXe8/edit?usp=sharing"",""ชุมพร!I245"")"),35)</f>
        <v>35</v>
      </c>
      <c r="J350" s="377">
        <f ca="1">IFERROR(__xludf.DUMMYFUNCTION("IMPORTRANGE(""https://docs.google.com/spreadsheets/d/1IYY_tgx_IHuhSq3AJ5eI5OnqOPBNLWSHKh2a30DoXe8/edit?usp=sharing"",""ชุมพร!J245"")"),35)</f>
        <v>35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164" t="s">
        <v>38</v>
      </c>
      <c r="E351" s="165"/>
      <c r="F351" s="165"/>
      <c r="G351" s="166" t="s">
        <v>39</v>
      </c>
      <c r="H351" s="167" t="s">
        <v>12</v>
      </c>
      <c r="I351" s="168" t="s">
        <v>40</v>
      </c>
      <c r="J351" s="168"/>
      <c r="K351" s="169"/>
      <c r="L351" s="170">
        <f ca="1">IFERROR(__xludf.DUMMYFUNCTION("IMPORTRANGE(""https://docs.google.com/spreadsheets/d/1IYY_tgx_IHuhSq3AJ5eI5OnqOPBNLWSHKh2a30DoXe8/edit?usp=sharing"",""ชุมพร!L246"")"),0)</f>
        <v>0</v>
      </c>
      <c r="M351" s="170"/>
      <c r="N351" s="170">
        <f ca="1">IFERROR(__xludf.DUMMYFUNCTION("IMPORTRANGE(""https://docs.google.com/spreadsheets/d/1IYY_tgx_IHuhSq3AJ5eI5OnqOPBNLWSHKh2a30DoXe8/edit?usp=sharing"",""ชุมพร!M246"")"),0)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 x14ac:dyDescent="0.35">
      <c r="A352" s="162"/>
      <c r="B352" s="163"/>
      <c r="C352" s="163"/>
      <c r="D352" s="172"/>
      <c r="E352" s="165"/>
      <c r="F352" s="165" t="s">
        <v>40</v>
      </c>
      <c r="G352" s="166" t="s">
        <v>41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IFERROR(__xludf.DUMMYFUNCTION("IMPORTRANGE(""https://docs.google.com/spreadsheets/d/1IYY_tgx_IHuhSq3AJ5eI5OnqOPBNLWSHKh2a30DoXe8/edit?usp=sharing"",""ชุมพร!L247"")"),369210)</f>
        <v>369210</v>
      </c>
      <c r="M352" s="171"/>
      <c r="N352" s="170">
        <f ca="1">IFERROR(__xludf.DUMMYFUNCTION("IMPORTRANGE(""https://docs.google.com/spreadsheets/d/1IYY_tgx_IHuhSq3AJ5eI5OnqOPBNLWSHKh2a30DoXe8/edit?usp=sharing"",""ชุมพร!M247"")"),91637)</f>
        <v>91637</v>
      </c>
      <c r="O352" s="171">
        <f t="shared" ca="1" si="105"/>
        <v>24.819750277619782</v>
      </c>
      <c r="P352" s="171"/>
    </row>
    <row r="353" spans="1:16" ht="21.75" customHeight="1" x14ac:dyDescent="0.35">
      <c r="A353" s="162"/>
      <c r="B353" s="163"/>
      <c r="C353" s="163"/>
      <c r="D353" s="172"/>
      <c r="E353" s="165"/>
      <c r="F353" s="165"/>
      <c r="G353" s="380" t="s">
        <v>129</v>
      </c>
      <c r="H353" s="167" t="s">
        <v>12</v>
      </c>
      <c r="I353" s="168"/>
      <c r="J353" s="168"/>
      <c r="K353" s="169"/>
      <c r="L353" s="176">
        <f ca="1">IFERROR(__xludf.DUMMYFUNCTION("IMPORTRANGE(""https://docs.google.com/spreadsheets/d/1IYY_tgx_IHuhSq3AJ5eI5OnqOPBNLWSHKh2a30DoXe8/edit?usp=sharing"",""ชุมพร!L248"")"),0)</f>
        <v>0</v>
      </c>
      <c r="M353" s="176"/>
      <c r="N353" s="176">
        <f ca="1">IFERROR(__xludf.DUMMYFUNCTION("IMPORTRANGE(""https://docs.google.com/spreadsheets/d/1IYY_tgx_IHuhSq3AJ5eI5OnqOPBNLWSHKh2a30DoXe8/edit?usp=sharing"",""ชุมพร!M248"")"),0)</f>
        <v>0</v>
      </c>
      <c r="O353" s="176">
        <f t="shared" ca="1" si="105"/>
        <v>0</v>
      </c>
      <c r="P353" s="176"/>
    </row>
    <row r="354" spans="1:16" ht="21.75" customHeight="1" x14ac:dyDescent="0.35">
      <c r="A354" s="162"/>
      <c r="B354" s="163"/>
      <c r="C354" s="163"/>
      <c r="D354" s="172"/>
      <c r="E354" s="165"/>
      <c r="F354" s="165"/>
      <c r="G354" s="380" t="s">
        <v>130</v>
      </c>
      <c r="H354" s="167" t="s">
        <v>12</v>
      </c>
      <c r="I354" s="168"/>
      <c r="J354" s="168"/>
      <c r="K354" s="169"/>
      <c r="L354" s="176">
        <f ca="1">IFERROR(__xludf.DUMMYFUNCTION("IMPORTRANGE(""https://docs.google.com/spreadsheets/d/1IYY_tgx_IHuhSq3AJ5eI5OnqOPBNLWSHKh2a30DoXe8/edit?usp=sharing"",""ชุมพร!L249"")"),369210)</f>
        <v>369210</v>
      </c>
      <c r="M354" s="176"/>
      <c r="N354" s="173">
        <f ca="1">IFERROR(__xludf.DUMMYFUNCTION("IMPORTRANGE(""https://docs.google.com/spreadsheets/d/1IYY_tgx_IHuhSq3AJ5eI5OnqOPBNLWSHKh2a30DoXe8/edit?usp=sharing"",""ชุมพร!M249"")"),91637)</f>
        <v>91637</v>
      </c>
      <c r="O354" s="176">
        <f t="shared" ca="1" si="105"/>
        <v>24.819750277619782</v>
      </c>
      <c r="P354" s="176"/>
    </row>
    <row r="355" spans="1:16" ht="21.75" customHeight="1" x14ac:dyDescent="0.35">
      <c r="A355" s="381"/>
      <c r="B355" s="382"/>
      <c r="C355" s="163"/>
      <c r="D355" s="383"/>
      <c r="E355" s="165"/>
      <c r="F355" s="165"/>
      <c r="G355" s="384" t="s">
        <v>131</v>
      </c>
      <c r="H355" s="167" t="s">
        <v>12</v>
      </c>
      <c r="I355" s="195"/>
      <c r="J355" s="195"/>
      <c r="K355" s="231"/>
      <c r="L355" s="176"/>
      <c r="M355" s="176"/>
      <c r="N355" s="385">
        <f ca="1">IFERROR(__xludf.DUMMYFUNCTION("IMPORTRANGE(""https://docs.google.com/spreadsheets/d/1IYY_tgx_IHuhSq3AJ5eI5OnqOPBNLWSHKh2a30DoXe8/edit?usp=sharing"",""ชุมพร!M250"")"),41580)</f>
        <v>41580</v>
      </c>
      <c r="O355" s="176"/>
      <c r="P355" s="176"/>
    </row>
    <row r="356" spans="1:16" ht="21.75" customHeight="1" x14ac:dyDescent="0.35">
      <c r="A356" s="381"/>
      <c r="B356" s="382"/>
      <c r="C356" s="163"/>
      <c r="D356" s="383"/>
      <c r="E356" s="165"/>
      <c r="F356" s="165"/>
      <c r="G356" s="384" t="s">
        <v>132</v>
      </c>
      <c r="H356" s="167" t="s">
        <v>12</v>
      </c>
      <c r="I356" s="195"/>
      <c r="J356" s="195"/>
      <c r="K356" s="231"/>
      <c r="L356" s="176"/>
      <c r="M356" s="176"/>
      <c r="N356" s="385">
        <f ca="1">IFERROR(__xludf.DUMMYFUNCTION("IMPORTRANGE(""https://docs.google.com/spreadsheets/d/1IYY_tgx_IHuhSq3AJ5eI5OnqOPBNLWSHKh2a30DoXe8/edit?usp=sharing"",""ชุมพร!M251"")"),0)</f>
        <v>0</v>
      </c>
      <c r="O356" s="176"/>
      <c r="P356" s="176"/>
    </row>
    <row r="357" spans="1:16" ht="21.75" customHeight="1" x14ac:dyDescent="0.35">
      <c r="A357" s="381"/>
      <c r="B357" s="382"/>
      <c r="C357" s="163"/>
      <c r="D357" s="383"/>
      <c r="E357" s="165"/>
      <c r="F357" s="165"/>
      <c r="G357" s="384" t="s">
        <v>133</v>
      </c>
      <c r="H357" s="167" t="s">
        <v>12</v>
      </c>
      <c r="I357" s="195"/>
      <c r="J357" s="195"/>
      <c r="K357" s="231"/>
      <c r="L357" s="176"/>
      <c r="M357" s="176"/>
      <c r="N357" s="385">
        <f ca="1">IFERROR(__xludf.DUMMYFUNCTION("IMPORTRANGE(""https://docs.google.com/spreadsheets/d/1IYY_tgx_IHuhSq3AJ5eI5OnqOPBNLWSHKh2a30DoXe8/edit?usp=sharing"",""ชุมพร!M252"")"),42542)</f>
        <v>42542</v>
      </c>
      <c r="O357" s="176"/>
      <c r="P357" s="176"/>
    </row>
    <row r="358" spans="1:16" ht="21.75" customHeight="1" x14ac:dyDescent="0.35">
      <c r="A358" s="381"/>
      <c r="B358" s="382"/>
      <c r="C358" s="163"/>
      <c r="D358" s="383"/>
      <c r="E358" s="165"/>
      <c r="F358" s="165"/>
      <c r="G358" s="384" t="s">
        <v>134</v>
      </c>
      <c r="H358" s="167" t="s">
        <v>12</v>
      </c>
      <c r="I358" s="195"/>
      <c r="J358" s="195"/>
      <c r="K358" s="231"/>
      <c r="L358" s="176"/>
      <c r="M358" s="176"/>
      <c r="N358" s="385">
        <f ca="1">IFERROR(__xludf.DUMMYFUNCTION("IMPORTRANGE(""https://docs.google.com/spreadsheets/d/1IYY_tgx_IHuhSq3AJ5eI5OnqOPBNLWSHKh2a30DoXe8/edit?usp=sharing"",""ชุมพร!M253"")"),7515)</f>
        <v>7515</v>
      </c>
      <c r="O358" s="176"/>
      <c r="P358" s="176"/>
    </row>
    <row r="359" spans="1:16" ht="21.75" customHeight="1" x14ac:dyDescent="0.35">
      <c r="A359" s="183"/>
      <c r="B359" s="184"/>
      <c r="C359" s="163" t="s">
        <v>16</v>
      </c>
      <c r="D359" s="185" t="s">
        <v>44</v>
      </c>
      <c r="E359" s="186"/>
      <c r="F359" s="186"/>
      <c r="G359" s="187"/>
      <c r="H359" s="188"/>
      <c r="I359" s="168"/>
      <c r="J359" s="168"/>
      <c r="K359" s="169"/>
      <c r="L359" s="189"/>
      <c r="M359" s="189"/>
      <c r="N359" s="189"/>
      <c r="O359" s="189"/>
      <c r="P359" s="189"/>
    </row>
    <row r="360" spans="1:16" ht="21.75" customHeight="1" x14ac:dyDescent="0.35">
      <c r="A360" s="183"/>
      <c r="B360" s="184"/>
      <c r="C360" s="184"/>
      <c r="D360" s="190">
        <v>1</v>
      </c>
      <c r="E360" s="191" t="s">
        <v>45</v>
      </c>
      <c r="F360" s="192"/>
      <c r="G360" s="193"/>
      <c r="H360" s="194"/>
      <c r="I360" s="195"/>
      <c r="J360" s="205">
        <f ca="1">IFERROR(__xludf.DUMMYFUNCTION("IMPORTRANGE(""https://docs.google.com/spreadsheets/d/1IYY_tgx_IHuhSq3AJ5eI5OnqOPBNLWSHKh2a30DoXe8/edit?usp=sharing"",""ชุมพร!J255"")"),0)</f>
        <v>0</v>
      </c>
      <c r="K360" s="169"/>
      <c r="L360" s="189"/>
      <c r="M360" s="189"/>
      <c r="N360" s="189"/>
      <c r="O360" s="189"/>
      <c r="P360" s="189"/>
    </row>
    <row r="361" spans="1:16" ht="21.75" customHeight="1" x14ac:dyDescent="0.35">
      <c r="A361" s="183"/>
      <c r="B361" s="184"/>
      <c r="C361" s="184"/>
      <c r="D361" s="197">
        <v>2</v>
      </c>
      <c r="E361" s="198" t="s">
        <v>46</v>
      </c>
      <c r="F361" s="199"/>
      <c r="G361" s="200"/>
      <c r="H361" s="194"/>
      <c r="I361" s="195"/>
      <c r="J361" s="196">
        <f ca="1">IFERROR(__xludf.DUMMYFUNCTION("IMPORTRANGE(""https://docs.google.com/spreadsheets/d/1IYY_tgx_IHuhSq3AJ5eI5OnqOPBNLWSHKh2a30DoXe8/edit?usp=sharing"",""ชุมพร!J256"")"),1)</f>
        <v>1</v>
      </c>
      <c r="K361" s="169"/>
      <c r="L361" s="189" t="s">
        <v>40</v>
      </c>
      <c r="M361" s="189"/>
      <c r="N361" s="189" t="s">
        <v>40</v>
      </c>
      <c r="O361" s="189"/>
      <c r="P361" s="189"/>
    </row>
    <row r="362" spans="1:16" ht="21.75" customHeight="1" x14ac:dyDescent="0.35">
      <c r="A362" s="183"/>
      <c r="B362" s="184"/>
      <c r="C362" s="184"/>
      <c r="D362" s="201"/>
      <c r="E362" s="202" t="s">
        <v>47</v>
      </c>
      <c r="F362" s="203"/>
      <c r="G362" s="204"/>
      <c r="H362" s="194"/>
      <c r="I362" s="195"/>
      <c r="J362" s="196">
        <f ca="1">IFERROR(__xludf.DUMMYFUNCTION("IMPORTRANGE(""https://docs.google.com/spreadsheets/d/1IYY_tgx_IHuhSq3AJ5eI5OnqOPBNLWSHKh2a30DoXe8/edit?usp=sharing"",""ชุมพร!J257"")"),1)</f>
        <v>1</v>
      </c>
      <c r="K362" s="169"/>
      <c r="L362" s="189"/>
      <c r="M362" s="189"/>
      <c r="N362" s="189"/>
      <c r="O362" s="189"/>
      <c r="P362" s="189"/>
    </row>
    <row r="363" spans="1:16" ht="21.75" customHeight="1" x14ac:dyDescent="0.35">
      <c r="A363" s="183"/>
      <c r="B363" s="184"/>
      <c r="C363" s="184"/>
      <c r="D363" s="201"/>
      <c r="E363" s="202" t="s">
        <v>48</v>
      </c>
      <c r="F363" s="203"/>
      <c r="G363" s="204"/>
      <c r="H363" s="194"/>
      <c r="I363" s="195"/>
      <c r="J363" s="205">
        <f ca="1">IFERROR(__xludf.DUMMYFUNCTION("IMPORTRANGE(""https://docs.google.com/spreadsheets/d/1IYY_tgx_IHuhSq3AJ5eI5OnqOPBNLWSHKh2a30DoXe8/edit?usp=sharing"",""ชุมพร!J258"")"),1)</f>
        <v>1</v>
      </c>
      <c r="K363" s="169"/>
      <c r="L363" s="189"/>
      <c r="M363" s="189"/>
      <c r="N363" s="189"/>
      <c r="O363" s="189"/>
      <c r="P363" s="189"/>
    </row>
    <row r="364" spans="1:16" ht="21.75" hidden="1" customHeight="1" x14ac:dyDescent="0.35">
      <c r="A364" s="183"/>
      <c r="B364" s="184"/>
      <c r="C364" s="184"/>
      <c r="D364" s="201"/>
      <c r="E364" s="206"/>
      <c r="F364" s="202" t="s">
        <v>70</v>
      </c>
      <c r="G364" s="204"/>
      <c r="H364" s="188"/>
      <c r="I364" s="195"/>
      <c r="J364" s="195">
        <f ca="1">IFERROR(__xludf.DUMMYFUNCTION("IMPORTRANGE(""https://docs.google.com/spreadsheets/d/1IYY_tgx_IHuhSq3AJ5eI5OnqOPBNLWSHKh2a30DoXe8/edit?usp=sharing"",""ชุมพร!J166"")"),0)</f>
        <v>0</v>
      </c>
      <c r="K364" s="169"/>
      <c r="L364" s="189"/>
      <c r="M364" s="189"/>
      <c r="N364" s="189"/>
      <c r="O364" s="189"/>
      <c r="P364" s="189"/>
    </row>
    <row r="365" spans="1:16" ht="21.75" hidden="1" customHeight="1" x14ac:dyDescent="0.35">
      <c r="A365" s="183"/>
      <c r="B365" s="184"/>
      <c r="C365" s="184"/>
      <c r="D365" s="201"/>
      <c r="E365" s="206"/>
      <c r="F365" s="203"/>
      <c r="G365" s="233" t="s">
        <v>135</v>
      </c>
      <c r="H365" s="188" t="s">
        <v>37</v>
      </c>
      <c r="I365" s="195">
        <f ca="1">IFERROR(__xludf.DUMMYFUNCTION("IMPORTRANGE(""https://docs.google.com/spreadsheets/d/1C3CXT74ZlgGe6_JY_1olB1XN4rF0dxEuIIF-xsYjHgg/edit?usp=sharing"",""งบกองทุน!f63"")"),0)</f>
        <v>0</v>
      </c>
      <c r="J365" s="195">
        <f ca="1">IFERROR(__xludf.DUMMYFUNCTION("IMPORTRANGE(""https://docs.google.com/spreadsheets/d/1IYY_tgx_IHuhSq3AJ5eI5OnqOPBNLWSHKh2a30DoXe8/edit?usp=sharing"",""ชุมพร!J166"")"),0)</f>
        <v>0</v>
      </c>
      <c r="K365" s="169">
        <f ca="1">IF(I365&gt;0,J365*100/I365,0)</f>
        <v>0</v>
      </c>
      <c r="L365" s="189"/>
      <c r="M365" s="189"/>
      <c r="N365" s="189"/>
      <c r="O365" s="189"/>
      <c r="P365" s="189"/>
    </row>
    <row r="366" spans="1:16" ht="21.75" hidden="1" customHeight="1" x14ac:dyDescent="0.35">
      <c r="A366" s="183"/>
      <c r="B366" s="184"/>
      <c r="C366" s="184"/>
      <c r="D366" s="201"/>
      <c r="E366" s="206"/>
      <c r="F366" s="203"/>
      <c r="G366" s="204" t="s">
        <v>136</v>
      </c>
      <c r="H366" s="188"/>
      <c r="I366" s="168"/>
      <c r="J366" s="195">
        <f ca="1">IFERROR(__xludf.DUMMYFUNCTION("IMPORTRANGE(""https://docs.google.com/spreadsheets/d/1IYY_tgx_IHuhSq3AJ5eI5OnqOPBNLWSHKh2a30DoXe8/edit?usp=sharing"",""ชุมพร!J166"")"),0)</f>
        <v>0</v>
      </c>
      <c r="K366" s="169"/>
      <c r="L366" s="189"/>
      <c r="M366" s="189"/>
      <c r="N366" s="189"/>
      <c r="O366" s="189"/>
      <c r="P366" s="189"/>
    </row>
    <row r="367" spans="1:16" ht="21.75" hidden="1" customHeight="1" x14ac:dyDescent="0.35">
      <c r="A367" s="183"/>
      <c r="B367" s="184"/>
      <c r="C367" s="184"/>
      <c r="D367" s="201"/>
      <c r="E367" s="206"/>
      <c r="F367" s="203"/>
      <c r="G367" s="233" t="s">
        <v>137</v>
      </c>
      <c r="H367" s="194" t="s">
        <v>122</v>
      </c>
      <c r="I367" s="195">
        <f ca="1">SUM(I369,I371)</f>
        <v>0</v>
      </c>
      <c r="J367" s="195">
        <f ca="1">IFERROR(__xludf.DUMMYFUNCTION("IMPORTRANGE(""https://docs.google.com/spreadsheets/d/1IYY_tgx_IHuhSq3AJ5eI5OnqOPBNLWSHKh2a30DoXe8/edit?usp=sharing"",""ชุมพร!J166"")"),0)</f>
        <v>0</v>
      </c>
      <c r="K367" s="169">
        <f t="shared" ref="K367:K373" ca="1" si="106">IF(I367&gt;0,J367*100/I367,0)</f>
        <v>0</v>
      </c>
      <c r="L367" s="189"/>
      <c r="M367" s="189"/>
      <c r="N367" s="189"/>
      <c r="O367" s="189"/>
      <c r="P367" s="189"/>
    </row>
    <row r="368" spans="1:16" ht="21.75" customHeight="1" x14ac:dyDescent="0.35">
      <c r="A368" s="183"/>
      <c r="B368" s="184"/>
      <c r="C368" s="184"/>
      <c r="D368" s="201"/>
      <c r="E368" s="206"/>
      <c r="F368" s="386" t="s">
        <v>138</v>
      </c>
      <c r="G368" s="387"/>
      <c r="H368" s="194" t="s">
        <v>37</v>
      </c>
      <c r="I368" s="168">
        <f ca="1">IFERROR(__xludf.DUMMYFUNCTION("IMPORTRANGE(""https://docs.google.com/spreadsheets/d/1IYY_tgx_IHuhSq3AJ5eI5OnqOPBNLWSHKh2a30DoXe8/edit?usp=sharing"",""ชุมพร!I263"")"),35)</f>
        <v>35</v>
      </c>
      <c r="J368" s="195">
        <f ca="1">IFERROR(__xludf.DUMMYFUNCTION("IMPORTRANGE(""https://docs.google.com/spreadsheets/d/1IYY_tgx_IHuhSq3AJ5eI5OnqOPBNLWSHKh2a30DoXe8/edit?usp=sharing"",""ชุมพร!J263"")"),35)</f>
        <v>35</v>
      </c>
      <c r="K368" s="169">
        <f t="shared" ca="1" si="106"/>
        <v>100</v>
      </c>
      <c r="L368" s="189"/>
      <c r="M368" s="189"/>
      <c r="N368" s="189"/>
      <c r="O368" s="189"/>
      <c r="P368" s="189"/>
    </row>
    <row r="369" spans="1:16" ht="21.75" hidden="1" customHeight="1" x14ac:dyDescent="0.35">
      <c r="A369" s="183"/>
      <c r="B369" s="184"/>
      <c r="C369" s="184"/>
      <c r="D369" s="201"/>
      <c r="E369" s="206"/>
      <c r="F369" s="203"/>
      <c r="G369" s="387"/>
      <c r="H369" s="188" t="s">
        <v>122</v>
      </c>
      <c r="I369" s="168">
        <f ca="1">IFERROR(__xludf.DUMMYFUNCTION("IMPORTRANGE(""https://docs.google.com/spreadsheets/d/1IYY_tgx_IHuhSq3AJ5eI5OnqOPBNLWSHKh2a30DoXe8/edit?usp=sharing"",""ชุมพร!I164"")"),0)</f>
        <v>0</v>
      </c>
      <c r="J369" s="211">
        <f ca="1">IFERROR(__xludf.DUMMYFUNCTION("IMPORTRANGE(""https://docs.google.com/spreadsheets/d/1IYY_tgx_IHuhSq3AJ5eI5OnqOPBNLWSHKh2a30DoXe8/edit?usp=sharing"",""ชุมพร!J164"")"),0)</f>
        <v>0</v>
      </c>
      <c r="K369" s="169">
        <f t="shared" ca="1" si="106"/>
        <v>0</v>
      </c>
      <c r="L369" s="189"/>
      <c r="M369" s="189"/>
      <c r="N369" s="189"/>
      <c r="O369" s="189"/>
      <c r="P369" s="189"/>
    </row>
    <row r="370" spans="1:16" ht="21.75" customHeight="1" x14ac:dyDescent="0.35">
      <c r="A370" s="183"/>
      <c r="B370" s="184"/>
      <c r="C370" s="184"/>
      <c r="D370" s="201"/>
      <c r="E370" s="206"/>
      <c r="F370" s="203"/>
      <c r="G370" s="386" t="s">
        <v>139</v>
      </c>
      <c r="H370" s="188" t="s">
        <v>37</v>
      </c>
      <c r="I370" s="168">
        <f ca="1">IFERROR(__xludf.DUMMYFUNCTION("IMPORTRANGE(""https://docs.google.com/spreadsheets/d/1IYY_tgx_IHuhSq3AJ5eI5OnqOPBNLWSHKh2a30DoXe8/edit?usp=sharing"",""ชุมพร!I265"")"),35)</f>
        <v>35</v>
      </c>
      <c r="J370" s="211">
        <f ca="1">IFERROR(__xludf.DUMMYFUNCTION("IMPORTRANGE(""https://docs.google.com/spreadsheets/d/1IYY_tgx_IHuhSq3AJ5eI5OnqOPBNLWSHKh2a30DoXe8/edit?usp=sharing"",""ชุมพร!J265"")"),35)</f>
        <v>35</v>
      </c>
      <c r="K370" s="169">
        <f t="shared" ca="1" si="106"/>
        <v>100</v>
      </c>
      <c r="L370" s="189"/>
      <c r="M370" s="189"/>
      <c r="N370" s="189"/>
      <c r="O370" s="189"/>
      <c r="P370" s="189"/>
    </row>
    <row r="371" spans="1:16" ht="21.75" hidden="1" customHeight="1" x14ac:dyDescent="0.35">
      <c r="A371" s="183"/>
      <c r="B371" s="184"/>
      <c r="C371" s="184"/>
      <c r="D371" s="201"/>
      <c r="E371" s="206"/>
      <c r="F371" s="203"/>
      <c r="G371" s="387"/>
      <c r="H371" s="188" t="s">
        <v>122</v>
      </c>
      <c r="I371" s="168">
        <f ca="1">IFERROR(__xludf.DUMMYFUNCTION("IMPORTRANGE(""https://docs.google.com/spreadsheets/d/1IYY_tgx_IHuhSq3AJ5eI5OnqOPBNLWSHKh2a30DoXe8/edit?usp=sharing"",""ชุมพร!I164"")"),0)</f>
        <v>0</v>
      </c>
      <c r="J371" s="196">
        <f ca="1">IFERROR(__xludf.DUMMYFUNCTION("IMPORTRANGE(""https://docs.google.com/spreadsheets/d/1IYY_tgx_IHuhSq3AJ5eI5OnqOPBNLWSHKh2a30DoXe8/edit?usp=sharing"",""ชุมพร!J164"")"),0)</f>
        <v>0</v>
      </c>
      <c r="K371" s="169">
        <f t="shared" ca="1" si="106"/>
        <v>0</v>
      </c>
      <c r="L371" s="189"/>
      <c r="M371" s="189"/>
      <c r="N371" s="189"/>
      <c r="O371" s="189"/>
      <c r="P371" s="189"/>
    </row>
    <row r="372" spans="1:16" ht="21.75" customHeight="1" x14ac:dyDescent="0.35">
      <c r="A372" s="183"/>
      <c r="B372" s="184"/>
      <c r="C372" s="184"/>
      <c r="D372" s="201"/>
      <c r="E372" s="206"/>
      <c r="F372" s="203"/>
      <c r="G372" s="386" t="s">
        <v>140</v>
      </c>
      <c r="H372" s="188" t="s">
        <v>37</v>
      </c>
      <c r="I372" s="168">
        <f ca="1">IFERROR(__xludf.DUMMYFUNCTION("IMPORTRANGE(""https://docs.google.com/spreadsheets/d/1IYY_tgx_IHuhSq3AJ5eI5OnqOPBNLWSHKh2a30DoXe8/edit?usp=sharing"",""ชุมพร!I267"")"),35)</f>
        <v>35</v>
      </c>
      <c r="J372" s="196">
        <f ca="1">IFERROR(__xludf.DUMMYFUNCTION("IMPORTRANGE(""https://docs.google.com/spreadsheets/d/1IYY_tgx_IHuhSq3AJ5eI5OnqOPBNLWSHKh2a30DoXe8/edit?usp=sharing"",""ชุมพร!J267"")"),35)</f>
        <v>35</v>
      </c>
      <c r="K372" s="169">
        <f t="shared" ca="1" si="106"/>
        <v>100</v>
      </c>
      <c r="L372" s="189"/>
      <c r="M372" s="189"/>
      <c r="N372" s="189"/>
      <c r="O372" s="189"/>
      <c r="P372" s="189"/>
    </row>
    <row r="373" spans="1:16" ht="21.75" hidden="1" customHeight="1" x14ac:dyDescent="0.35">
      <c r="A373" s="183"/>
      <c r="B373" s="184"/>
      <c r="C373" s="184"/>
      <c r="D373" s="201"/>
      <c r="E373" s="206"/>
      <c r="F373" s="203"/>
      <c r="G373" s="233" t="s">
        <v>141</v>
      </c>
      <c r="H373" s="188" t="s">
        <v>37</v>
      </c>
      <c r="I373" s="195">
        <f ca="1">IFERROR(__xludf.DUMMYFUNCTION("IMPORTRANGE(""https://docs.google.com/spreadsheets/d/1IYY_tgx_IHuhSq3AJ5eI5OnqOPBNLWSHKh2a30DoXe8/edit?usp=sharing"",""ชุมพร!I164"")"),0)</f>
        <v>0</v>
      </c>
      <c r="J373" s="211">
        <f ca="1">IFERROR(__xludf.DUMMYFUNCTION("IMPORTRANGE(""https://docs.google.com/spreadsheets/d/1IYY_tgx_IHuhSq3AJ5eI5OnqOPBNLWSHKh2a30DoXe8/edit?usp=sharing"",""ชุมพร!J164"")"),0)</f>
        <v>0</v>
      </c>
      <c r="K373" s="169">
        <f t="shared" ca="1" si="106"/>
        <v>0</v>
      </c>
      <c r="L373" s="189"/>
      <c r="M373" s="189"/>
      <c r="N373" s="189"/>
      <c r="O373" s="189"/>
      <c r="P373" s="189"/>
    </row>
    <row r="374" spans="1:16" ht="21.75" hidden="1" customHeight="1" x14ac:dyDescent="0.35">
      <c r="A374" s="183"/>
      <c r="B374" s="184"/>
      <c r="C374" s="184"/>
      <c r="D374" s="201"/>
      <c r="E374" s="206"/>
      <c r="F374" s="203"/>
      <c r="G374" s="204" t="s">
        <v>142</v>
      </c>
      <c r="H374" s="188"/>
      <c r="I374" s="195">
        <f ca="1">IFERROR(__xludf.DUMMYFUNCTION("IMPORTRANGE(""https://docs.google.com/spreadsheets/d/1IYY_tgx_IHuhSq3AJ5eI5OnqOPBNLWSHKh2a30DoXe8/edit?usp=sharing"",""ชุมพร!I164"")"),0)</f>
        <v>0</v>
      </c>
      <c r="J374" s="195">
        <f ca="1">IFERROR(__xludf.DUMMYFUNCTION("IMPORTRANGE(""https://docs.google.com/spreadsheets/d/1IYY_tgx_IHuhSq3AJ5eI5OnqOPBNLWSHKh2a30DoXe8/edit?usp=sharing"",""ชุมพร!J164"")"),0)</f>
        <v>0</v>
      </c>
      <c r="K374" s="169"/>
      <c r="L374" s="189"/>
      <c r="M374" s="189"/>
      <c r="N374" s="189"/>
      <c r="O374" s="189"/>
      <c r="P374" s="189"/>
    </row>
    <row r="375" spans="1:16" ht="21.75" customHeight="1" x14ac:dyDescent="0.35">
      <c r="A375" s="183"/>
      <c r="B375" s="184"/>
      <c r="C375" s="184"/>
      <c r="D375" s="201"/>
      <c r="E375" s="203"/>
      <c r="F375" s="212" t="s">
        <v>53</v>
      </c>
      <c r="G375" s="204"/>
      <c r="H375" s="286" t="s">
        <v>122</v>
      </c>
      <c r="I375" s="195">
        <f ca="1">IFERROR(__xludf.DUMMYFUNCTION("IMPORTRANGE(""https://docs.google.com/spreadsheets/d/1IYY_tgx_IHuhSq3AJ5eI5OnqOPBNLWSHKh2a30DoXe8/edit?usp=sharing"",""ชุมพร!I270"")"),175)</f>
        <v>175</v>
      </c>
      <c r="J375" s="195">
        <f ca="1">IFERROR(__xludf.DUMMYFUNCTION("IMPORTRANGE(""https://docs.google.com/spreadsheets/d/1IYY_tgx_IHuhSq3AJ5eI5OnqOPBNLWSHKh2a30DoXe8/edit?usp=sharing"",""ชุมพร!J270"")"),0)</f>
        <v>0</v>
      </c>
      <c r="K375" s="169">
        <f t="shared" ref="K375:K377" ca="1" si="107">IF(I375&gt;0,J375*100/I375,0)</f>
        <v>0</v>
      </c>
      <c r="L375" s="189"/>
      <c r="M375" s="189"/>
      <c r="N375" s="189"/>
      <c r="O375" s="189"/>
      <c r="P375" s="189"/>
    </row>
    <row r="376" spans="1:16" ht="21.75" customHeight="1" x14ac:dyDescent="0.35">
      <c r="A376" s="183"/>
      <c r="B376" s="184"/>
      <c r="C376" s="184"/>
      <c r="D376" s="201"/>
      <c r="E376" s="203"/>
      <c r="F376" s="203"/>
      <c r="G376" s="287" t="s">
        <v>143</v>
      </c>
      <c r="H376" s="286" t="s">
        <v>122</v>
      </c>
      <c r="I376" s="195">
        <f ca="1">IFERROR(__xludf.DUMMYFUNCTION("IMPORTRANGE(""https://docs.google.com/spreadsheets/d/1IYY_tgx_IHuhSq3AJ5eI5OnqOPBNLWSHKh2a30DoXe8/edit?usp=sharing"",""ชุมพร!I271"")"),50)</f>
        <v>50</v>
      </c>
      <c r="J376" s="196">
        <f ca="1">IFERROR(__xludf.DUMMYFUNCTION("IMPORTRANGE(""https://docs.google.com/spreadsheets/d/1IYY_tgx_IHuhSq3AJ5eI5OnqOPBNLWSHKh2a30DoXe8/edit?usp=sharing"",""ชุมพร!J271"")"),0)</f>
        <v>0</v>
      </c>
      <c r="K376" s="169">
        <f t="shared" ca="1" si="107"/>
        <v>0</v>
      </c>
      <c r="L376" s="189"/>
      <c r="M376" s="189"/>
      <c r="N376" s="189"/>
      <c r="O376" s="189"/>
      <c r="P376" s="189"/>
    </row>
    <row r="377" spans="1:16" ht="21.75" customHeight="1" x14ac:dyDescent="0.35">
      <c r="A377" s="183"/>
      <c r="B377" s="184"/>
      <c r="C377" s="184"/>
      <c r="D377" s="201"/>
      <c r="E377" s="203"/>
      <c r="F377" s="203"/>
      <c r="G377" s="287" t="s">
        <v>144</v>
      </c>
      <c r="H377" s="286" t="s">
        <v>122</v>
      </c>
      <c r="I377" s="195">
        <f ca="1">IFERROR(__xludf.DUMMYFUNCTION("IMPORTRANGE(""https://docs.google.com/spreadsheets/d/1IYY_tgx_IHuhSq3AJ5eI5OnqOPBNLWSHKh2a30DoXe8/edit?usp=sharing"",""ชุมพร!I272"")"),125)</f>
        <v>125</v>
      </c>
      <c r="J377" s="211">
        <f ca="1">IFERROR(__xludf.DUMMYFUNCTION("IMPORTRANGE(""https://docs.google.com/spreadsheets/d/1IYY_tgx_IHuhSq3AJ5eI5OnqOPBNLWSHKh2a30DoXe8/edit?usp=sharing"",""ชุมพร!J272"")"),0)</f>
        <v>0</v>
      </c>
      <c r="K377" s="169">
        <f t="shared" ca="1" si="107"/>
        <v>0</v>
      </c>
      <c r="L377" s="189"/>
      <c r="M377" s="189"/>
      <c r="N377" s="189"/>
      <c r="O377" s="189"/>
      <c r="P377" s="189"/>
    </row>
    <row r="378" spans="1:16" ht="21.75" customHeight="1" x14ac:dyDescent="0.35">
      <c r="A378" s="183"/>
      <c r="B378" s="184"/>
      <c r="C378" s="184"/>
      <c r="D378" s="201"/>
      <c r="E378" s="202" t="s">
        <v>54</v>
      </c>
      <c r="F378" s="203"/>
      <c r="G378" s="204"/>
      <c r="H378" s="194"/>
      <c r="I378" s="195"/>
      <c r="J378" s="205">
        <f ca="1">IFERROR(__xludf.DUMMYFUNCTION("IMPORTRANGE(""https://docs.google.com/spreadsheets/d/1IYY_tgx_IHuhSq3AJ5eI5OnqOPBNLWSHKh2a30DoXe8/edit?usp=sharing"",""ชุมพร!J273"")"),0)</f>
        <v>0</v>
      </c>
      <c r="K378" s="169"/>
      <c r="L378" s="189"/>
      <c r="M378" s="189"/>
      <c r="N378" s="189"/>
      <c r="O378" s="189"/>
      <c r="P378" s="189"/>
    </row>
    <row r="379" spans="1:16" ht="21.75" customHeight="1" x14ac:dyDescent="0.35">
      <c r="A379" s="183"/>
      <c r="B379" s="184"/>
      <c r="C379" s="184"/>
      <c r="D379" s="213">
        <v>3</v>
      </c>
      <c r="E379" s="214" t="s">
        <v>55</v>
      </c>
      <c r="F379" s="215"/>
      <c r="G379" s="216"/>
      <c r="H379" s="194"/>
      <c r="I379" s="195"/>
      <c r="J379" s="217">
        <f ca="1">IFERROR(__xludf.DUMMYFUNCTION("IMPORTRANGE(""https://docs.google.com/spreadsheets/d/1IYY_tgx_IHuhSq3AJ5eI5OnqOPBNLWSHKh2a30DoXe8/edit?usp=sharing"",""ชุมพร!J274"")"),0)</f>
        <v>0</v>
      </c>
      <c r="K379" s="169"/>
      <c r="L379" s="189"/>
      <c r="M379" s="189"/>
      <c r="N379" s="189"/>
      <c r="O379" s="189"/>
      <c r="P379" s="189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IFERROR(__xludf.DUMMYFUNCTION("IMPORTRANGE(""https://docs.google.com/spreadsheets/d/1IYY_tgx_IHuhSq3AJ5eI5OnqOPBNLWSHKh2a30DoXe8/edit?usp=sharing"",""ชุมพร!I275"")"),500)</f>
        <v>500</v>
      </c>
      <c r="J380" s="377">
        <f ca="1">IFERROR(__xludf.DUMMYFUNCTION("IMPORTRANGE(""https://docs.google.com/spreadsheets/d/1IYY_tgx_IHuhSq3AJ5eI5OnqOPBNLWSHKh2a30DoXe8/edit?usp=sharing"",""ชุมพร!J275"")"),0)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IFERROR(__xludf.DUMMYFUNCTION("IMPORTRANGE(""https://docs.google.com/spreadsheets/d/1IYY_tgx_IHuhSq3AJ5eI5OnqOPBNLWSHKh2a30DoXe8/edit?usp=sharing"",""ชุมพร!L275"")"),460140)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IFERROR(__xludf.DUMMYFUNCTION("IMPORTRANGE(""https://docs.google.com/spreadsheets/d/1IYY_tgx_IHuhSq3AJ5eI5OnqOPBNLWSHKh2a30DoXe8/edit?usp=sharing"",""ชุมพร!M275"")"),51720)</f>
        <v>51720</v>
      </c>
      <c r="O380" s="379">
        <f ca="1">+IF(L380&gt;0,N380*100/L380,0)</f>
        <v>11.240057373842744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IFERROR(__xludf.DUMMYFUNCTION("IMPORTRANGE(""https://docs.google.com/spreadsheets/d/1IYY_tgx_IHuhSq3AJ5eI5OnqOPBNLWSHKh2a30DoXe8/edit?usp=sharing"",""ชุมพร!I276"")"),50)</f>
        <v>50</v>
      </c>
      <c r="J381" s="377">
        <f ca="1">IFERROR(__xludf.DUMMYFUNCTION("IMPORTRANGE(""https://docs.google.com/spreadsheets/d/1IYY_tgx_IHuhSq3AJ5eI5OnqOPBNLWSHKh2a30DoXe8/edit?usp=sharing"",""ชุมพร!J276"")"),50)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164" t="s">
        <v>38</v>
      </c>
      <c r="E382" s="165"/>
      <c r="F382" s="165"/>
      <c r="G382" s="166" t="s">
        <v>39</v>
      </c>
      <c r="H382" s="167" t="s">
        <v>12</v>
      </c>
      <c r="I382" s="168" t="s">
        <v>40</v>
      </c>
      <c r="J382" s="168"/>
      <c r="K382" s="169"/>
      <c r="L382" s="170">
        <f ca="1">IFERROR(__xludf.DUMMYFUNCTION("IMPORTRANGE(""https://docs.google.com/spreadsheets/d/1IYY_tgx_IHuhSq3AJ5eI5OnqOPBNLWSHKh2a30DoXe8/edit?usp=sharing"",""ชุมพร!L277"")"),0)</f>
        <v>0</v>
      </c>
      <c r="M382" s="170"/>
      <c r="N382" s="170">
        <f ca="1">IFERROR(__xludf.DUMMYFUNCTION("IMPORTRANGE(""https://docs.google.com/spreadsheets/d/1IYY_tgx_IHuhSq3AJ5eI5OnqOPBNLWSHKh2a30DoXe8/edit?usp=sharing"",""ชุมพร!M277"")"),0)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 x14ac:dyDescent="0.35">
      <c r="A383" s="162"/>
      <c r="B383" s="163"/>
      <c r="C383" s="163"/>
      <c r="D383" s="172"/>
      <c r="E383" s="165"/>
      <c r="F383" s="165" t="s">
        <v>40</v>
      </c>
      <c r="G383" s="166" t="s">
        <v>41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IFERROR(__xludf.DUMMYFUNCTION("IMPORTRANGE(""https://docs.google.com/spreadsheets/d/1IYY_tgx_IHuhSq3AJ5eI5OnqOPBNLWSHKh2a30DoXe8/edit?usp=sharing"",""ชุมพร!L278"")"),460140)</f>
        <v>460140</v>
      </c>
      <c r="M383" s="171"/>
      <c r="N383" s="171">
        <f ca="1">IFERROR(__xludf.DUMMYFUNCTION("IMPORTRANGE(""https://docs.google.com/spreadsheets/d/1IYY_tgx_IHuhSq3AJ5eI5OnqOPBNLWSHKh2a30DoXe8/edit?usp=sharing"",""ชุมพร!M278"")"),51720)</f>
        <v>51720</v>
      </c>
      <c r="O383" s="171">
        <f t="shared" ca="1" si="109"/>
        <v>11.240057373842744</v>
      </c>
      <c r="P383" s="171"/>
    </row>
    <row r="384" spans="1:16" ht="21.75" customHeight="1" x14ac:dyDescent="0.35">
      <c r="A384" s="162"/>
      <c r="B384" s="163"/>
      <c r="C384" s="163"/>
      <c r="D384" s="172"/>
      <c r="E384" s="165"/>
      <c r="F384" s="165"/>
      <c r="G384" s="380" t="s">
        <v>129</v>
      </c>
      <c r="H384" s="167" t="s">
        <v>12</v>
      </c>
      <c r="I384" s="168"/>
      <c r="J384" s="168"/>
      <c r="K384" s="169"/>
      <c r="L384" s="176">
        <f ca="1">IFERROR(__xludf.DUMMYFUNCTION("IMPORTRANGE(""https://docs.google.com/spreadsheets/d/1IYY_tgx_IHuhSq3AJ5eI5OnqOPBNLWSHKh2a30DoXe8/edit?usp=sharing"",""ชุมพร!L279"")"),0)</f>
        <v>0</v>
      </c>
      <c r="M384" s="176"/>
      <c r="N384" s="176">
        <f ca="1">IFERROR(__xludf.DUMMYFUNCTION("IMPORTRANGE(""https://docs.google.com/spreadsheets/d/1IYY_tgx_IHuhSq3AJ5eI5OnqOPBNLWSHKh2a30DoXe8/edit?usp=sharing"",""ชุมพร!M279"")"),0)</f>
        <v>0</v>
      </c>
      <c r="O384" s="176">
        <f t="shared" ca="1" si="109"/>
        <v>0</v>
      </c>
      <c r="P384" s="176"/>
    </row>
    <row r="385" spans="1:16" ht="21.75" customHeight="1" x14ac:dyDescent="0.35">
      <c r="A385" s="162"/>
      <c r="B385" s="163"/>
      <c r="C385" s="163"/>
      <c r="D385" s="172"/>
      <c r="E385" s="165"/>
      <c r="F385" s="165"/>
      <c r="G385" s="380" t="s">
        <v>130</v>
      </c>
      <c r="H385" s="167" t="s">
        <v>12</v>
      </c>
      <c r="I385" s="168"/>
      <c r="J385" s="168"/>
      <c r="K385" s="169"/>
      <c r="L385" s="176">
        <f ca="1">IFERROR(__xludf.DUMMYFUNCTION("IMPORTRANGE(""https://docs.google.com/spreadsheets/d/1IYY_tgx_IHuhSq3AJ5eI5OnqOPBNLWSHKh2a30DoXe8/edit?usp=sharing"",""ชุมพร!L280"")"),460140)</f>
        <v>460140</v>
      </c>
      <c r="M385" s="176"/>
      <c r="N385" s="173">
        <f ca="1">IFERROR(__xludf.DUMMYFUNCTION("IMPORTRANGE(""https://docs.google.com/spreadsheets/d/1IYY_tgx_IHuhSq3AJ5eI5OnqOPBNLWSHKh2a30DoXe8/edit?usp=sharing"",""ชุมพร!M280"")"),51720)</f>
        <v>51720</v>
      </c>
      <c r="O385" s="176">
        <f t="shared" ca="1" si="109"/>
        <v>11.240057373842744</v>
      </c>
      <c r="P385" s="176"/>
    </row>
    <row r="386" spans="1:16" ht="21.75" customHeight="1" x14ac:dyDescent="0.35">
      <c r="A386" s="381"/>
      <c r="B386" s="382"/>
      <c r="C386" s="163"/>
      <c r="D386" s="383"/>
      <c r="E386" s="165"/>
      <c r="F386" s="165"/>
      <c r="G386" s="384" t="s">
        <v>131</v>
      </c>
      <c r="H386" s="167" t="s">
        <v>12</v>
      </c>
      <c r="I386" s="195"/>
      <c r="J386" s="195"/>
      <c r="K386" s="231"/>
      <c r="L386" s="176"/>
      <c r="M386" s="176"/>
      <c r="N386" s="385">
        <f ca="1">IFERROR(__xludf.DUMMYFUNCTION("IMPORTRANGE(""https://docs.google.com/spreadsheets/d/1IYY_tgx_IHuhSq3AJ5eI5OnqOPBNLWSHKh2a30DoXe8/edit?usp=sharing"",""ชุมพร!M281"")"),51080)</f>
        <v>51080</v>
      </c>
      <c r="O386" s="176"/>
      <c r="P386" s="176"/>
    </row>
    <row r="387" spans="1:16" ht="21.75" customHeight="1" x14ac:dyDescent="0.35">
      <c r="A387" s="381"/>
      <c r="B387" s="382"/>
      <c r="C387" s="163"/>
      <c r="D387" s="383"/>
      <c r="E387" s="165"/>
      <c r="F387" s="165"/>
      <c r="G387" s="384" t="s">
        <v>132</v>
      </c>
      <c r="H387" s="167" t="s">
        <v>12</v>
      </c>
      <c r="I387" s="195"/>
      <c r="J387" s="195"/>
      <c r="K387" s="231"/>
      <c r="L387" s="176"/>
      <c r="M387" s="176"/>
      <c r="N387" s="385">
        <f ca="1">IFERROR(__xludf.DUMMYFUNCTION("IMPORTRANGE(""https://docs.google.com/spreadsheets/d/1IYY_tgx_IHuhSq3AJ5eI5OnqOPBNLWSHKh2a30DoXe8/edit?usp=sharing"",""ชุมพร!M282"")"),0)</f>
        <v>0</v>
      </c>
      <c r="O387" s="176"/>
      <c r="P387" s="176"/>
    </row>
    <row r="388" spans="1:16" ht="21.75" customHeight="1" x14ac:dyDescent="0.35">
      <c r="A388" s="381"/>
      <c r="B388" s="382"/>
      <c r="C388" s="163"/>
      <c r="D388" s="383"/>
      <c r="E388" s="165"/>
      <c r="F388" s="165"/>
      <c r="G388" s="384" t="s">
        <v>133</v>
      </c>
      <c r="H388" s="167" t="s">
        <v>12</v>
      </c>
      <c r="I388" s="195"/>
      <c r="J388" s="195"/>
      <c r="K388" s="231"/>
      <c r="L388" s="176"/>
      <c r="M388" s="176"/>
      <c r="N388" s="385">
        <f ca="1">IFERROR(__xludf.DUMMYFUNCTION("IMPORTRANGE(""https://docs.google.com/spreadsheets/d/1IYY_tgx_IHuhSq3AJ5eI5OnqOPBNLWSHKh2a30DoXe8/edit?usp=sharing"",""ชุมพร!M283"")"),0)</f>
        <v>0</v>
      </c>
      <c r="O388" s="176"/>
      <c r="P388" s="176"/>
    </row>
    <row r="389" spans="1:16" ht="21.75" customHeight="1" x14ac:dyDescent="0.35">
      <c r="A389" s="381"/>
      <c r="B389" s="382"/>
      <c r="C389" s="163"/>
      <c r="D389" s="383"/>
      <c r="E389" s="165"/>
      <c r="F389" s="165"/>
      <c r="G389" s="384" t="s">
        <v>134</v>
      </c>
      <c r="H389" s="167" t="s">
        <v>12</v>
      </c>
      <c r="I389" s="195"/>
      <c r="J389" s="195"/>
      <c r="K389" s="231"/>
      <c r="L389" s="176"/>
      <c r="M389" s="176"/>
      <c r="N389" s="385">
        <f ca="1">IFERROR(__xludf.DUMMYFUNCTION("IMPORTRANGE(""https://docs.google.com/spreadsheets/d/1IYY_tgx_IHuhSq3AJ5eI5OnqOPBNLWSHKh2a30DoXe8/edit?usp=sharing"",""ชุมพร!M284"")"),640)</f>
        <v>640</v>
      </c>
      <c r="O389" s="176"/>
      <c r="P389" s="176"/>
    </row>
    <row r="390" spans="1:16" ht="21.75" customHeight="1" x14ac:dyDescent="0.35">
      <c r="A390" s="183"/>
      <c r="B390" s="184"/>
      <c r="C390" s="163" t="s">
        <v>16</v>
      </c>
      <c r="D390" s="185" t="s">
        <v>44</v>
      </c>
      <c r="E390" s="186"/>
      <c r="F390" s="186"/>
      <c r="G390" s="187"/>
      <c r="H390" s="188"/>
      <c r="I390" s="168"/>
      <c r="J390" s="168"/>
      <c r="K390" s="169"/>
      <c r="L390" s="189"/>
      <c r="M390" s="189"/>
      <c r="N390" s="189"/>
      <c r="O390" s="189"/>
      <c r="P390" s="189"/>
    </row>
    <row r="391" spans="1:16" ht="21.75" customHeight="1" x14ac:dyDescent="0.35">
      <c r="A391" s="183"/>
      <c r="B391" s="184"/>
      <c r="C391" s="184"/>
      <c r="D391" s="190">
        <v>1</v>
      </c>
      <c r="E391" s="191" t="s">
        <v>45</v>
      </c>
      <c r="F391" s="192"/>
      <c r="G391" s="193"/>
      <c r="H391" s="194"/>
      <c r="I391" s="195"/>
      <c r="J391" s="205">
        <f ca="1">IFERROR(__xludf.DUMMYFUNCTION("IMPORTRANGE(""https://docs.google.com/spreadsheets/d/1IYY_tgx_IHuhSq3AJ5eI5OnqOPBNLWSHKh2a30DoXe8/edit?usp=sharing"",""ชุมพร!J286"")"),0)</f>
        <v>0</v>
      </c>
      <c r="K391" s="169"/>
      <c r="L391" s="189"/>
      <c r="M391" s="189"/>
      <c r="N391" s="189"/>
      <c r="O391" s="189"/>
      <c r="P391" s="189"/>
    </row>
    <row r="392" spans="1:16" ht="21.75" customHeight="1" x14ac:dyDescent="0.35">
      <c r="A392" s="183"/>
      <c r="B392" s="184"/>
      <c r="C392" s="184"/>
      <c r="D392" s="197">
        <v>2</v>
      </c>
      <c r="E392" s="198" t="s">
        <v>46</v>
      </c>
      <c r="F392" s="199"/>
      <c r="G392" s="200"/>
      <c r="H392" s="194"/>
      <c r="I392" s="195"/>
      <c r="J392" s="196">
        <f ca="1">IFERROR(__xludf.DUMMYFUNCTION("IMPORTRANGE(""https://docs.google.com/spreadsheets/d/1IYY_tgx_IHuhSq3AJ5eI5OnqOPBNLWSHKh2a30DoXe8/edit?usp=sharing"",""ชุมพร!J287"")"),1)</f>
        <v>1</v>
      </c>
      <c r="K392" s="169"/>
      <c r="L392" s="189" t="s">
        <v>40</v>
      </c>
      <c r="M392" s="189"/>
      <c r="N392" s="189" t="s">
        <v>40</v>
      </c>
      <c r="O392" s="189"/>
      <c r="P392" s="189"/>
    </row>
    <row r="393" spans="1:16" ht="21.75" customHeight="1" x14ac:dyDescent="0.35">
      <c r="A393" s="183"/>
      <c r="B393" s="184"/>
      <c r="C393" s="184"/>
      <c r="D393" s="201"/>
      <c r="E393" s="202" t="s">
        <v>47</v>
      </c>
      <c r="F393" s="203"/>
      <c r="G393" s="204"/>
      <c r="H393" s="194"/>
      <c r="I393" s="195"/>
      <c r="J393" s="196">
        <f ca="1">IFERROR(__xludf.DUMMYFUNCTION("IMPORTRANGE(""https://docs.google.com/spreadsheets/d/1IYY_tgx_IHuhSq3AJ5eI5OnqOPBNLWSHKh2a30DoXe8/edit?usp=sharing"",""ชุมพร!J288"")"),1)</f>
        <v>1</v>
      </c>
      <c r="K393" s="169"/>
      <c r="L393" s="189"/>
      <c r="M393" s="189"/>
      <c r="N393" s="189"/>
      <c r="O393" s="189"/>
      <c r="P393" s="189"/>
    </row>
    <row r="394" spans="1:16" ht="21.75" customHeight="1" x14ac:dyDescent="0.35">
      <c r="A394" s="183"/>
      <c r="B394" s="184"/>
      <c r="C394" s="184"/>
      <c r="D394" s="201"/>
      <c r="E394" s="202" t="s">
        <v>48</v>
      </c>
      <c r="F394" s="203"/>
      <c r="G394" s="204"/>
      <c r="H394" s="194"/>
      <c r="I394" s="195"/>
      <c r="J394" s="205">
        <f ca="1">IFERROR(__xludf.DUMMYFUNCTION("IMPORTRANGE(""https://docs.google.com/spreadsheets/d/1IYY_tgx_IHuhSq3AJ5eI5OnqOPBNLWSHKh2a30DoXe8/edit?usp=sharing"",""ชุมพร!J289"")"),1)</f>
        <v>1</v>
      </c>
      <c r="K394" s="169"/>
      <c r="L394" s="189"/>
      <c r="M394" s="189"/>
      <c r="N394" s="189"/>
      <c r="O394" s="189"/>
      <c r="P394" s="189"/>
    </row>
    <row r="395" spans="1:16" ht="21.75" customHeight="1" x14ac:dyDescent="0.35">
      <c r="A395" s="183"/>
      <c r="B395" s="184"/>
      <c r="C395" s="184"/>
      <c r="D395" s="201"/>
      <c r="E395" s="206"/>
      <c r="F395" s="202" t="s">
        <v>146</v>
      </c>
      <c r="G395" s="203"/>
      <c r="H395" s="194"/>
      <c r="I395" s="195"/>
      <c r="J395" s="195"/>
      <c r="K395" s="169"/>
      <c r="L395" s="189"/>
      <c r="M395" s="189"/>
      <c r="N395" s="189"/>
      <c r="O395" s="189"/>
      <c r="P395" s="189"/>
    </row>
    <row r="396" spans="1:16" ht="21.75" customHeight="1" x14ac:dyDescent="0.35">
      <c r="A396" s="183"/>
      <c r="B396" s="184"/>
      <c r="C396" s="184"/>
      <c r="D396" s="201"/>
      <c r="E396" s="206"/>
      <c r="F396" s="203"/>
      <c r="G396" s="299" t="s">
        <v>70</v>
      </c>
      <c r="H396" s="194" t="s">
        <v>37</v>
      </c>
      <c r="I396" s="195">
        <f ca="1">IFERROR(__xludf.DUMMYFUNCTION("IMPORTRANGE(""https://docs.google.com/spreadsheets/d/1IYY_tgx_IHuhSq3AJ5eI5OnqOPBNLWSHKh2a30DoXe8/edit?usp=sharing"",""ชุมพร!I291"")"),50)</f>
        <v>50</v>
      </c>
      <c r="J396" s="205">
        <f ca="1">IFERROR(__xludf.DUMMYFUNCTION("IMPORTRANGE(""https://docs.google.com/spreadsheets/d/1IYY_tgx_IHuhSq3AJ5eI5OnqOPBNLWSHKh2a30DoXe8/edit?usp=sharing"",""ชุมพร!J291"")"),50)</f>
        <v>50</v>
      </c>
      <c r="K396" s="169">
        <f t="shared" ref="K396:K398" ca="1" si="110">IF(I396&gt;0,J396*100/I396,0)</f>
        <v>100</v>
      </c>
      <c r="L396" s="189"/>
      <c r="M396" s="189"/>
      <c r="N396" s="189"/>
      <c r="O396" s="189"/>
      <c r="P396" s="189"/>
    </row>
    <row r="397" spans="1:16" ht="21.75" customHeight="1" x14ac:dyDescent="0.35">
      <c r="A397" s="183"/>
      <c r="B397" s="184"/>
      <c r="C397" s="184"/>
      <c r="D397" s="201"/>
      <c r="E397" s="206"/>
      <c r="F397" s="203"/>
      <c r="G397" s="204" t="s">
        <v>53</v>
      </c>
      <c r="H397" s="194" t="s">
        <v>122</v>
      </c>
      <c r="I397" s="195">
        <f ca="1">IFERROR(__xludf.DUMMYFUNCTION("IMPORTRANGE(""https://docs.google.com/spreadsheets/d/1IYY_tgx_IHuhSq3AJ5eI5OnqOPBNLWSHKh2a30DoXe8/edit?usp=sharing"",""ชุมพร!I292"")"),500)</f>
        <v>500</v>
      </c>
      <c r="J397" s="205">
        <f ca="1">IFERROR(__xludf.DUMMYFUNCTION("IMPORTRANGE(""https://docs.google.com/spreadsheets/d/1IYY_tgx_IHuhSq3AJ5eI5OnqOPBNLWSHKh2a30DoXe8/edit?usp=sharing"",""ชุมพร!J292"")"),0)</f>
        <v>0</v>
      </c>
      <c r="K397" s="169">
        <f t="shared" ca="1" si="110"/>
        <v>0</v>
      </c>
      <c r="L397" s="189"/>
      <c r="M397" s="189"/>
      <c r="N397" s="189"/>
      <c r="O397" s="189"/>
      <c r="P397" s="189"/>
    </row>
    <row r="398" spans="1:16" ht="21.75" customHeight="1" x14ac:dyDescent="0.35">
      <c r="A398" s="183"/>
      <c r="B398" s="184"/>
      <c r="C398" s="184"/>
      <c r="D398" s="201"/>
      <c r="E398" s="206"/>
      <c r="F398" s="203"/>
      <c r="G398" s="204"/>
      <c r="H398" s="194" t="s">
        <v>37</v>
      </c>
      <c r="I398" s="195">
        <f ca="1">IFERROR(__xludf.DUMMYFUNCTION("IMPORTRANGE(""https://docs.google.com/spreadsheets/d/1IYY_tgx_IHuhSq3AJ5eI5OnqOPBNLWSHKh2a30DoXe8/edit?usp=sharing"",""ชุมพร!I293"")"),50)</f>
        <v>50</v>
      </c>
      <c r="J398" s="205">
        <f ca="1">IFERROR(__xludf.DUMMYFUNCTION("IMPORTRANGE(""https://docs.google.com/spreadsheets/d/1IYY_tgx_IHuhSq3AJ5eI5OnqOPBNLWSHKh2a30DoXe8/edit?usp=sharing"",""ชุมพร!J293"")"),0)</f>
        <v>0</v>
      </c>
      <c r="K398" s="169">
        <f t="shared" ca="1" si="110"/>
        <v>0</v>
      </c>
      <c r="L398" s="189"/>
      <c r="M398" s="189"/>
      <c r="N398" s="189"/>
      <c r="O398" s="189"/>
      <c r="P398" s="189"/>
    </row>
    <row r="399" spans="1:16" ht="21.75" customHeight="1" x14ac:dyDescent="0.35">
      <c r="A399" s="183"/>
      <c r="B399" s="184"/>
      <c r="C399" s="184"/>
      <c r="D399" s="201"/>
      <c r="E399" s="202" t="s">
        <v>54</v>
      </c>
      <c r="F399" s="203"/>
      <c r="G399" s="204"/>
      <c r="H399" s="194"/>
      <c r="I399" s="195"/>
      <c r="J399" s="205">
        <f ca="1">IFERROR(__xludf.DUMMYFUNCTION("IMPORTRANGE(""https://docs.google.com/spreadsheets/d/1IYY_tgx_IHuhSq3AJ5eI5OnqOPBNLWSHKh2a30DoXe8/edit?usp=sharing"",""ชุมพร!J294"")"),0)</f>
        <v>0</v>
      </c>
      <c r="K399" s="169"/>
      <c r="L399" s="189"/>
      <c r="M399" s="189"/>
      <c r="N399" s="189"/>
      <c r="O399" s="189"/>
      <c r="P399" s="189"/>
    </row>
    <row r="400" spans="1:16" ht="21.75" customHeight="1" x14ac:dyDescent="0.35">
      <c r="A400" s="183"/>
      <c r="B400" s="184"/>
      <c r="C400" s="184"/>
      <c r="D400" s="213">
        <v>3</v>
      </c>
      <c r="E400" s="214" t="s">
        <v>55</v>
      </c>
      <c r="F400" s="215"/>
      <c r="G400" s="216"/>
      <c r="H400" s="194"/>
      <c r="I400" s="195"/>
      <c r="J400" s="217">
        <f ca="1">IFERROR(__xludf.DUMMYFUNCTION("IMPORTRANGE(""https://docs.google.com/spreadsheets/d/1IYY_tgx_IHuhSq3AJ5eI5OnqOPBNLWSHKh2a30DoXe8/edit?usp=sharing"",""ชุมพร!J295"")"),0)</f>
        <v>0</v>
      </c>
      <c r="K400" s="169"/>
      <c r="L400" s="189"/>
      <c r="M400" s="189"/>
      <c r="N400" s="189"/>
      <c r="O400" s="189"/>
      <c r="P400" s="189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IFERROR(__xludf.DUMMYFUNCTION("IMPORTRANGE(""https://docs.google.com/spreadsheets/d/1IYY_tgx_IHuhSq3AJ5eI5OnqOPBNLWSHKh2a30DoXe8/edit?usp=sharing"",""ชุมพร!I296"")"),135)</f>
        <v>135</v>
      </c>
      <c r="J401" s="377">
        <f ca="1">IFERROR(__xludf.DUMMYFUNCTION("IMPORTRANGE(""https://docs.google.com/spreadsheets/d/1IYY_tgx_IHuhSq3AJ5eI5OnqOPBNLWSHKh2a30DoXe8/edit?usp=sharing"",""ชุมพร!J296"")"),0)</f>
        <v>0</v>
      </c>
      <c r="K401" s="378">
        <f t="shared" ref="K401:K402" ca="1" si="111">IF(I401&gt;0,J401*100/I401,0)</f>
        <v>0</v>
      </c>
      <c r="L401" s="379">
        <f ca="1">IFERROR(__xludf.DUMMYFUNCTION("IMPORTRANGE(""https://docs.google.com/spreadsheets/d/1IYY_tgx_IHuhSq3AJ5eI5OnqOPBNLWSHKh2a30DoXe8/edit?usp=sharing"",""ชุมพร!L296"")"),159950)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IFERROR(__xludf.DUMMYFUNCTION("IMPORTRANGE(""https://docs.google.com/spreadsheets/d/1IYY_tgx_IHuhSq3AJ5eI5OnqOPBNLWSHKh2a30DoXe8/edit?usp=sharing"",""ชุมพร!M296"")"),39082)</f>
        <v>39082</v>
      </c>
      <c r="O401" s="379">
        <f ca="1">+IF(L401&gt;0,N401*100/L401,0)</f>
        <v>24.433885589246639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IFERROR(__xludf.DUMMYFUNCTION("IMPORTRANGE(""https://docs.google.com/spreadsheets/d/1IYY_tgx_IHuhSq3AJ5eI5OnqOPBNLWSHKh2a30DoXe8/edit?usp=sharing"",""ชุมพร!I297"")"),45)</f>
        <v>45</v>
      </c>
      <c r="J402" s="377">
        <f ca="1">IFERROR(__xludf.DUMMYFUNCTION("IMPORTRANGE(""https://docs.google.com/spreadsheets/d/1IYY_tgx_IHuhSq3AJ5eI5OnqOPBNLWSHKh2a30DoXe8/edit?usp=sharing"",""ชุมพร!J297"")"),0)</f>
        <v>0</v>
      </c>
      <c r="K402" s="378">
        <f t="shared" ca="1" si="111"/>
        <v>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164" t="s">
        <v>38</v>
      </c>
      <c r="E403" s="165"/>
      <c r="F403" s="165"/>
      <c r="G403" s="166" t="s">
        <v>39</v>
      </c>
      <c r="H403" s="167" t="s">
        <v>12</v>
      </c>
      <c r="I403" s="168" t="s">
        <v>40</v>
      </c>
      <c r="J403" s="168"/>
      <c r="K403" s="169"/>
      <c r="L403" s="170">
        <f ca="1">IFERROR(__xludf.DUMMYFUNCTION("IMPORTRANGE(""https://docs.google.com/spreadsheets/d/1IYY_tgx_IHuhSq3AJ5eI5OnqOPBNLWSHKh2a30DoXe8/edit?usp=sharing"",""ชุมพร!L298"")"),0)</f>
        <v>0</v>
      </c>
      <c r="M403" s="170"/>
      <c r="N403" s="176">
        <f ca="1">IFERROR(__xludf.DUMMYFUNCTION("IMPORTRANGE(""https://docs.google.com/spreadsheets/d/1IYY_tgx_IHuhSq3AJ5eI5OnqOPBNLWSHKh2a30DoXe8/edit?usp=sharing"",""ชุมพร!M298"")"),0)</f>
        <v>0</v>
      </c>
      <c r="O403" s="176">
        <f t="shared" ref="O403:O406" ca="1" si="112">+IF(L403&gt;0,N403*100/L403,0)</f>
        <v>0</v>
      </c>
      <c r="P403" s="176"/>
    </row>
    <row r="404" spans="1:16" ht="21.75" customHeight="1" x14ac:dyDescent="0.35">
      <c r="A404" s="162"/>
      <c r="B404" s="163"/>
      <c r="C404" s="163"/>
      <c r="D404" s="172"/>
      <c r="E404" s="165"/>
      <c r="F404" s="165" t="s">
        <v>40</v>
      </c>
      <c r="G404" s="166" t="s">
        <v>41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IFERROR(__xludf.DUMMYFUNCTION("IMPORTRANGE(""https://docs.google.com/spreadsheets/d/1IYY_tgx_IHuhSq3AJ5eI5OnqOPBNLWSHKh2a30DoXe8/edit?usp=sharing"",""ชุมพร!L299"")"),159950)</f>
        <v>159950</v>
      </c>
      <c r="M404" s="171"/>
      <c r="N404" s="176">
        <f ca="1">IFERROR(__xludf.DUMMYFUNCTION("IMPORTRANGE(""https://docs.google.com/spreadsheets/d/1IYY_tgx_IHuhSq3AJ5eI5OnqOPBNLWSHKh2a30DoXe8/edit?usp=sharing"",""ชุมพร!M299"")"),39082)</f>
        <v>39082</v>
      </c>
      <c r="O404" s="176">
        <f t="shared" ca="1" si="112"/>
        <v>24.433885589246639</v>
      </c>
      <c r="P404" s="176"/>
    </row>
    <row r="405" spans="1:16" ht="21.75" customHeight="1" x14ac:dyDescent="0.35">
      <c r="A405" s="162"/>
      <c r="B405" s="163"/>
      <c r="C405" s="163"/>
      <c r="D405" s="172"/>
      <c r="E405" s="165"/>
      <c r="F405" s="165"/>
      <c r="G405" s="380" t="s">
        <v>129</v>
      </c>
      <c r="H405" s="167" t="s">
        <v>12</v>
      </c>
      <c r="I405" s="168"/>
      <c r="J405" s="168"/>
      <c r="K405" s="169"/>
      <c r="L405" s="176">
        <f ca="1">IFERROR(__xludf.DUMMYFUNCTION("IMPORTRANGE(""https://docs.google.com/spreadsheets/d/1IYY_tgx_IHuhSq3AJ5eI5OnqOPBNLWSHKh2a30DoXe8/edit?usp=sharing"",""ชุมพร!L300"")"),0)</f>
        <v>0</v>
      </c>
      <c r="M405" s="176"/>
      <c r="N405" s="176">
        <f ca="1">IFERROR(__xludf.DUMMYFUNCTION("IMPORTRANGE(""https://docs.google.com/spreadsheets/d/1IYY_tgx_IHuhSq3AJ5eI5OnqOPBNLWSHKh2a30DoXe8/edit?usp=sharing"",""ชุมพร!M300"")"),0)</f>
        <v>0</v>
      </c>
      <c r="O405" s="176">
        <f t="shared" ca="1" si="112"/>
        <v>0</v>
      </c>
      <c r="P405" s="176"/>
    </row>
    <row r="406" spans="1:16" ht="21.75" customHeight="1" x14ac:dyDescent="0.35">
      <c r="A406" s="162"/>
      <c r="B406" s="163"/>
      <c r="C406" s="163"/>
      <c r="D406" s="172"/>
      <c r="E406" s="165"/>
      <c r="F406" s="165"/>
      <c r="G406" s="380" t="s">
        <v>130</v>
      </c>
      <c r="H406" s="167" t="s">
        <v>12</v>
      </c>
      <c r="I406" s="168"/>
      <c r="J406" s="168"/>
      <c r="K406" s="169"/>
      <c r="L406" s="176">
        <f ca="1">IFERROR(__xludf.DUMMYFUNCTION("IMPORTRANGE(""https://docs.google.com/spreadsheets/d/1IYY_tgx_IHuhSq3AJ5eI5OnqOPBNLWSHKh2a30DoXe8/edit?usp=sharing"",""ชุมพร!L301"")"),159950)</f>
        <v>159950</v>
      </c>
      <c r="M406" s="176"/>
      <c r="N406" s="176">
        <f ca="1">IFERROR(__xludf.DUMMYFUNCTION("IMPORTRANGE(""https://docs.google.com/spreadsheets/d/1IYY_tgx_IHuhSq3AJ5eI5OnqOPBNLWSHKh2a30DoXe8/edit?usp=sharing"",""ชุมพร!M301"")"),39082)</f>
        <v>39082</v>
      </c>
      <c r="O406" s="176">
        <f t="shared" ca="1" si="112"/>
        <v>24.433885589246639</v>
      </c>
      <c r="P406" s="176"/>
    </row>
    <row r="407" spans="1:16" ht="21.75" customHeight="1" x14ac:dyDescent="0.35">
      <c r="A407" s="381"/>
      <c r="B407" s="382"/>
      <c r="C407" s="163"/>
      <c r="D407" s="383"/>
      <c r="E407" s="165"/>
      <c r="F407" s="165"/>
      <c r="G407" s="384" t="s">
        <v>131</v>
      </c>
      <c r="H407" s="167" t="s">
        <v>12</v>
      </c>
      <c r="I407" s="195"/>
      <c r="J407" s="195"/>
      <c r="K407" s="231"/>
      <c r="L407" s="176"/>
      <c r="M407" s="176"/>
      <c r="N407" s="385">
        <f ca="1">IFERROR(__xludf.DUMMYFUNCTION("IMPORTRANGE(""https://docs.google.com/spreadsheets/d/1IYY_tgx_IHuhSq3AJ5eI5OnqOPBNLWSHKh2a30DoXe8/edit?usp=sharing"",""ชุมพร!M302"")"),28610)</f>
        <v>28610</v>
      </c>
      <c r="O407" s="176"/>
      <c r="P407" s="176"/>
    </row>
    <row r="408" spans="1:16" ht="21.75" customHeight="1" x14ac:dyDescent="0.35">
      <c r="A408" s="381"/>
      <c r="B408" s="382"/>
      <c r="C408" s="163"/>
      <c r="D408" s="383"/>
      <c r="E408" s="165"/>
      <c r="F408" s="165"/>
      <c r="G408" s="384" t="s">
        <v>132</v>
      </c>
      <c r="H408" s="167" t="s">
        <v>12</v>
      </c>
      <c r="I408" s="195"/>
      <c r="J408" s="195"/>
      <c r="K408" s="231"/>
      <c r="L408" s="176"/>
      <c r="M408" s="176"/>
      <c r="N408" s="385">
        <f ca="1">IFERROR(__xludf.DUMMYFUNCTION("IMPORTRANGE(""https://docs.google.com/spreadsheets/d/1IYY_tgx_IHuhSq3AJ5eI5OnqOPBNLWSHKh2a30DoXe8/edit?usp=sharing"",""ชุมพร!M303"")"),0)</f>
        <v>0</v>
      </c>
      <c r="O408" s="176"/>
      <c r="P408" s="176"/>
    </row>
    <row r="409" spans="1:16" ht="21.75" customHeight="1" x14ac:dyDescent="0.35">
      <c r="A409" s="381"/>
      <c r="B409" s="382"/>
      <c r="C409" s="163"/>
      <c r="D409" s="383"/>
      <c r="E409" s="165"/>
      <c r="F409" s="165"/>
      <c r="G409" s="384" t="s">
        <v>133</v>
      </c>
      <c r="H409" s="167" t="s">
        <v>12</v>
      </c>
      <c r="I409" s="195"/>
      <c r="J409" s="195"/>
      <c r="K409" s="231"/>
      <c r="L409" s="176"/>
      <c r="M409" s="176"/>
      <c r="N409" s="385">
        <f ca="1">IFERROR(__xludf.DUMMYFUNCTION("IMPORTRANGE(""https://docs.google.com/spreadsheets/d/1IYY_tgx_IHuhSq3AJ5eI5OnqOPBNLWSHKh2a30DoXe8/edit?usp=sharing"",""ชุมพร!M304"")"),0)</f>
        <v>0</v>
      </c>
      <c r="O409" s="176"/>
      <c r="P409" s="176"/>
    </row>
    <row r="410" spans="1:16" ht="21.75" customHeight="1" x14ac:dyDescent="0.35">
      <c r="A410" s="381"/>
      <c r="B410" s="382"/>
      <c r="C410" s="163"/>
      <c r="D410" s="383"/>
      <c r="E410" s="165"/>
      <c r="F410" s="165"/>
      <c r="G410" s="384" t="s">
        <v>134</v>
      </c>
      <c r="H410" s="167" t="s">
        <v>12</v>
      </c>
      <c r="I410" s="195"/>
      <c r="J410" s="195"/>
      <c r="K410" s="231"/>
      <c r="L410" s="176"/>
      <c r="M410" s="176"/>
      <c r="N410" s="385">
        <f ca="1">IFERROR(__xludf.DUMMYFUNCTION("IMPORTRANGE(""https://docs.google.com/spreadsheets/d/1IYY_tgx_IHuhSq3AJ5eI5OnqOPBNLWSHKh2a30DoXe8/edit?usp=sharing"",""ชุมพร!M305"")"),10472)</f>
        <v>10472</v>
      </c>
      <c r="O410" s="176"/>
      <c r="P410" s="176"/>
    </row>
    <row r="411" spans="1:16" ht="21.75" customHeight="1" x14ac:dyDescent="0.35">
      <c r="A411" s="183"/>
      <c r="B411" s="184"/>
      <c r="C411" s="163" t="s">
        <v>16</v>
      </c>
      <c r="D411" s="185" t="s">
        <v>44</v>
      </c>
      <c r="E411" s="186"/>
      <c r="F411" s="186"/>
      <c r="G411" s="187"/>
      <c r="H411" s="188"/>
      <c r="I411" s="168"/>
      <c r="J411" s="168"/>
      <c r="K411" s="169"/>
      <c r="L411" s="189"/>
      <c r="M411" s="189"/>
      <c r="N411" s="189"/>
      <c r="O411" s="189"/>
      <c r="P411" s="189"/>
    </row>
    <row r="412" spans="1:16" ht="21.75" customHeight="1" x14ac:dyDescent="0.35">
      <c r="A412" s="183"/>
      <c r="B412" s="184"/>
      <c r="C412" s="184"/>
      <c r="D412" s="190">
        <v>1</v>
      </c>
      <c r="E412" s="191" t="s">
        <v>45</v>
      </c>
      <c r="F412" s="192"/>
      <c r="G412" s="193"/>
      <c r="H412" s="194"/>
      <c r="I412" s="195"/>
      <c r="J412" s="205">
        <f ca="1">IFERROR(__xludf.DUMMYFUNCTION("IMPORTRANGE(""https://docs.google.com/spreadsheets/d/1IYY_tgx_IHuhSq3AJ5eI5OnqOPBNLWSHKh2a30DoXe8/edit?usp=sharing"",""ชุมพร!J307"")"),0)</f>
        <v>0</v>
      </c>
      <c r="K412" s="169"/>
      <c r="L412" s="189"/>
      <c r="M412" s="189"/>
      <c r="N412" s="189"/>
      <c r="O412" s="189"/>
      <c r="P412" s="189"/>
    </row>
    <row r="413" spans="1:16" ht="21.75" customHeight="1" x14ac:dyDescent="0.35">
      <c r="A413" s="183"/>
      <c r="B413" s="184"/>
      <c r="C413" s="184"/>
      <c r="D413" s="197">
        <v>2</v>
      </c>
      <c r="E413" s="198" t="s">
        <v>46</v>
      </c>
      <c r="F413" s="199"/>
      <c r="G413" s="200"/>
      <c r="H413" s="194"/>
      <c r="I413" s="195"/>
      <c r="J413" s="196">
        <f ca="1">IFERROR(__xludf.DUMMYFUNCTION("IMPORTRANGE(""https://docs.google.com/spreadsheets/d/1IYY_tgx_IHuhSq3AJ5eI5OnqOPBNLWSHKh2a30DoXe8/edit?usp=sharing"",""ชุมพร!J308"")"),1)</f>
        <v>1</v>
      </c>
      <c r="K413" s="169"/>
      <c r="L413" s="189" t="s">
        <v>40</v>
      </c>
      <c r="M413" s="189"/>
      <c r="N413" s="189" t="s">
        <v>40</v>
      </c>
      <c r="O413" s="189"/>
      <c r="P413" s="189"/>
    </row>
    <row r="414" spans="1:16" ht="21.75" customHeight="1" x14ac:dyDescent="0.35">
      <c r="A414" s="183"/>
      <c r="B414" s="184"/>
      <c r="C414" s="184"/>
      <c r="D414" s="201"/>
      <c r="E414" s="202" t="s">
        <v>47</v>
      </c>
      <c r="F414" s="203"/>
      <c r="G414" s="204"/>
      <c r="H414" s="194"/>
      <c r="I414" s="195"/>
      <c r="J414" s="196">
        <f ca="1">IFERROR(__xludf.DUMMYFUNCTION("IMPORTRANGE(""https://docs.google.com/spreadsheets/d/1IYY_tgx_IHuhSq3AJ5eI5OnqOPBNLWSHKh2a30DoXe8/edit?usp=sharing"",""ชุมพร!J309"")"),1)</f>
        <v>1</v>
      </c>
      <c r="K414" s="169"/>
      <c r="L414" s="189"/>
      <c r="M414" s="189"/>
      <c r="N414" s="189"/>
      <c r="O414" s="189"/>
      <c r="P414" s="189"/>
    </row>
    <row r="415" spans="1:16" ht="21.75" customHeight="1" x14ac:dyDescent="0.35">
      <c r="A415" s="183"/>
      <c r="B415" s="184"/>
      <c r="C415" s="184"/>
      <c r="D415" s="201"/>
      <c r="E415" s="202" t="s">
        <v>48</v>
      </c>
      <c r="F415" s="203"/>
      <c r="G415" s="204"/>
      <c r="H415" s="194"/>
      <c r="I415" s="195"/>
      <c r="J415" s="205">
        <f ca="1">IFERROR(__xludf.DUMMYFUNCTION("IMPORTRANGE(""https://docs.google.com/spreadsheets/d/1IYY_tgx_IHuhSq3AJ5eI5OnqOPBNLWSHKh2a30DoXe8/edit?usp=sharing"",""ชุมพร!J310"")"),1)</f>
        <v>1</v>
      </c>
      <c r="K415" s="169"/>
      <c r="L415" s="189"/>
      <c r="M415" s="189"/>
      <c r="N415" s="189"/>
      <c r="O415" s="189"/>
      <c r="P415" s="189"/>
    </row>
    <row r="416" spans="1:16" ht="21.75" customHeight="1" x14ac:dyDescent="0.35">
      <c r="A416" s="183"/>
      <c r="B416" s="184"/>
      <c r="C416" s="184"/>
      <c r="D416" s="201"/>
      <c r="E416" s="206"/>
      <c r="F416" s="202" t="s">
        <v>70</v>
      </c>
      <c r="G416" s="394"/>
      <c r="H416" s="395" t="s">
        <v>37</v>
      </c>
      <c r="I416" s="208">
        <f ca="1">IFERROR(__xludf.DUMMYFUNCTION("IMPORTRANGE(""https://docs.google.com/spreadsheets/d/1IYY_tgx_IHuhSq3AJ5eI5OnqOPBNLWSHKh2a30DoXe8/edit?usp=sharing"",""ชุมพร!I311"")"),45)</f>
        <v>45</v>
      </c>
      <c r="J416" s="208">
        <f ca="1">IFERROR(__xludf.DUMMYFUNCTION("IMPORTRANGE(""https://docs.google.com/spreadsheets/d/1IYY_tgx_IHuhSq3AJ5eI5OnqOPBNLWSHKh2a30DoXe8/edit?usp=sharing"",""ชุมพร!J311"")"),0)</f>
        <v>0</v>
      </c>
      <c r="K416" s="209">
        <f t="shared" ref="K416:K432" ca="1" si="113">IF(I416&gt;0,J416*100/I416,0)</f>
        <v>0</v>
      </c>
      <c r="L416" s="189"/>
      <c r="M416" s="189"/>
      <c r="N416" s="189"/>
      <c r="O416" s="189"/>
      <c r="P416" s="189"/>
    </row>
    <row r="417" spans="1:16" ht="21.75" customHeight="1" x14ac:dyDescent="0.45">
      <c r="A417" s="183"/>
      <c r="B417" s="184"/>
      <c r="C417" s="184"/>
      <c r="D417" s="201"/>
      <c r="E417" s="206"/>
      <c r="F417" s="396" t="s">
        <v>148</v>
      </c>
      <c r="G417" s="204"/>
      <c r="H417" s="207" t="s">
        <v>37</v>
      </c>
      <c r="I417" s="397">
        <f ca="1">IFERROR(__xludf.DUMMYFUNCTION("IMPORTRANGE(""https://docs.google.com/spreadsheets/d/1IYY_tgx_IHuhSq3AJ5eI5OnqOPBNLWSHKh2a30DoXe8/edit?usp=sharing"",""ชุมพร!I312"")"),10)</f>
        <v>10</v>
      </c>
      <c r="J417" s="398">
        <f ca="1">IFERROR(__xludf.DUMMYFUNCTION("IMPORTRANGE(""https://docs.google.com/spreadsheets/d/1IYY_tgx_IHuhSq3AJ5eI5OnqOPBNLWSHKh2a30DoXe8/edit?usp=sharing"",""ชุมพร!J312"")"),0)</f>
        <v>0</v>
      </c>
      <c r="K417" s="209">
        <f t="shared" ca="1" si="113"/>
        <v>0</v>
      </c>
      <c r="L417" s="189"/>
      <c r="M417" s="189"/>
      <c r="N417" s="189"/>
      <c r="O417" s="189"/>
      <c r="P417" s="189"/>
    </row>
    <row r="418" spans="1:16" ht="21.75" customHeight="1" x14ac:dyDescent="0.45">
      <c r="A418" s="183"/>
      <c r="B418" s="184"/>
      <c r="C418" s="184"/>
      <c r="D418" s="201"/>
      <c r="E418" s="206"/>
      <c r="F418" s="203"/>
      <c r="G418" s="204"/>
      <c r="H418" s="207" t="s">
        <v>122</v>
      </c>
      <c r="I418" s="397">
        <f ca="1">IFERROR(__xludf.DUMMYFUNCTION("IMPORTRANGE(""https://docs.google.com/spreadsheets/d/1IYY_tgx_IHuhSq3AJ5eI5OnqOPBNLWSHKh2a30DoXe8/edit?usp=sharing"",""ชุมพร!I313"")"),30)</f>
        <v>30</v>
      </c>
      <c r="J418" s="399">
        <f ca="1">IFERROR(__xludf.DUMMYFUNCTION("IMPORTRANGE(""https://docs.google.com/spreadsheets/d/1IYY_tgx_IHuhSq3AJ5eI5OnqOPBNLWSHKh2a30DoXe8/edit?usp=sharing"",""ชุมพร!J313"")"),0)</f>
        <v>0</v>
      </c>
      <c r="K418" s="209">
        <f t="shared" ca="1" si="113"/>
        <v>0</v>
      </c>
      <c r="L418" s="189"/>
      <c r="M418" s="189"/>
      <c r="N418" s="189"/>
      <c r="O418" s="189"/>
      <c r="P418" s="189"/>
    </row>
    <row r="419" spans="1:16" ht="21.75" customHeight="1" x14ac:dyDescent="0.45">
      <c r="A419" s="183"/>
      <c r="B419" s="184"/>
      <c r="C419" s="184"/>
      <c r="D419" s="201"/>
      <c r="E419" s="206"/>
      <c r="F419" s="203"/>
      <c r="G419" s="233" t="s">
        <v>149</v>
      </c>
      <c r="H419" s="188" t="s">
        <v>37</v>
      </c>
      <c r="I419" s="347">
        <f ca="1">IFERROR(__xludf.DUMMYFUNCTION("IMPORTRANGE(""https://docs.google.com/spreadsheets/d/1IYY_tgx_IHuhSq3AJ5eI5OnqOPBNLWSHKh2a30DoXe8/edit?usp=sharing"",""ชุมพร!I314"")"),10)</f>
        <v>10</v>
      </c>
      <c r="J419" s="400">
        <f ca="1">IFERROR(__xludf.DUMMYFUNCTION("IMPORTRANGE(""https://docs.google.com/spreadsheets/d/1IYY_tgx_IHuhSq3AJ5eI5OnqOPBNLWSHKh2a30DoXe8/edit?usp=sharing"",""ชุมพร!J314"")"),0)</f>
        <v>0</v>
      </c>
      <c r="K419" s="169">
        <f t="shared" ca="1" si="113"/>
        <v>0</v>
      </c>
      <c r="L419" s="189"/>
      <c r="M419" s="189"/>
      <c r="N419" s="189"/>
      <c r="O419" s="189"/>
      <c r="P419" s="189"/>
    </row>
    <row r="420" spans="1:16" ht="21.75" customHeight="1" x14ac:dyDescent="0.45">
      <c r="A420" s="241"/>
      <c r="B420" s="242"/>
      <c r="C420" s="242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IFERROR(__xludf.DUMMYFUNCTION("IMPORTRANGE(""https://docs.google.com/spreadsheets/d/1IYY_tgx_IHuhSq3AJ5eI5OnqOPBNLWSHKh2a30DoXe8/edit?usp=sharing"",""ชุมพร!I315"")"),10)</f>
        <v>10</v>
      </c>
      <c r="J420" s="400">
        <f ca="1">IFERROR(__xludf.DUMMYFUNCTION("IMPORTRANGE(""https://docs.google.com/spreadsheets/d/1IYY_tgx_IHuhSq3AJ5eI5OnqOPBNLWSHKh2a30DoXe8/edit?usp=sharing"",""ชุมพร!J315"")"),10)</f>
        <v>10</v>
      </c>
      <c r="K420" s="294">
        <f t="shared" ca="1" si="113"/>
        <v>100</v>
      </c>
      <c r="L420" s="252"/>
      <c r="M420" s="252"/>
      <c r="N420" s="252"/>
      <c r="O420" s="252"/>
      <c r="P420" s="252"/>
    </row>
    <row r="421" spans="1:16" ht="21.75" customHeight="1" x14ac:dyDescent="0.45">
      <c r="A421" s="183"/>
      <c r="B421" s="184"/>
      <c r="C421" s="184"/>
      <c r="D421" s="201"/>
      <c r="E421" s="206"/>
      <c r="F421" s="396" t="s">
        <v>151</v>
      </c>
      <c r="G421" s="204"/>
      <c r="H421" s="207" t="s">
        <v>37</v>
      </c>
      <c r="I421" s="397">
        <f ca="1">IFERROR(__xludf.DUMMYFUNCTION("IMPORTRANGE(""https://docs.google.com/spreadsheets/d/1IYY_tgx_IHuhSq3AJ5eI5OnqOPBNLWSHKh2a30DoXe8/edit?usp=sharing"",""ชุมพร!I316"")"),25)</f>
        <v>25</v>
      </c>
      <c r="J421" s="398">
        <f ca="1">IFERROR(__xludf.DUMMYFUNCTION("IMPORTRANGE(""https://docs.google.com/spreadsheets/d/1IYY_tgx_IHuhSq3AJ5eI5OnqOPBNLWSHKh2a30DoXe8/edit?usp=sharing"",""ชุมพร!J316"")"),0)</f>
        <v>0</v>
      </c>
      <c r="K421" s="209">
        <f t="shared" ca="1" si="113"/>
        <v>0</v>
      </c>
      <c r="L421" s="189"/>
      <c r="M421" s="189"/>
      <c r="N421" s="189"/>
      <c r="O421" s="189"/>
      <c r="P421" s="189"/>
    </row>
    <row r="422" spans="1:16" ht="21.75" customHeight="1" x14ac:dyDescent="0.45">
      <c r="A422" s="183"/>
      <c r="B422" s="184"/>
      <c r="C422" s="184"/>
      <c r="D422" s="201"/>
      <c r="E422" s="206"/>
      <c r="F422" s="203"/>
      <c r="G422" s="204"/>
      <c r="H422" s="207" t="s">
        <v>122</v>
      </c>
      <c r="I422" s="397">
        <f ca="1">IFERROR(__xludf.DUMMYFUNCTION("IMPORTRANGE(""https://docs.google.com/spreadsheets/d/1IYY_tgx_IHuhSq3AJ5eI5OnqOPBNLWSHKh2a30DoXe8/edit?usp=sharing"",""ชุมพร!I317"")"),75)</f>
        <v>75</v>
      </c>
      <c r="J422" s="399">
        <f ca="1">IFERROR(__xludf.DUMMYFUNCTION("IMPORTRANGE(""https://docs.google.com/spreadsheets/d/1IYY_tgx_IHuhSq3AJ5eI5OnqOPBNLWSHKh2a30DoXe8/edit?usp=sharing"",""ชุมพร!J317"")"),0)</f>
        <v>0</v>
      </c>
      <c r="K422" s="209">
        <f t="shared" ca="1" si="113"/>
        <v>0</v>
      </c>
      <c r="L422" s="189"/>
      <c r="M422" s="189"/>
      <c r="N422" s="189"/>
      <c r="O422" s="189"/>
      <c r="P422" s="189"/>
    </row>
    <row r="423" spans="1:16" ht="21.75" customHeight="1" x14ac:dyDescent="0.45">
      <c r="A423" s="183"/>
      <c r="B423" s="184"/>
      <c r="C423" s="184"/>
      <c r="D423" s="201"/>
      <c r="E423" s="206"/>
      <c r="F423" s="203"/>
      <c r="G423" s="233" t="s">
        <v>152</v>
      </c>
      <c r="H423" s="188" t="s">
        <v>37</v>
      </c>
      <c r="I423" s="347">
        <f ca="1">IFERROR(__xludf.DUMMYFUNCTION("IMPORTRANGE(""https://docs.google.com/spreadsheets/d/1IYY_tgx_IHuhSq3AJ5eI5OnqOPBNLWSHKh2a30DoXe8/edit?usp=sharing"",""ชุมพร!I318"")"),25)</f>
        <v>25</v>
      </c>
      <c r="J423" s="400">
        <f ca="1">IFERROR(__xludf.DUMMYFUNCTION("IMPORTRANGE(""https://docs.google.com/spreadsheets/d/1IYY_tgx_IHuhSq3AJ5eI5OnqOPBNLWSHKh2a30DoXe8/edit?usp=sharing"",""ชุมพร!J318"")"),0)</f>
        <v>0</v>
      </c>
      <c r="K423" s="169">
        <f t="shared" ca="1" si="113"/>
        <v>0</v>
      </c>
      <c r="L423" s="189"/>
      <c r="M423" s="189"/>
      <c r="N423" s="189"/>
      <c r="O423" s="189"/>
      <c r="P423" s="189"/>
    </row>
    <row r="424" spans="1:16" ht="21.75" customHeight="1" x14ac:dyDescent="0.45">
      <c r="A424" s="183"/>
      <c r="B424" s="184"/>
      <c r="C424" s="184"/>
      <c r="D424" s="201"/>
      <c r="E424" s="206"/>
      <c r="F424" s="203"/>
      <c r="G424" s="233" t="s">
        <v>153</v>
      </c>
      <c r="H424" s="188" t="s">
        <v>37</v>
      </c>
      <c r="I424" s="347">
        <f ca="1">IFERROR(__xludf.DUMMYFUNCTION("IMPORTRANGE(""https://docs.google.com/spreadsheets/d/1IYY_tgx_IHuhSq3AJ5eI5OnqOPBNLWSHKh2a30DoXe8/edit?usp=sharing"",""ชุมพร!I319"")"),25)</f>
        <v>25</v>
      </c>
      <c r="J424" s="400">
        <f ca="1">IFERROR(__xludf.DUMMYFUNCTION("IMPORTRANGE(""https://docs.google.com/spreadsheets/d/1IYY_tgx_IHuhSq3AJ5eI5OnqOPBNLWSHKh2a30DoXe8/edit?usp=sharing"",""ชุมพร!J319"")"),0)</f>
        <v>0</v>
      </c>
      <c r="K424" s="169">
        <f t="shared" ca="1" si="113"/>
        <v>0</v>
      </c>
      <c r="L424" s="189"/>
      <c r="M424" s="189"/>
      <c r="N424" s="189"/>
      <c r="O424" s="189"/>
      <c r="P424" s="189"/>
    </row>
    <row r="425" spans="1:16" ht="21.75" customHeight="1" x14ac:dyDescent="0.45">
      <c r="A425" s="183"/>
      <c r="B425" s="184"/>
      <c r="C425" s="184"/>
      <c r="D425" s="201"/>
      <c r="E425" s="206"/>
      <c r="F425" s="203"/>
      <c r="G425" s="233" t="s">
        <v>154</v>
      </c>
      <c r="H425" s="188" t="s">
        <v>37</v>
      </c>
      <c r="I425" s="347">
        <f ca="1">IFERROR(__xludf.DUMMYFUNCTION("IMPORTRANGE(""https://docs.google.com/spreadsheets/d/1IYY_tgx_IHuhSq3AJ5eI5OnqOPBNLWSHKh2a30DoXe8/edit?usp=sharing"",""ชุมพร!I320"")"),25)</f>
        <v>25</v>
      </c>
      <c r="J425" s="400">
        <f ca="1">IFERROR(__xludf.DUMMYFUNCTION("IMPORTRANGE(""https://docs.google.com/spreadsheets/d/1IYY_tgx_IHuhSq3AJ5eI5OnqOPBNLWSHKh2a30DoXe8/edit?usp=sharing"",""ชุมพร!J320"")"),0)</f>
        <v>0</v>
      </c>
      <c r="K425" s="169">
        <f t="shared" ca="1" si="113"/>
        <v>0</v>
      </c>
      <c r="L425" s="189"/>
      <c r="M425" s="189"/>
      <c r="N425" s="189"/>
      <c r="O425" s="189"/>
      <c r="P425" s="189"/>
    </row>
    <row r="426" spans="1:16" ht="21.75" customHeight="1" x14ac:dyDescent="0.45">
      <c r="A426" s="183"/>
      <c r="B426" s="184"/>
      <c r="C426" s="184"/>
      <c r="D426" s="201"/>
      <c r="E426" s="206"/>
      <c r="F426" s="405" t="s">
        <v>155</v>
      </c>
      <c r="G426" s="204"/>
      <c r="H426" s="207" t="s">
        <v>37</v>
      </c>
      <c r="I426" s="397">
        <f ca="1">IFERROR(__xludf.DUMMYFUNCTION("IMPORTRANGE(""https://docs.google.com/spreadsheets/d/1IYY_tgx_IHuhSq3AJ5eI5OnqOPBNLWSHKh2a30DoXe8/edit?usp=sharing"",""ชุมพร!I321"")"),10)</f>
        <v>10</v>
      </c>
      <c r="J426" s="398">
        <f ca="1">IFERROR(__xludf.DUMMYFUNCTION("IMPORTRANGE(""https://docs.google.com/spreadsheets/d/1IYY_tgx_IHuhSq3AJ5eI5OnqOPBNLWSHKh2a30DoXe8/edit?usp=sharing"",""ชุมพร!J321"")"),0)</f>
        <v>0</v>
      </c>
      <c r="K426" s="209">
        <f t="shared" ca="1" si="113"/>
        <v>0</v>
      </c>
      <c r="L426" s="189"/>
      <c r="M426" s="189"/>
      <c r="N426" s="189"/>
      <c r="O426" s="189"/>
      <c r="P426" s="189"/>
    </row>
    <row r="427" spans="1:16" ht="21.75" customHeight="1" x14ac:dyDescent="0.45">
      <c r="A427" s="183"/>
      <c r="B427" s="184"/>
      <c r="C427" s="184"/>
      <c r="D427" s="201"/>
      <c r="E427" s="206"/>
      <c r="F427" s="203"/>
      <c r="G427" s="204"/>
      <c r="H427" s="207" t="s">
        <v>122</v>
      </c>
      <c r="I427" s="397">
        <f ca="1">IFERROR(__xludf.DUMMYFUNCTION("IMPORTRANGE(""https://docs.google.com/spreadsheets/d/1IYY_tgx_IHuhSq3AJ5eI5OnqOPBNLWSHKh2a30DoXe8/edit?usp=sharing"",""ชุมพร!I322"")"),30)</f>
        <v>30</v>
      </c>
      <c r="J427" s="399">
        <f ca="1">IFERROR(__xludf.DUMMYFUNCTION("IMPORTRANGE(""https://docs.google.com/spreadsheets/d/1IYY_tgx_IHuhSq3AJ5eI5OnqOPBNLWSHKh2a30DoXe8/edit?usp=sharing"",""ชุมพร!J322"")"),0)</f>
        <v>0</v>
      </c>
      <c r="K427" s="209">
        <f t="shared" ca="1" si="113"/>
        <v>0</v>
      </c>
      <c r="L427" s="189"/>
      <c r="M427" s="189"/>
      <c r="N427" s="189"/>
      <c r="O427" s="189"/>
      <c r="P427" s="189"/>
    </row>
    <row r="428" spans="1:16" ht="21.75" customHeight="1" x14ac:dyDescent="0.45">
      <c r="A428" s="183"/>
      <c r="B428" s="184"/>
      <c r="C428" s="184"/>
      <c r="D428" s="201"/>
      <c r="E428" s="206"/>
      <c r="F428" s="203"/>
      <c r="G428" s="233" t="s">
        <v>156</v>
      </c>
      <c r="H428" s="188" t="s">
        <v>37</v>
      </c>
      <c r="I428" s="406">
        <f ca="1">IFERROR(__xludf.DUMMYFUNCTION("IMPORTRANGE(""https://docs.google.com/spreadsheets/d/1IYY_tgx_IHuhSq3AJ5eI5OnqOPBNLWSHKh2a30DoXe8/edit?usp=sharing"",""ชุมพร!I323"")"),10)</f>
        <v>10</v>
      </c>
      <c r="J428" s="400">
        <f ca="1">IFERROR(__xludf.DUMMYFUNCTION("IMPORTRANGE(""https://docs.google.com/spreadsheets/d/1IYY_tgx_IHuhSq3AJ5eI5OnqOPBNLWSHKh2a30DoXe8/edit?usp=sharing"",""ชุมพร!J323"")"),0)</f>
        <v>0</v>
      </c>
      <c r="K428" s="169">
        <f t="shared" ca="1" si="113"/>
        <v>0</v>
      </c>
      <c r="L428" s="189"/>
      <c r="M428" s="189"/>
      <c r="N428" s="189"/>
      <c r="O428" s="189"/>
      <c r="P428" s="189"/>
    </row>
    <row r="429" spans="1:16" ht="21.75" customHeight="1" x14ac:dyDescent="0.45">
      <c r="A429" s="183"/>
      <c r="B429" s="184"/>
      <c r="C429" s="184"/>
      <c r="D429" s="201"/>
      <c r="E429" s="206"/>
      <c r="F429" s="203"/>
      <c r="G429" s="233" t="s">
        <v>157</v>
      </c>
      <c r="H429" s="188" t="s">
        <v>37</v>
      </c>
      <c r="I429" s="406">
        <f ca="1">IFERROR(__xludf.DUMMYFUNCTION("IMPORTRANGE(""https://docs.google.com/spreadsheets/d/1IYY_tgx_IHuhSq3AJ5eI5OnqOPBNLWSHKh2a30DoXe8/edit?usp=sharing"",""ชุมพร!I324"")"),10)</f>
        <v>10</v>
      </c>
      <c r="J429" s="400">
        <f ca="1">IFERROR(__xludf.DUMMYFUNCTION("IMPORTRANGE(""https://docs.google.com/spreadsheets/d/1IYY_tgx_IHuhSq3AJ5eI5OnqOPBNLWSHKh2a30DoXe8/edit?usp=sharing"",""ชุมพร!J324"")"),0)</f>
        <v>0</v>
      </c>
      <c r="K429" s="169">
        <f t="shared" ca="1" si="113"/>
        <v>0</v>
      </c>
      <c r="L429" s="189"/>
      <c r="M429" s="189"/>
      <c r="N429" s="189"/>
      <c r="O429" s="189"/>
      <c r="P429" s="189"/>
    </row>
    <row r="430" spans="1:16" ht="21.75" customHeight="1" x14ac:dyDescent="0.45">
      <c r="A430" s="183"/>
      <c r="B430" s="184"/>
      <c r="C430" s="184"/>
      <c r="D430" s="201"/>
      <c r="E430" s="206"/>
      <c r="F430" s="202" t="s">
        <v>53</v>
      </c>
      <c r="G430" s="394"/>
      <c r="H430" s="407" t="s">
        <v>37</v>
      </c>
      <c r="I430" s="208">
        <f ca="1">IFERROR(__xludf.DUMMYFUNCTION("IMPORTRANGE(""https://docs.google.com/spreadsheets/d/1IYY_tgx_IHuhSq3AJ5eI5OnqOPBNLWSHKh2a30DoXe8/edit?usp=sharing"",""ชุมพร!I325"")"),35)</f>
        <v>35</v>
      </c>
      <c r="J430" s="398">
        <f ca="1">IFERROR(__xludf.DUMMYFUNCTION("IMPORTRANGE(""https://docs.google.com/spreadsheets/d/1IYY_tgx_IHuhSq3AJ5eI5OnqOPBNLWSHKh2a30DoXe8/edit?usp=sharing"",""ชุมพร!J325"")"),0)</f>
        <v>0</v>
      </c>
      <c r="K430" s="209">
        <f t="shared" ca="1" si="113"/>
        <v>0</v>
      </c>
      <c r="L430" s="189"/>
      <c r="M430" s="189"/>
      <c r="N430" s="189"/>
      <c r="O430" s="189"/>
      <c r="P430" s="189"/>
    </row>
    <row r="431" spans="1:16" ht="21.75" customHeight="1" x14ac:dyDescent="0.45">
      <c r="A431" s="408"/>
      <c r="B431" s="409"/>
      <c r="C431" s="409"/>
      <c r="D431" s="410"/>
      <c r="E431" s="206"/>
      <c r="F431" s="203"/>
      <c r="G431" s="233" t="s">
        <v>158</v>
      </c>
      <c r="H431" s="188" t="s">
        <v>37</v>
      </c>
      <c r="I431" s="406">
        <f ca="1">IFERROR(__xludf.DUMMYFUNCTION("IMPORTRANGE(""https://docs.google.com/spreadsheets/d/1IYY_tgx_IHuhSq3AJ5eI5OnqOPBNLWSHKh2a30DoXe8/edit?usp=sharing"",""ชุมพร!I326"")"),10)</f>
        <v>10</v>
      </c>
      <c r="J431" s="400">
        <f ca="1">IFERROR(__xludf.DUMMYFUNCTION("IMPORTRANGE(""https://docs.google.com/spreadsheets/d/1IYY_tgx_IHuhSq3AJ5eI5OnqOPBNLWSHKh2a30DoXe8/edit?usp=sharing"",""ชุมพร!J326"")"),0)</f>
        <v>0</v>
      </c>
      <c r="K431" s="169">
        <f t="shared" ca="1" si="113"/>
        <v>0</v>
      </c>
      <c r="L431" s="189"/>
      <c r="M431" s="189"/>
      <c r="N431" s="189"/>
      <c r="O431" s="189"/>
      <c r="P431" s="189"/>
    </row>
    <row r="432" spans="1:16" ht="21.75" customHeight="1" x14ac:dyDescent="0.45">
      <c r="A432" s="408"/>
      <c r="B432" s="409"/>
      <c r="C432" s="409"/>
      <c r="D432" s="410"/>
      <c r="E432" s="206"/>
      <c r="F432" s="203"/>
      <c r="G432" s="233" t="s">
        <v>159</v>
      </c>
      <c r="H432" s="188" t="s">
        <v>37</v>
      </c>
      <c r="I432" s="406">
        <f ca="1">IFERROR(__xludf.DUMMYFUNCTION("IMPORTRANGE(""https://docs.google.com/spreadsheets/d/1IYY_tgx_IHuhSq3AJ5eI5OnqOPBNLWSHKh2a30DoXe8/edit?usp=sharing"",""ชุมพร!I327"")"),25)</f>
        <v>25</v>
      </c>
      <c r="J432" s="400">
        <f ca="1">IFERROR(__xludf.DUMMYFUNCTION("IMPORTRANGE(""https://docs.google.com/spreadsheets/d/1IYY_tgx_IHuhSq3AJ5eI5OnqOPBNLWSHKh2a30DoXe8/edit?usp=sharing"",""ชุมพร!J327"")"),0)</f>
        <v>0</v>
      </c>
      <c r="K432" s="169">
        <f t="shared" ca="1" si="113"/>
        <v>0</v>
      </c>
      <c r="L432" s="189"/>
      <c r="M432" s="189"/>
      <c r="N432" s="189"/>
      <c r="O432" s="189"/>
      <c r="P432" s="189"/>
    </row>
    <row r="433" spans="1:16" ht="21.75" customHeight="1" x14ac:dyDescent="0.35">
      <c r="A433" s="183"/>
      <c r="B433" s="184"/>
      <c r="C433" s="184"/>
      <c r="D433" s="201"/>
      <c r="E433" s="202" t="s">
        <v>54</v>
      </c>
      <c r="F433" s="203"/>
      <c r="G433" s="204"/>
      <c r="H433" s="194"/>
      <c r="I433" s="195"/>
      <c r="J433" s="205">
        <f ca="1">IFERROR(__xludf.DUMMYFUNCTION("IMPORTRANGE(""https://docs.google.com/spreadsheets/d/1IYY_tgx_IHuhSq3AJ5eI5OnqOPBNLWSHKh2a30DoXe8/edit?usp=sharing"",""ชุมพร!J328"")"),0)</f>
        <v>0</v>
      </c>
      <c r="K433" s="169"/>
      <c r="L433" s="189"/>
      <c r="M433" s="189"/>
      <c r="N433" s="189"/>
      <c r="O433" s="189"/>
      <c r="P433" s="189"/>
    </row>
    <row r="434" spans="1:16" ht="21.75" customHeight="1" x14ac:dyDescent="0.35">
      <c r="A434" s="183"/>
      <c r="B434" s="184"/>
      <c r="C434" s="184"/>
      <c r="D434" s="213">
        <v>3</v>
      </c>
      <c r="E434" s="214" t="s">
        <v>55</v>
      </c>
      <c r="F434" s="215"/>
      <c r="G434" s="216"/>
      <c r="H434" s="194"/>
      <c r="I434" s="195"/>
      <c r="J434" s="217">
        <f ca="1">IFERROR(__xludf.DUMMYFUNCTION("IMPORTRANGE(""https://docs.google.com/spreadsheets/d/1IYY_tgx_IHuhSq3AJ5eI5OnqOPBNLWSHKh2a30DoXe8/edit?usp=sharing"",""ชุมพร!J329"")"),0)</f>
        <v>0</v>
      </c>
      <c r="K434" s="169"/>
      <c r="L434" s="189"/>
      <c r="M434" s="189"/>
      <c r="N434" s="189"/>
      <c r="O434" s="189"/>
      <c r="P434" s="189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IFERROR(__xludf.DUMMYFUNCTION("IMPORTRANGE(""https://docs.google.com/spreadsheets/d/1IYY_tgx_IHuhSq3AJ5eI5OnqOPBNLWSHKh2a30DoXe8/edit?usp=sharing"",""ชุมพร!I330"")"),60)</f>
        <v>60</v>
      </c>
      <c r="J435" s="416">
        <f ca="1">IFERROR(__xludf.DUMMYFUNCTION("IMPORTRANGE(""https://docs.google.com/spreadsheets/d/1IYY_tgx_IHuhSq3AJ5eI5OnqOPBNLWSHKh2a30DoXe8/edit?usp=sharing"",""ชุมพร!J330"")"),60)</f>
        <v>60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IFERROR(__xludf.DUMMYFUNCTION("IMPORTRANGE(""https://docs.google.com/spreadsheets/d/1IYY_tgx_IHuhSq3AJ5eI5OnqOPBNLWSHKh2a30DoXe8/edit?usp=sharing"",""ชุมพร!L330"")"),197600)</f>
        <v>197600</v>
      </c>
      <c r="M435" s="418"/>
      <c r="N435" s="418">
        <f ca="1">IFERROR(__xludf.DUMMYFUNCTION("IMPORTRANGE(""https://docs.google.com/spreadsheets/d/1IYY_tgx_IHuhSq3AJ5eI5OnqOPBNLWSHKh2a30DoXe8/edit?usp=sharing"",""ชุมพร!M330"")"),71968.34)</f>
        <v>71968.34</v>
      </c>
      <c r="O435" s="418">
        <f t="shared" ref="O435:O439" ca="1" si="114">+IF(L435&gt;0,N435*100/L435,0)</f>
        <v>36.421224696356276</v>
      </c>
      <c r="P435" s="418"/>
    </row>
    <row r="436" spans="1:16" ht="21.75" customHeight="1" x14ac:dyDescent="0.35">
      <c r="A436" s="162"/>
      <c r="B436" s="163"/>
      <c r="C436" s="163" t="s">
        <v>16</v>
      </c>
      <c r="D436" s="164" t="s">
        <v>38</v>
      </c>
      <c r="E436" s="165"/>
      <c r="F436" s="165"/>
      <c r="G436" s="166" t="s">
        <v>39</v>
      </c>
      <c r="H436" s="167" t="s">
        <v>12</v>
      </c>
      <c r="I436" s="168" t="s">
        <v>40</v>
      </c>
      <c r="J436" s="168"/>
      <c r="K436" s="169"/>
      <c r="L436" s="170">
        <f ca="1">IFERROR(__xludf.DUMMYFUNCTION("IMPORTRANGE(""https://docs.google.com/spreadsheets/d/1IYY_tgx_IHuhSq3AJ5eI5OnqOPBNLWSHKh2a30DoXe8/edit?usp=sharing"",""ชุมพร!L331"")"),0)</f>
        <v>0</v>
      </c>
      <c r="M436" s="170"/>
      <c r="N436" s="176">
        <f ca="1">IFERROR(__xludf.DUMMYFUNCTION("IMPORTRANGE(""https://docs.google.com/spreadsheets/d/1IYY_tgx_IHuhSq3AJ5eI5OnqOPBNLWSHKh2a30DoXe8/edit?usp=sharing"",""ชุมพร!M331"")"),0)</f>
        <v>0</v>
      </c>
      <c r="O436" s="176">
        <f t="shared" ca="1" si="114"/>
        <v>0</v>
      </c>
      <c r="P436" s="176"/>
    </row>
    <row r="437" spans="1:16" ht="21.75" customHeight="1" x14ac:dyDescent="0.35">
      <c r="A437" s="162"/>
      <c r="B437" s="163"/>
      <c r="C437" s="163"/>
      <c r="D437" s="172"/>
      <c r="E437" s="165"/>
      <c r="F437" s="165" t="s">
        <v>40</v>
      </c>
      <c r="G437" s="166" t="s">
        <v>41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IFERROR(__xludf.DUMMYFUNCTION("IMPORTRANGE(""https://docs.google.com/spreadsheets/d/1IYY_tgx_IHuhSq3AJ5eI5OnqOPBNLWSHKh2a30DoXe8/edit?usp=sharing"",""ชุมพร!L332"")"),197600)</f>
        <v>197600</v>
      </c>
      <c r="M437" s="171"/>
      <c r="N437" s="176">
        <f ca="1">IFERROR(__xludf.DUMMYFUNCTION("IMPORTRANGE(""https://docs.google.com/spreadsheets/d/1IYY_tgx_IHuhSq3AJ5eI5OnqOPBNLWSHKh2a30DoXe8/edit?usp=sharing"",""ชุมพร!M332"")"),71968.34)</f>
        <v>71968.34</v>
      </c>
      <c r="O437" s="176">
        <f t="shared" ca="1" si="114"/>
        <v>36.421224696356276</v>
      </c>
      <c r="P437" s="176"/>
    </row>
    <row r="438" spans="1:16" ht="21.75" customHeight="1" x14ac:dyDescent="0.35">
      <c r="A438" s="162"/>
      <c r="B438" s="163"/>
      <c r="C438" s="163"/>
      <c r="D438" s="172"/>
      <c r="E438" s="165"/>
      <c r="F438" s="165"/>
      <c r="G438" s="380" t="s">
        <v>129</v>
      </c>
      <c r="H438" s="167" t="s">
        <v>12</v>
      </c>
      <c r="I438" s="168"/>
      <c r="J438" s="168"/>
      <c r="K438" s="169"/>
      <c r="L438" s="176">
        <f ca="1">IFERROR(__xludf.DUMMYFUNCTION("IMPORTRANGE(""https://docs.google.com/spreadsheets/d/1IYY_tgx_IHuhSq3AJ5eI5OnqOPBNLWSHKh2a30DoXe8/edit?usp=sharing"",""ชุมพร!L333"")"),0)</f>
        <v>0</v>
      </c>
      <c r="M438" s="176"/>
      <c r="N438" s="176">
        <f ca="1">IFERROR(__xludf.DUMMYFUNCTION("IMPORTRANGE(""https://docs.google.com/spreadsheets/d/1IYY_tgx_IHuhSq3AJ5eI5OnqOPBNLWSHKh2a30DoXe8/edit?usp=sharing"",""ชุมพร!M333"")"),0)</f>
        <v>0</v>
      </c>
      <c r="O438" s="176">
        <f t="shared" ca="1" si="114"/>
        <v>0</v>
      </c>
      <c r="P438" s="176"/>
    </row>
    <row r="439" spans="1:16" ht="21.75" customHeight="1" x14ac:dyDescent="0.35">
      <c r="A439" s="162"/>
      <c r="B439" s="163"/>
      <c r="C439" s="163"/>
      <c r="D439" s="172"/>
      <c r="E439" s="165"/>
      <c r="F439" s="165"/>
      <c r="G439" s="380" t="s">
        <v>130</v>
      </c>
      <c r="H439" s="167" t="s">
        <v>12</v>
      </c>
      <c r="I439" s="168"/>
      <c r="J439" s="168"/>
      <c r="K439" s="169"/>
      <c r="L439" s="176">
        <f ca="1">IFERROR(__xludf.DUMMYFUNCTION("IMPORTRANGE(""https://docs.google.com/spreadsheets/d/1IYY_tgx_IHuhSq3AJ5eI5OnqOPBNLWSHKh2a30DoXe8/edit?usp=sharing"",""ชุมพร!L334"")"),197600)</f>
        <v>197600</v>
      </c>
      <c r="M439" s="176"/>
      <c r="N439" s="176">
        <f ca="1">IFERROR(__xludf.DUMMYFUNCTION("IMPORTRANGE(""https://docs.google.com/spreadsheets/d/1IYY_tgx_IHuhSq3AJ5eI5OnqOPBNLWSHKh2a30DoXe8/edit?usp=sharing"",""ชุมพร!M334"")"),71968.34)</f>
        <v>71968.34</v>
      </c>
      <c r="O439" s="176">
        <f t="shared" ca="1" si="114"/>
        <v>36.421224696356276</v>
      </c>
      <c r="P439" s="176"/>
    </row>
    <row r="440" spans="1:16" ht="21.75" customHeight="1" x14ac:dyDescent="0.35">
      <c r="A440" s="381"/>
      <c r="B440" s="382"/>
      <c r="C440" s="163"/>
      <c r="D440" s="383"/>
      <c r="E440" s="165"/>
      <c r="F440" s="165"/>
      <c r="G440" s="384" t="s">
        <v>131</v>
      </c>
      <c r="H440" s="167" t="s">
        <v>12</v>
      </c>
      <c r="I440" s="195"/>
      <c r="J440" s="195"/>
      <c r="K440" s="231"/>
      <c r="L440" s="176"/>
      <c r="M440" s="176"/>
      <c r="N440" s="385">
        <f ca="1">IFERROR(__xludf.DUMMYFUNCTION("IMPORTRANGE(""https://docs.google.com/spreadsheets/d/1IYY_tgx_IHuhSq3AJ5eI5OnqOPBNLWSHKh2a30DoXe8/edit?usp=sharing"",""ชุมพร!M335"")"),54540)</f>
        <v>54540</v>
      </c>
      <c r="O440" s="176"/>
      <c r="P440" s="176"/>
    </row>
    <row r="441" spans="1:16" ht="21.75" customHeight="1" x14ac:dyDescent="0.35">
      <c r="A441" s="381"/>
      <c r="B441" s="382"/>
      <c r="C441" s="163"/>
      <c r="D441" s="383"/>
      <c r="E441" s="165"/>
      <c r="F441" s="165"/>
      <c r="G441" s="384" t="s">
        <v>132</v>
      </c>
      <c r="H441" s="167" t="s">
        <v>12</v>
      </c>
      <c r="I441" s="195"/>
      <c r="J441" s="195"/>
      <c r="K441" s="231"/>
      <c r="L441" s="176"/>
      <c r="M441" s="176"/>
      <c r="N441" s="385">
        <f ca="1">IFERROR(__xludf.DUMMYFUNCTION("IMPORTRANGE(""https://docs.google.com/spreadsheets/d/1IYY_tgx_IHuhSq3AJ5eI5OnqOPBNLWSHKh2a30DoXe8/edit?usp=sharing"",""ชุมพร!M336"")"),0)</f>
        <v>0</v>
      </c>
      <c r="O441" s="176"/>
      <c r="P441" s="176"/>
    </row>
    <row r="442" spans="1:16" ht="21.75" customHeight="1" x14ac:dyDescent="0.35">
      <c r="A442" s="381"/>
      <c r="B442" s="382"/>
      <c r="C442" s="163"/>
      <c r="D442" s="383"/>
      <c r="E442" s="165"/>
      <c r="F442" s="165"/>
      <c r="G442" s="384" t="s">
        <v>133</v>
      </c>
      <c r="H442" s="167" t="s">
        <v>12</v>
      </c>
      <c r="I442" s="195"/>
      <c r="J442" s="195"/>
      <c r="K442" s="231"/>
      <c r="L442" s="176"/>
      <c r="M442" s="176"/>
      <c r="N442" s="385">
        <f ca="1">IFERROR(__xludf.DUMMYFUNCTION("IMPORTRANGE(""https://docs.google.com/spreadsheets/d/1IYY_tgx_IHuhSq3AJ5eI5OnqOPBNLWSHKh2a30DoXe8/edit?usp=sharing"",""ชุมพร!M337"")"),0)</f>
        <v>0</v>
      </c>
      <c r="O442" s="176"/>
      <c r="P442" s="176"/>
    </row>
    <row r="443" spans="1:16" ht="21.75" customHeight="1" x14ac:dyDescent="0.35">
      <c r="A443" s="381"/>
      <c r="B443" s="382"/>
      <c r="C443" s="163"/>
      <c r="D443" s="383"/>
      <c r="E443" s="165"/>
      <c r="F443" s="165"/>
      <c r="G443" s="384" t="s">
        <v>134</v>
      </c>
      <c r="H443" s="167" t="s">
        <v>12</v>
      </c>
      <c r="I443" s="195"/>
      <c r="J443" s="195"/>
      <c r="K443" s="231"/>
      <c r="L443" s="176"/>
      <c r="M443" s="176"/>
      <c r="N443" s="385">
        <f ca="1">IFERROR(__xludf.DUMMYFUNCTION("IMPORTRANGE(""https://docs.google.com/spreadsheets/d/1IYY_tgx_IHuhSq3AJ5eI5OnqOPBNLWSHKh2a30DoXe8/edit?usp=sharing"",""ชุมพร!M338"")"),17428.34)</f>
        <v>17428.34</v>
      </c>
      <c r="O443" s="176"/>
      <c r="P443" s="176"/>
    </row>
    <row r="444" spans="1:16" ht="21.75" customHeight="1" x14ac:dyDescent="0.35">
      <c r="A444" s="183"/>
      <c r="B444" s="184"/>
      <c r="C444" s="163" t="s">
        <v>16</v>
      </c>
      <c r="D444" s="185" t="s">
        <v>44</v>
      </c>
      <c r="E444" s="186"/>
      <c r="F444" s="186"/>
      <c r="G444" s="187"/>
      <c r="H444" s="188"/>
      <c r="I444" s="168"/>
      <c r="J444" s="168"/>
      <c r="K444" s="169"/>
      <c r="L444" s="189"/>
      <c r="M444" s="189"/>
      <c r="N444" s="189"/>
      <c r="O444" s="189"/>
      <c r="P444" s="189"/>
    </row>
    <row r="445" spans="1:16" ht="21.75" customHeight="1" x14ac:dyDescent="0.35">
      <c r="A445" s="183"/>
      <c r="B445" s="184"/>
      <c r="C445" s="184"/>
      <c r="D445" s="190">
        <v>1</v>
      </c>
      <c r="E445" s="191" t="s">
        <v>45</v>
      </c>
      <c r="F445" s="192"/>
      <c r="G445" s="193"/>
      <c r="H445" s="194"/>
      <c r="I445" s="195"/>
      <c r="J445" s="217">
        <f ca="1">IFERROR(__xludf.DUMMYFUNCTION("IMPORTRANGE(""https://docs.google.com/spreadsheets/d/1IYY_tgx_IHuhSq3AJ5eI5OnqOPBNLWSHKh2a30DoXe8/edit?usp=sharing"",""ชุมพร!J340"")"),0)</f>
        <v>0</v>
      </c>
      <c r="K445" s="169"/>
      <c r="L445" s="189"/>
      <c r="M445" s="189"/>
      <c r="N445" s="189"/>
      <c r="O445" s="189"/>
      <c r="P445" s="189"/>
    </row>
    <row r="446" spans="1:16" ht="21.75" customHeight="1" x14ac:dyDescent="0.35">
      <c r="A446" s="183"/>
      <c r="B446" s="184"/>
      <c r="C446" s="184"/>
      <c r="D446" s="197">
        <v>2</v>
      </c>
      <c r="E446" s="198" t="s">
        <v>46</v>
      </c>
      <c r="F446" s="199"/>
      <c r="G446" s="200"/>
      <c r="H446" s="194"/>
      <c r="I446" s="195"/>
      <c r="J446" s="419">
        <f ca="1">IFERROR(__xludf.DUMMYFUNCTION("IMPORTRANGE(""https://docs.google.com/spreadsheets/d/1IYY_tgx_IHuhSq3AJ5eI5OnqOPBNLWSHKh2a30DoXe8/edit?usp=sharing"",""ชุมพร!J341"")"),1)</f>
        <v>1</v>
      </c>
      <c r="K446" s="169"/>
      <c r="L446" s="189" t="s">
        <v>40</v>
      </c>
      <c r="M446" s="189"/>
      <c r="N446" s="189" t="s">
        <v>40</v>
      </c>
      <c r="O446" s="189"/>
      <c r="P446" s="189"/>
    </row>
    <row r="447" spans="1:16" ht="21.75" customHeight="1" x14ac:dyDescent="0.35">
      <c r="A447" s="183"/>
      <c r="B447" s="184"/>
      <c r="C447" s="184"/>
      <c r="D447" s="201"/>
      <c r="E447" s="202" t="s">
        <v>161</v>
      </c>
      <c r="F447" s="203"/>
      <c r="G447" s="204"/>
      <c r="H447" s="194"/>
      <c r="I447" s="195"/>
      <c r="J447" s="196">
        <f ca="1">IFERROR(__xludf.DUMMYFUNCTION("IMPORTRANGE(""https://docs.google.com/spreadsheets/d/1IYY_tgx_IHuhSq3AJ5eI5OnqOPBNLWSHKh2a30DoXe8/edit?usp=sharing"",""ชุมพร!J342"")"),1)</f>
        <v>1</v>
      </c>
      <c r="K447" s="169"/>
      <c r="L447" s="189"/>
      <c r="M447" s="189"/>
      <c r="N447" s="189"/>
      <c r="O447" s="189"/>
      <c r="P447" s="189"/>
    </row>
    <row r="448" spans="1:16" ht="21.75" customHeight="1" x14ac:dyDescent="0.35">
      <c r="A448" s="183"/>
      <c r="B448" s="184"/>
      <c r="C448" s="184"/>
      <c r="D448" s="201"/>
      <c r="E448" s="202" t="s">
        <v>48</v>
      </c>
      <c r="F448" s="203"/>
      <c r="G448" s="204"/>
      <c r="H448" s="194"/>
      <c r="I448" s="195"/>
      <c r="J448" s="196">
        <f ca="1">IFERROR(__xludf.DUMMYFUNCTION("IMPORTRANGE(""https://docs.google.com/spreadsheets/d/1IYY_tgx_IHuhSq3AJ5eI5OnqOPBNLWSHKh2a30DoXe8/edit?usp=sharing"",""ชุมพร!J343"")"),1)</f>
        <v>1</v>
      </c>
      <c r="K448" s="169"/>
      <c r="L448" s="189"/>
      <c r="M448" s="189"/>
      <c r="N448" s="189"/>
      <c r="O448" s="189"/>
      <c r="P448" s="189"/>
    </row>
    <row r="449" spans="1:16" ht="21.75" customHeight="1" x14ac:dyDescent="0.35">
      <c r="A449" s="183"/>
      <c r="B449" s="184"/>
      <c r="C449" s="184"/>
      <c r="D449" s="201"/>
      <c r="E449" s="206"/>
      <c r="F449" s="420" t="s">
        <v>101</v>
      </c>
      <c r="G449" s="204"/>
      <c r="H449" s="194" t="s">
        <v>37</v>
      </c>
      <c r="I449" s="397">
        <f ca="1">IFERROR(__xludf.DUMMYFUNCTION("IMPORTRANGE(""https://docs.google.com/spreadsheets/d/1IYY_tgx_IHuhSq3AJ5eI5OnqOPBNLWSHKh2a30DoXe8/edit?usp=sharing"",""ชุมพร!I344"")"),60)</f>
        <v>60</v>
      </c>
      <c r="J449" s="208">
        <f ca="1">IFERROR(__xludf.DUMMYFUNCTION("IMPORTRANGE(""https://docs.google.com/spreadsheets/d/1IYY_tgx_IHuhSq3AJ5eI5OnqOPBNLWSHKh2a30DoXe8/edit?usp=sharing"",""ชุมพร!J344"")"),60)</f>
        <v>60</v>
      </c>
      <c r="K449" s="169">
        <f t="shared" ref="K449:K452" ca="1" si="115">IF(I449&gt;0,J449*100/I449,0)</f>
        <v>100</v>
      </c>
      <c r="L449" s="189"/>
      <c r="M449" s="189"/>
      <c r="N449" s="189"/>
      <c r="O449" s="189"/>
      <c r="P449" s="189"/>
    </row>
    <row r="450" spans="1:16" ht="21.75" customHeight="1" x14ac:dyDescent="0.35">
      <c r="A450" s="183"/>
      <c r="B450" s="184"/>
      <c r="C450" s="184"/>
      <c r="D450" s="201"/>
      <c r="E450" s="206"/>
      <c r="F450" s="203"/>
      <c r="G450" s="233" t="s">
        <v>162</v>
      </c>
      <c r="H450" s="194" t="s">
        <v>37</v>
      </c>
      <c r="I450" s="347">
        <f ca="1">IFERROR(__xludf.DUMMYFUNCTION("IMPORTRANGE(""https://docs.google.com/spreadsheets/d/1IYY_tgx_IHuhSq3AJ5eI5OnqOPBNLWSHKh2a30DoXe8/edit?usp=sharing"",""ชุมพร!I345"")"),20)</f>
        <v>20</v>
      </c>
      <c r="J450" s="196">
        <f ca="1">IFERROR(__xludf.DUMMYFUNCTION("IMPORTRANGE(""https://docs.google.com/spreadsheets/d/1IYY_tgx_IHuhSq3AJ5eI5OnqOPBNLWSHKh2a30DoXe8/edit?usp=sharing"",""ชุมพร!J345"")"),20)</f>
        <v>20</v>
      </c>
      <c r="K450" s="169">
        <f t="shared" ca="1" si="115"/>
        <v>100</v>
      </c>
      <c r="L450" s="189"/>
      <c r="M450" s="189"/>
      <c r="N450" s="189"/>
      <c r="O450" s="189"/>
      <c r="P450" s="189"/>
    </row>
    <row r="451" spans="1:16" ht="21.75" customHeight="1" x14ac:dyDescent="0.35">
      <c r="A451" s="183"/>
      <c r="B451" s="184"/>
      <c r="C451" s="184"/>
      <c r="D451" s="201"/>
      <c r="E451" s="206"/>
      <c r="F451" s="203"/>
      <c r="G451" s="287" t="s">
        <v>163</v>
      </c>
      <c r="H451" s="194" t="s">
        <v>37</v>
      </c>
      <c r="I451" s="347">
        <f ca="1">IFERROR(__xludf.DUMMYFUNCTION("IMPORTRANGE(""https://docs.google.com/spreadsheets/d/1IYY_tgx_IHuhSq3AJ5eI5OnqOPBNLWSHKh2a30DoXe8/edit?usp=sharing"",""ชุมพร!I346"")"),40)</f>
        <v>40</v>
      </c>
      <c r="J451" s="195">
        <f ca="1">IFERROR(__xludf.DUMMYFUNCTION("IMPORTRANGE(""https://docs.google.com/spreadsheets/d/1IYY_tgx_IHuhSq3AJ5eI5OnqOPBNLWSHKh2a30DoXe8/edit?usp=sharing"",""ชุมพร!J346"")"),40)</f>
        <v>40</v>
      </c>
      <c r="K451" s="169">
        <f t="shared" ca="1" si="115"/>
        <v>100</v>
      </c>
      <c r="L451" s="189"/>
      <c r="M451" s="189"/>
      <c r="N451" s="189"/>
      <c r="O451" s="189"/>
      <c r="P451" s="189"/>
    </row>
    <row r="452" spans="1:16" ht="21.75" customHeight="1" x14ac:dyDescent="0.35">
      <c r="A452" s="183"/>
      <c r="B452" s="184"/>
      <c r="C452" s="184"/>
      <c r="D452" s="201"/>
      <c r="E452" s="206"/>
      <c r="F452" s="203"/>
      <c r="G452" s="204" t="s">
        <v>164</v>
      </c>
      <c r="H452" s="194" t="s">
        <v>37</v>
      </c>
      <c r="I452" s="195">
        <f ca="1">IFERROR(__xludf.DUMMYFUNCTION("IMPORTRANGE(""https://docs.google.com/spreadsheets/d/1IYY_tgx_IHuhSq3AJ5eI5OnqOPBNLWSHKh2a30DoXe8/edit?usp=sharing"",""ชุมพร!I347"")"),0)</f>
        <v>0</v>
      </c>
      <c r="J452" s="195">
        <f ca="1">IFERROR(__xludf.DUMMYFUNCTION("IMPORTRANGE(""https://docs.google.com/spreadsheets/d/1IYY_tgx_IHuhSq3AJ5eI5OnqOPBNLWSHKh2a30DoXe8/edit?usp=sharing"",""ชุมพร!J347"")"),0)</f>
        <v>0</v>
      </c>
      <c r="K452" s="169">
        <f t="shared" ca="1" si="115"/>
        <v>0</v>
      </c>
      <c r="L452" s="189"/>
      <c r="M452" s="189"/>
      <c r="N452" s="189"/>
      <c r="O452" s="189"/>
      <c r="P452" s="189"/>
    </row>
    <row r="453" spans="1:16" ht="21.75" customHeight="1" x14ac:dyDescent="0.35">
      <c r="A453" s="183"/>
      <c r="B453" s="184"/>
      <c r="C453" s="184"/>
      <c r="D453" s="201"/>
      <c r="E453" s="202" t="s">
        <v>54</v>
      </c>
      <c r="F453" s="203"/>
      <c r="G453" s="204"/>
      <c r="H453" s="194"/>
      <c r="I453" s="195"/>
      <c r="J453" s="205">
        <f ca="1">IFERROR(__xludf.DUMMYFUNCTION("IMPORTRANGE(""https://docs.google.com/spreadsheets/d/1IYY_tgx_IHuhSq3AJ5eI5OnqOPBNLWSHKh2a30DoXe8/edit?usp=sharing"",""ชุมพร!J348"")"),0)</f>
        <v>0</v>
      </c>
      <c r="K453" s="169"/>
      <c r="L453" s="189"/>
      <c r="M453" s="189"/>
      <c r="N453" s="189"/>
      <c r="O453" s="189"/>
      <c r="P453" s="189"/>
    </row>
    <row r="454" spans="1:16" ht="21.75" customHeight="1" x14ac:dyDescent="0.35">
      <c r="A454" s="183"/>
      <c r="B454" s="184"/>
      <c r="C454" s="184"/>
      <c r="D454" s="213">
        <v>3</v>
      </c>
      <c r="E454" s="214" t="s">
        <v>55</v>
      </c>
      <c r="F454" s="215"/>
      <c r="G454" s="216"/>
      <c r="H454" s="194"/>
      <c r="I454" s="195"/>
      <c r="J454" s="217">
        <f ca="1">IFERROR(__xludf.DUMMYFUNCTION("IMPORTRANGE(""https://docs.google.com/spreadsheets/d/1IYY_tgx_IHuhSq3AJ5eI5OnqOPBNLWSHKh2a30DoXe8/edit?usp=sharing"",""ชุมพร!J349"")"),0)</f>
        <v>0</v>
      </c>
      <c r="K454" s="169"/>
      <c r="L454" s="189"/>
      <c r="M454" s="189"/>
      <c r="N454" s="189"/>
      <c r="O454" s="189"/>
      <c r="P454" s="189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IFERROR(__xludf.DUMMYFUNCTION("IMPORTRANGE(""https://docs.google.com/spreadsheets/d/1IYY_tgx_IHuhSq3AJ5eI5OnqOPBNLWSHKh2a30DoXe8/edit?usp=sharing"",""ชุมพร!I350"")"),108087)</f>
        <v>108087</v>
      </c>
      <c r="J455" s="377">
        <f ca="1">IFERROR(__xludf.DUMMYFUNCTION("IMPORTRANGE(""https://docs.google.com/spreadsheets/d/1IYY_tgx_IHuhSq3AJ5eI5OnqOPBNLWSHKh2a30DoXe8/edit?usp=sharing"",""ชุมพร!J350"")"),0)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IFERROR(__xludf.DUMMYFUNCTION("IMPORTRANGE(""https://docs.google.com/spreadsheets/d/1IYY_tgx_IHuhSq3AJ5eI5OnqOPBNLWSHKh2a30DoXe8/edit?usp=sharing"",""ชุมพร!L350"")"),710357)</f>
        <v>710357</v>
      </c>
      <c r="M455" s="379"/>
      <c r="N455" s="379">
        <f ca="1">IFERROR(__xludf.DUMMYFUNCTION("IMPORTRANGE(""https://docs.google.com/spreadsheets/d/1IYY_tgx_IHuhSq3AJ5eI5OnqOPBNLWSHKh2a30DoXe8/edit?usp=sharing"",""ชุมพร!M350"")"),138474.73)</f>
        <v>138474.73000000001</v>
      </c>
      <c r="O455" s="379">
        <f t="shared" ref="O455:O459" ca="1" si="116">+IF(L455&gt;0,N455*100/L455,0)</f>
        <v>19.493681346140043</v>
      </c>
      <c r="P455" s="379"/>
    </row>
    <row r="456" spans="1:16" ht="21.75" customHeight="1" x14ac:dyDescent="0.35">
      <c r="A456" s="162"/>
      <c r="B456" s="163"/>
      <c r="C456" s="163" t="s">
        <v>16</v>
      </c>
      <c r="D456" s="164" t="s">
        <v>38</v>
      </c>
      <c r="E456" s="165"/>
      <c r="F456" s="165"/>
      <c r="G456" s="166" t="s">
        <v>39</v>
      </c>
      <c r="H456" s="167" t="s">
        <v>12</v>
      </c>
      <c r="I456" s="168" t="s">
        <v>40</v>
      </c>
      <c r="J456" s="168"/>
      <c r="K456" s="169"/>
      <c r="L456" s="170">
        <f ca="1">IFERROR(__xludf.DUMMYFUNCTION("IMPORTRANGE(""https://docs.google.com/spreadsheets/d/1IYY_tgx_IHuhSq3AJ5eI5OnqOPBNLWSHKh2a30DoXe8/edit?usp=sharing"",""ชุมพร!L351"")"),0)</f>
        <v>0</v>
      </c>
      <c r="M456" s="170"/>
      <c r="N456" s="176">
        <f ca="1">IFERROR(__xludf.DUMMYFUNCTION("IMPORTRANGE(""https://docs.google.com/spreadsheets/d/1IYY_tgx_IHuhSq3AJ5eI5OnqOPBNLWSHKh2a30DoXe8/edit?usp=sharing"",""ชุมพร!M351"")"),0)</f>
        <v>0</v>
      </c>
      <c r="O456" s="176">
        <f t="shared" ca="1" si="116"/>
        <v>0</v>
      </c>
      <c r="P456" s="176"/>
    </row>
    <row r="457" spans="1:16" ht="21.75" customHeight="1" x14ac:dyDescent="0.35">
      <c r="A457" s="162"/>
      <c r="B457" s="163"/>
      <c r="C457" s="163"/>
      <c r="D457" s="172"/>
      <c r="E457" s="165"/>
      <c r="F457" s="165" t="s">
        <v>40</v>
      </c>
      <c r="G457" s="166" t="s">
        <v>41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IFERROR(__xludf.DUMMYFUNCTION("IMPORTRANGE(""https://docs.google.com/spreadsheets/d/1IYY_tgx_IHuhSq3AJ5eI5OnqOPBNLWSHKh2a30DoXe8/edit?usp=sharing"",""ชุมพร!L352"")"),710357)</f>
        <v>710357</v>
      </c>
      <c r="M457" s="171"/>
      <c r="N457" s="176">
        <f ca="1">IFERROR(__xludf.DUMMYFUNCTION("IMPORTRANGE(""https://docs.google.com/spreadsheets/d/1IYY_tgx_IHuhSq3AJ5eI5OnqOPBNLWSHKh2a30DoXe8/edit?usp=sharing"",""ชุมพร!M352"")"),138474.73)</f>
        <v>138474.73000000001</v>
      </c>
      <c r="O457" s="176">
        <f t="shared" ca="1" si="116"/>
        <v>19.493681346140043</v>
      </c>
      <c r="P457" s="176"/>
    </row>
    <row r="458" spans="1:16" ht="21.75" customHeight="1" x14ac:dyDescent="0.35">
      <c r="A458" s="162"/>
      <c r="B458" s="163"/>
      <c r="C458" s="163"/>
      <c r="D458" s="172"/>
      <c r="E458" s="165"/>
      <c r="F458" s="165"/>
      <c r="G458" s="380" t="s">
        <v>129</v>
      </c>
      <c r="H458" s="167" t="s">
        <v>12</v>
      </c>
      <c r="I458" s="168"/>
      <c r="J458" s="168"/>
      <c r="K458" s="169"/>
      <c r="L458" s="176">
        <f ca="1">IFERROR(__xludf.DUMMYFUNCTION("IMPORTRANGE(""https://docs.google.com/spreadsheets/d/1IYY_tgx_IHuhSq3AJ5eI5OnqOPBNLWSHKh2a30DoXe8/edit?usp=sharing"",""ชุมพร!L353"")"),0)</f>
        <v>0</v>
      </c>
      <c r="M458" s="176"/>
      <c r="N458" s="176">
        <f ca="1">IFERROR(__xludf.DUMMYFUNCTION("IMPORTRANGE(""https://docs.google.com/spreadsheets/d/1IYY_tgx_IHuhSq3AJ5eI5OnqOPBNLWSHKh2a30DoXe8/edit?usp=sharing"",""ชุมพร!M353"")"),0)</f>
        <v>0</v>
      </c>
      <c r="O458" s="176">
        <f t="shared" ca="1" si="116"/>
        <v>0</v>
      </c>
      <c r="P458" s="176"/>
    </row>
    <row r="459" spans="1:16" ht="21.75" customHeight="1" x14ac:dyDescent="0.35">
      <c r="A459" s="162"/>
      <c r="B459" s="163"/>
      <c r="C459" s="163"/>
      <c r="D459" s="172"/>
      <c r="E459" s="165"/>
      <c r="F459" s="165"/>
      <c r="G459" s="380" t="s">
        <v>130</v>
      </c>
      <c r="H459" s="167" t="s">
        <v>12</v>
      </c>
      <c r="I459" s="168"/>
      <c r="J459" s="168"/>
      <c r="K459" s="169"/>
      <c r="L459" s="176">
        <f ca="1">IFERROR(__xludf.DUMMYFUNCTION("IMPORTRANGE(""https://docs.google.com/spreadsheets/d/1IYY_tgx_IHuhSq3AJ5eI5OnqOPBNLWSHKh2a30DoXe8/edit?usp=sharing"",""ชุมพร!L354"")"),710357)</f>
        <v>710357</v>
      </c>
      <c r="M459" s="176"/>
      <c r="N459" s="176">
        <f ca="1">IFERROR(__xludf.DUMMYFUNCTION("IMPORTRANGE(""https://docs.google.com/spreadsheets/d/1IYY_tgx_IHuhSq3AJ5eI5OnqOPBNLWSHKh2a30DoXe8/edit?usp=sharing"",""ชุมพร!M354"")"),138474.73)</f>
        <v>138474.73000000001</v>
      </c>
      <c r="O459" s="176">
        <f t="shared" ca="1" si="116"/>
        <v>19.493681346140043</v>
      </c>
      <c r="P459" s="176"/>
    </row>
    <row r="460" spans="1:16" ht="21.75" customHeight="1" x14ac:dyDescent="0.35">
      <c r="A460" s="381"/>
      <c r="B460" s="382"/>
      <c r="C460" s="163"/>
      <c r="D460" s="383"/>
      <c r="E460" s="165"/>
      <c r="F460" s="165"/>
      <c r="G460" s="384" t="s">
        <v>131</v>
      </c>
      <c r="H460" s="167" t="s">
        <v>12</v>
      </c>
      <c r="I460" s="195"/>
      <c r="J460" s="195"/>
      <c r="K460" s="231"/>
      <c r="L460" s="176"/>
      <c r="M460" s="176"/>
      <c r="N460" s="173">
        <f ca="1">IFERROR(__xludf.DUMMYFUNCTION("IMPORTRANGE(""https://docs.google.com/spreadsheets/d/1IYY_tgx_IHuhSq3AJ5eI5OnqOPBNLWSHKh2a30DoXe8/edit?usp=sharing"",""ชุมพร!M355"")"),0)</f>
        <v>0</v>
      </c>
      <c r="O460" s="176"/>
      <c r="P460" s="176"/>
    </row>
    <row r="461" spans="1:16" ht="21.75" customHeight="1" x14ac:dyDescent="0.35">
      <c r="A461" s="381"/>
      <c r="B461" s="382"/>
      <c r="C461" s="163"/>
      <c r="D461" s="383"/>
      <c r="E461" s="165"/>
      <c r="F461" s="165"/>
      <c r="G461" s="384" t="s">
        <v>132</v>
      </c>
      <c r="H461" s="167" t="s">
        <v>12</v>
      </c>
      <c r="I461" s="195"/>
      <c r="J461" s="195"/>
      <c r="K461" s="231"/>
      <c r="L461" s="176"/>
      <c r="M461" s="176"/>
      <c r="N461" s="173">
        <f ca="1">IFERROR(__xludf.DUMMYFUNCTION("IMPORTRANGE(""https://docs.google.com/spreadsheets/d/1IYY_tgx_IHuhSq3AJ5eI5OnqOPBNLWSHKh2a30DoXe8/edit?usp=sharing"",""ชุมพร!M356"")"),0)</f>
        <v>0</v>
      </c>
      <c r="O461" s="176"/>
      <c r="P461" s="176"/>
    </row>
    <row r="462" spans="1:16" ht="21.75" customHeight="1" x14ac:dyDescent="0.35">
      <c r="A462" s="381"/>
      <c r="B462" s="382"/>
      <c r="C462" s="163"/>
      <c r="D462" s="383"/>
      <c r="E462" s="165"/>
      <c r="F462" s="165"/>
      <c r="G462" s="384" t="s">
        <v>133</v>
      </c>
      <c r="H462" s="167" t="s">
        <v>12</v>
      </c>
      <c r="I462" s="195"/>
      <c r="J462" s="195"/>
      <c r="K462" s="231"/>
      <c r="L462" s="176"/>
      <c r="M462" s="176"/>
      <c r="N462" s="385">
        <f ca="1">IFERROR(__xludf.DUMMYFUNCTION("IMPORTRANGE(""https://docs.google.com/spreadsheets/d/1IYY_tgx_IHuhSq3AJ5eI5OnqOPBNLWSHKh2a30DoXe8/edit?usp=sharing"",""ชุมพร!M357"")"),42175)</f>
        <v>42175</v>
      </c>
      <c r="O462" s="176"/>
      <c r="P462" s="176"/>
    </row>
    <row r="463" spans="1:16" ht="21.75" customHeight="1" x14ac:dyDescent="0.35">
      <c r="A463" s="381"/>
      <c r="B463" s="382"/>
      <c r="C463" s="163"/>
      <c r="D463" s="383"/>
      <c r="E463" s="165"/>
      <c r="F463" s="165"/>
      <c r="G463" s="384" t="s">
        <v>134</v>
      </c>
      <c r="H463" s="167" t="s">
        <v>12</v>
      </c>
      <c r="I463" s="195"/>
      <c r="J463" s="195"/>
      <c r="K463" s="231"/>
      <c r="L463" s="176"/>
      <c r="M463" s="176"/>
      <c r="N463" s="385">
        <f ca="1">IFERROR(__xludf.DUMMYFUNCTION("IMPORTRANGE(""https://docs.google.com/spreadsheets/d/1IYY_tgx_IHuhSq3AJ5eI5OnqOPBNLWSHKh2a30DoXe8/edit?usp=sharing"",""ชุมพร!M358"")"),96299.73)</f>
        <v>96299.73</v>
      </c>
      <c r="O463" s="176"/>
      <c r="P463" s="176"/>
    </row>
    <row r="464" spans="1:16" ht="21.75" customHeight="1" x14ac:dyDescent="0.35">
      <c r="A464" s="183"/>
      <c r="B464" s="184"/>
      <c r="C464" s="421" t="s">
        <v>166</v>
      </c>
      <c r="D464" s="421"/>
      <c r="E464" s="422"/>
      <c r="F464" s="422"/>
      <c r="G464" s="423"/>
      <c r="H464" s="273" t="s">
        <v>122</v>
      </c>
      <c r="I464" s="274">
        <f ca="1">IFERROR(__xludf.DUMMYFUNCTION("IMPORTRANGE(""https://docs.google.com/spreadsheets/d/1IYY_tgx_IHuhSq3AJ5eI5OnqOPBNLWSHKh2a30DoXe8/edit?usp=sharing"",""ชุมพร!I359"")"),108087)</f>
        <v>108087</v>
      </c>
      <c r="J464" s="274">
        <f ca="1">IFERROR(__xludf.DUMMYFUNCTION("IMPORTRANGE(""https://docs.google.com/spreadsheets/d/1IYY_tgx_IHuhSq3AJ5eI5OnqOPBNLWSHKh2a30DoXe8/edit?usp=sharing"",""ชุมพร!J359"")"),0)</f>
        <v>0</v>
      </c>
      <c r="K464" s="275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1" t="s">
        <v>167</v>
      </c>
      <c r="F465" s="203"/>
      <c r="G465" s="204"/>
      <c r="H465" s="424" t="s">
        <v>122</v>
      </c>
      <c r="I465" s="425">
        <f ca="1">IFERROR(__xludf.DUMMYFUNCTION("IMPORTRANGE(""https://docs.google.com/spreadsheets/d/1IYY_tgx_IHuhSq3AJ5eI5OnqOPBNLWSHKh2a30DoXe8/edit?usp=sharing"",""ชุมพร!I360"")"),108087)</f>
        <v>108087</v>
      </c>
      <c r="J465" s="426">
        <f ca="1">IFERROR(__xludf.DUMMYFUNCTION("IMPORTRANGE(""https://docs.google.com/spreadsheets/d/1IYY_tgx_IHuhSq3AJ5eI5OnqOPBNLWSHKh2a30DoXe8/edit?usp=sharing"",""ชุมพร!J360"")"),108088)</f>
        <v>108088</v>
      </c>
      <c r="K465" s="209">
        <f t="shared" ca="1" si="117"/>
        <v>100.00092518064152</v>
      </c>
      <c r="L465" s="189"/>
      <c r="M465" s="189"/>
      <c r="N465" s="189"/>
      <c r="O465" s="189"/>
      <c r="P465" s="189"/>
    </row>
    <row r="466" spans="1:16" ht="21.75" customHeight="1" x14ac:dyDescent="0.35">
      <c r="A466" s="408"/>
      <c r="B466" s="409"/>
      <c r="C466" s="409"/>
      <c r="D466" s="410"/>
      <c r="E466" s="203"/>
      <c r="F466" s="203"/>
      <c r="G466" s="204"/>
      <c r="H466" s="424" t="s">
        <v>36</v>
      </c>
      <c r="I466" s="425">
        <f ca="1">IFERROR(__xludf.DUMMYFUNCTION("IMPORTRANGE(""https://docs.google.com/spreadsheets/d/1IYY_tgx_IHuhSq3AJ5eI5OnqOPBNLWSHKh2a30DoXe8/edit?usp=sharing"",""ชุมพร!I361"")"),10641)</f>
        <v>10641</v>
      </c>
      <c r="J466" s="426">
        <f ca="1">IFERROR(__xludf.DUMMYFUNCTION("IMPORTRANGE(""https://docs.google.com/spreadsheets/d/1IYY_tgx_IHuhSq3AJ5eI5OnqOPBNLWSHKh2a30DoXe8/edit?usp=sharing"",""ชุมพร!J361"")"),10641)</f>
        <v>10641</v>
      </c>
      <c r="K466" s="209">
        <f t="shared" ca="1" si="117"/>
        <v>100</v>
      </c>
      <c r="L466" s="189"/>
      <c r="M466" s="189"/>
      <c r="N466" s="189"/>
      <c r="O466" s="189"/>
      <c r="P466" s="189"/>
    </row>
    <row r="467" spans="1:16" ht="21.75" customHeight="1" x14ac:dyDescent="0.35">
      <c r="A467" s="408"/>
      <c r="B467" s="409"/>
      <c r="C467" s="409"/>
      <c r="D467" s="410"/>
      <c r="E467" s="203"/>
      <c r="F467" s="396" t="s">
        <v>168</v>
      </c>
      <c r="G467" s="427"/>
      <c r="H467" s="428" t="s">
        <v>122</v>
      </c>
      <c r="I467" s="210">
        <f ca="1">IFERROR(__xludf.DUMMYFUNCTION("IMPORTRANGE(""https://docs.google.com/spreadsheets/d/1IYY_tgx_IHuhSq3AJ5eI5OnqOPBNLWSHKh2a30DoXe8/edit?usp=sharing"",""ชุมพร!I362"")"),0)</f>
        <v>0</v>
      </c>
      <c r="J467" s="196">
        <f ca="1">IFERROR(__xludf.DUMMYFUNCTION("IMPORTRANGE(""https://docs.google.com/spreadsheets/d/1IYY_tgx_IHuhSq3AJ5eI5OnqOPBNLWSHKh2a30DoXe8/edit?usp=sharing"",""ชุมพร!J362"")"),90777)</f>
        <v>90777</v>
      </c>
      <c r="K467" s="169">
        <f t="shared" ca="1" si="117"/>
        <v>0</v>
      </c>
      <c r="L467" s="189"/>
      <c r="M467" s="189"/>
      <c r="N467" s="189"/>
      <c r="O467" s="189"/>
      <c r="P467" s="189"/>
    </row>
    <row r="468" spans="1:16" ht="21.75" customHeight="1" x14ac:dyDescent="0.35">
      <c r="A468" s="408"/>
      <c r="B468" s="409"/>
      <c r="C468" s="409"/>
      <c r="D468" s="410"/>
      <c r="E468" s="203"/>
      <c r="F468" s="203"/>
      <c r="G468" s="427"/>
      <c r="H468" s="428" t="s">
        <v>36</v>
      </c>
      <c r="I468" s="210">
        <f ca="1">IFERROR(__xludf.DUMMYFUNCTION("IMPORTRANGE(""https://docs.google.com/spreadsheets/d/1IYY_tgx_IHuhSq3AJ5eI5OnqOPBNLWSHKh2a30DoXe8/edit?usp=sharing"",""ชุมพร!I363"")"),0)</f>
        <v>0</v>
      </c>
      <c r="J468" s="196">
        <f ca="1">IFERROR(__xludf.DUMMYFUNCTION("IMPORTRANGE(""https://docs.google.com/spreadsheets/d/1IYY_tgx_IHuhSq3AJ5eI5OnqOPBNLWSHKh2a30DoXe8/edit?usp=sharing"",""ชุมพร!J363"")"),8917)</f>
        <v>8917</v>
      </c>
      <c r="K468" s="169">
        <f t="shared" ca="1" si="117"/>
        <v>0</v>
      </c>
      <c r="L468" s="189"/>
      <c r="M468" s="189"/>
      <c r="N468" s="189"/>
      <c r="O468" s="189"/>
      <c r="P468" s="189"/>
    </row>
    <row r="469" spans="1:16" ht="21.75" customHeight="1" x14ac:dyDescent="0.35">
      <c r="A469" s="408"/>
      <c r="B469" s="409"/>
      <c r="C469" s="409"/>
      <c r="D469" s="410"/>
      <c r="E469" s="203"/>
      <c r="F469" s="396" t="s">
        <v>169</v>
      </c>
      <c r="G469" s="427"/>
      <c r="H469" s="428" t="s">
        <v>122</v>
      </c>
      <c r="I469" s="210">
        <f ca="1">IFERROR(__xludf.DUMMYFUNCTION("IMPORTRANGE(""https://docs.google.com/spreadsheets/d/1IYY_tgx_IHuhSq3AJ5eI5OnqOPBNLWSHKh2a30DoXe8/edit?usp=sharing"",""ชุมพร!I364"")"),0)</f>
        <v>0</v>
      </c>
      <c r="J469" s="196">
        <f ca="1">IFERROR(__xludf.DUMMYFUNCTION("IMPORTRANGE(""https://docs.google.com/spreadsheets/d/1IYY_tgx_IHuhSq3AJ5eI5OnqOPBNLWSHKh2a30DoXe8/edit?usp=sharing"",""ชุมพร!J364"")"),15323)</f>
        <v>15323</v>
      </c>
      <c r="K469" s="169">
        <f t="shared" ca="1" si="117"/>
        <v>0</v>
      </c>
      <c r="L469" s="189"/>
      <c r="M469" s="189"/>
      <c r="N469" s="189"/>
      <c r="O469" s="189"/>
      <c r="P469" s="189"/>
    </row>
    <row r="470" spans="1:16" ht="21.75" customHeight="1" x14ac:dyDescent="0.35">
      <c r="A470" s="408"/>
      <c r="B470" s="409"/>
      <c r="C470" s="409"/>
      <c r="D470" s="410"/>
      <c r="E470" s="203"/>
      <c r="F470" s="203"/>
      <c r="G470" s="427"/>
      <c r="H470" s="428" t="s">
        <v>36</v>
      </c>
      <c r="I470" s="210">
        <f ca="1">IFERROR(__xludf.DUMMYFUNCTION("IMPORTRANGE(""https://docs.google.com/spreadsheets/d/1IYY_tgx_IHuhSq3AJ5eI5OnqOPBNLWSHKh2a30DoXe8/edit?usp=sharing"",""ชุมพร!I365"")"),0)</f>
        <v>0</v>
      </c>
      <c r="J470" s="196">
        <f ca="1">IFERROR(__xludf.DUMMYFUNCTION("IMPORTRANGE(""https://docs.google.com/spreadsheets/d/1IYY_tgx_IHuhSq3AJ5eI5OnqOPBNLWSHKh2a30DoXe8/edit?usp=sharing"",""ชุมพร!J365"")"),1533)</f>
        <v>1533</v>
      </c>
      <c r="K470" s="169">
        <f t="shared" ca="1" si="117"/>
        <v>0</v>
      </c>
      <c r="L470" s="189"/>
      <c r="M470" s="189"/>
      <c r="N470" s="189"/>
      <c r="O470" s="189"/>
      <c r="P470" s="189"/>
    </row>
    <row r="471" spans="1:16" ht="21.75" customHeight="1" x14ac:dyDescent="0.35">
      <c r="A471" s="408"/>
      <c r="B471" s="409"/>
      <c r="C471" s="409"/>
      <c r="D471" s="410"/>
      <c r="E471" s="203"/>
      <c r="F471" s="396" t="s">
        <v>170</v>
      </c>
      <c r="G471" s="427"/>
      <c r="H471" s="428" t="s">
        <v>122</v>
      </c>
      <c r="I471" s="210">
        <f ca="1">IFERROR(__xludf.DUMMYFUNCTION("IMPORTRANGE(""https://docs.google.com/spreadsheets/d/1IYY_tgx_IHuhSq3AJ5eI5OnqOPBNLWSHKh2a30DoXe8/edit?usp=sharing"",""ชุมพร!I366"")"),0)</f>
        <v>0</v>
      </c>
      <c r="J471" s="196">
        <f ca="1">IFERROR(__xludf.DUMMYFUNCTION("IMPORTRANGE(""https://docs.google.com/spreadsheets/d/1IYY_tgx_IHuhSq3AJ5eI5OnqOPBNLWSHKh2a30DoXe8/edit?usp=sharing"",""ชุมพร!J366"")"),1988)</f>
        <v>1988</v>
      </c>
      <c r="K471" s="169">
        <f t="shared" ca="1" si="117"/>
        <v>0</v>
      </c>
      <c r="L471" s="189"/>
      <c r="M471" s="189"/>
      <c r="N471" s="189"/>
      <c r="O471" s="189"/>
      <c r="P471" s="189"/>
    </row>
    <row r="472" spans="1:16" ht="21.75" customHeight="1" x14ac:dyDescent="0.35">
      <c r="A472" s="408"/>
      <c r="B472" s="409"/>
      <c r="C472" s="409"/>
      <c r="D472" s="410"/>
      <c r="E472" s="203"/>
      <c r="F472" s="203"/>
      <c r="G472" s="203"/>
      <c r="H472" s="428" t="s">
        <v>36</v>
      </c>
      <c r="I472" s="210">
        <f ca="1">IFERROR(__xludf.DUMMYFUNCTION("IMPORTRANGE(""https://docs.google.com/spreadsheets/d/1IYY_tgx_IHuhSq3AJ5eI5OnqOPBNLWSHKh2a30DoXe8/edit?usp=sharing"",""ชุมพร!I367"")"),0)</f>
        <v>0</v>
      </c>
      <c r="J472" s="196">
        <f ca="1">IFERROR(__xludf.DUMMYFUNCTION("IMPORTRANGE(""https://docs.google.com/spreadsheets/d/1IYY_tgx_IHuhSq3AJ5eI5OnqOPBNLWSHKh2a30DoXe8/edit?usp=sharing"",""ชุมพร!J367"")"),191)</f>
        <v>191</v>
      </c>
      <c r="K472" s="169">
        <f t="shared" ca="1" si="117"/>
        <v>0</v>
      </c>
      <c r="L472" s="189"/>
      <c r="M472" s="189"/>
      <c r="N472" s="189"/>
      <c r="O472" s="189"/>
      <c r="P472" s="189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3"/>
      <c r="G473" s="204"/>
      <c r="H473" s="424" t="s">
        <v>122</v>
      </c>
      <c r="I473" s="426">
        <f ca="1">IFERROR(__xludf.DUMMYFUNCTION("IMPORTRANGE(""https://docs.google.com/spreadsheets/d/1IYY_tgx_IHuhSq3AJ5eI5OnqOPBNLWSHKh2a30DoXe8/edit?usp=sharing"",""ชุมพร!I368"")"),108087)</f>
        <v>108087</v>
      </c>
      <c r="J473" s="426">
        <f ca="1">IFERROR(__xludf.DUMMYFUNCTION("IMPORTRANGE(""https://docs.google.com/spreadsheets/d/1IYY_tgx_IHuhSq3AJ5eI5OnqOPBNLWSHKh2a30DoXe8/edit?usp=sharing"",""ชุมพร!J368"")"),0)</f>
        <v>0</v>
      </c>
      <c r="K473" s="209">
        <f t="shared" ca="1" si="117"/>
        <v>0</v>
      </c>
      <c r="L473" s="189"/>
      <c r="M473" s="189"/>
      <c r="N473" s="189"/>
      <c r="O473" s="189"/>
      <c r="P473" s="189"/>
    </row>
    <row r="474" spans="1:16" ht="21.75" customHeight="1" x14ac:dyDescent="0.35">
      <c r="A474" s="408"/>
      <c r="B474" s="409"/>
      <c r="C474" s="409"/>
      <c r="D474" s="410"/>
      <c r="E474" s="203"/>
      <c r="F474" s="203"/>
      <c r="G474" s="204"/>
      <c r="H474" s="424" t="s">
        <v>36</v>
      </c>
      <c r="I474" s="425">
        <f ca="1">IFERROR(__xludf.DUMMYFUNCTION("IMPORTRANGE(""https://docs.google.com/spreadsheets/d/1IYY_tgx_IHuhSq3AJ5eI5OnqOPBNLWSHKh2a30DoXe8/edit?usp=sharing"",""ชุมพร!I369"")"),10641)</f>
        <v>10641</v>
      </c>
      <c r="J474" s="426">
        <f ca="1">IFERROR(__xludf.DUMMYFUNCTION("IMPORTRANGE(""https://docs.google.com/spreadsheets/d/1IYY_tgx_IHuhSq3AJ5eI5OnqOPBNLWSHKh2a30DoXe8/edit?usp=sharing"",""ชุมพร!J369"")"),0)</f>
        <v>0</v>
      </c>
      <c r="K474" s="169">
        <f t="shared" ca="1" si="117"/>
        <v>0</v>
      </c>
      <c r="L474" s="189"/>
      <c r="M474" s="189"/>
      <c r="N474" s="189"/>
      <c r="O474" s="189"/>
      <c r="P474" s="189"/>
    </row>
    <row r="475" spans="1:16" ht="21.75" customHeight="1" x14ac:dyDescent="0.35">
      <c r="A475" s="408"/>
      <c r="B475" s="409"/>
      <c r="C475" s="409"/>
      <c r="D475" s="410"/>
      <c r="E475" s="203"/>
      <c r="F475" s="202" t="s">
        <v>172</v>
      </c>
      <c r="G475" s="427"/>
      <c r="H475" s="428" t="s">
        <v>122</v>
      </c>
      <c r="I475" s="210">
        <f ca="1">IFERROR(__xludf.DUMMYFUNCTION("IMPORTRANGE(""https://docs.google.com/spreadsheets/d/1IYY_tgx_IHuhSq3AJ5eI5OnqOPBNLWSHKh2a30DoXe8/edit?usp=sharing"",""ชุมพร!I370"")"),0)</f>
        <v>0</v>
      </c>
      <c r="J475" s="196">
        <f ca="1">IFERROR(__xludf.DUMMYFUNCTION("IMPORTRANGE(""https://docs.google.com/spreadsheets/d/1IYY_tgx_IHuhSq3AJ5eI5OnqOPBNLWSHKh2a30DoXe8/edit?usp=sharing"",""ชุมพร!J370"")"),0)</f>
        <v>0</v>
      </c>
      <c r="K475" s="169">
        <f t="shared" ca="1" si="117"/>
        <v>0</v>
      </c>
      <c r="L475" s="189"/>
      <c r="M475" s="189"/>
      <c r="N475" s="189"/>
      <c r="O475" s="189"/>
      <c r="P475" s="189"/>
    </row>
    <row r="476" spans="1:16" ht="21.75" customHeight="1" x14ac:dyDescent="0.35">
      <c r="A476" s="408"/>
      <c r="B476" s="409"/>
      <c r="C476" s="409"/>
      <c r="D476" s="410"/>
      <c r="E476" s="203"/>
      <c r="F476" s="203"/>
      <c r="G476" s="427"/>
      <c r="H476" s="428" t="s">
        <v>36</v>
      </c>
      <c r="I476" s="210">
        <f ca="1">IFERROR(__xludf.DUMMYFUNCTION("IMPORTRANGE(""https://docs.google.com/spreadsheets/d/1IYY_tgx_IHuhSq3AJ5eI5OnqOPBNLWSHKh2a30DoXe8/edit?usp=sharing"",""ชุมพร!I371"")"),0)</f>
        <v>0</v>
      </c>
      <c r="J476" s="196">
        <f ca="1">IFERROR(__xludf.DUMMYFUNCTION("IMPORTRANGE(""https://docs.google.com/spreadsheets/d/1IYY_tgx_IHuhSq3AJ5eI5OnqOPBNLWSHKh2a30DoXe8/edit?usp=sharing"",""ชุมพร!J371"")"),0)</f>
        <v>0</v>
      </c>
      <c r="K476" s="169">
        <f t="shared" ca="1" si="117"/>
        <v>0</v>
      </c>
      <c r="L476" s="189"/>
      <c r="M476" s="189"/>
      <c r="N476" s="189"/>
      <c r="O476" s="189"/>
      <c r="P476" s="189"/>
    </row>
    <row r="477" spans="1:16" ht="21.75" customHeight="1" x14ac:dyDescent="0.35">
      <c r="A477" s="408"/>
      <c r="B477" s="409"/>
      <c r="C477" s="409"/>
      <c r="D477" s="410"/>
      <c r="E477" s="203"/>
      <c r="F477" s="202" t="s">
        <v>173</v>
      </c>
      <c r="G477" s="427"/>
      <c r="H477" s="428" t="s">
        <v>122</v>
      </c>
      <c r="I477" s="210">
        <f ca="1">IFERROR(__xludf.DUMMYFUNCTION("IMPORTRANGE(""https://docs.google.com/spreadsheets/d/1IYY_tgx_IHuhSq3AJ5eI5OnqOPBNLWSHKh2a30DoXe8/edit?usp=sharing"",""ชุมพร!I372"")"),0)</f>
        <v>0</v>
      </c>
      <c r="J477" s="196">
        <f ca="1">IFERROR(__xludf.DUMMYFUNCTION("IMPORTRANGE(""https://docs.google.com/spreadsheets/d/1IYY_tgx_IHuhSq3AJ5eI5OnqOPBNLWSHKh2a30DoXe8/edit?usp=sharing"",""ชุมพร!J372"")"),0)</f>
        <v>0</v>
      </c>
      <c r="K477" s="169">
        <f t="shared" ca="1" si="117"/>
        <v>0</v>
      </c>
      <c r="L477" s="189"/>
      <c r="M477" s="189"/>
      <c r="N477" s="189"/>
      <c r="O477" s="189"/>
      <c r="P477" s="189"/>
    </row>
    <row r="478" spans="1:16" ht="21.75" customHeight="1" x14ac:dyDescent="0.35">
      <c r="A478" s="408"/>
      <c r="B478" s="409"/>
      <c r="C478" s="409"/>
      <c r="D478" s="410"/>
      <c r="E478" s="203"/>
      <c r="F478" s="203"/>
      <c r="G478" s="427"/>
      <c r="H478" s="428" t="s">
        <v>36</v>
      </c>
      <c r="I478" s="210">
        <f ca="1">IFERROR(__xludf.DUMMYFUNCTION("IMPORTRANGE(""https://docs.google.com/spreadsheets/d/1IYY_tgx_IHuhSq3AJ5eI5OnqOPBNLWSHKh2a30DoXe8/edit?usp=sharing"",""ชุมพร!I373"")"),0)</f>
        <v>0</v>
      </c>
      <c r="J478" s="196">
        <f ca="1">IFERROR(__xludf.DUMMYFUNCTION("IMPORTRANGE(""https://docs.google.com/spreadsheets/d/1IYY_tgx_IHuhSq3AJ5eI5OnqOPBNLWSHKh2a30DoXe8/edit?usp=sharing"",""ชุมพร!J373"")"),0)</f>
        <v>0</v>
      </c>
      <c r="K478" s="169">
        <f t="shared" ca="1" si="117"/>
        <v>0</v>
      </c>
      <c r="L478" s="189"/>
      <c r="M478" s="189"/>
      <c r="N478" s="189"/>
      <c r="O478" s="189"/>
      <c r="P478" s="189"/>
    </row>
    <row r="479" spans="1:16" ht="21.75" customHeight="1" x14ac:dyDescent="0.35">
      <c r="A479" s="408"/>
      <c r="B479" s="409"/>
      <c r="C479" s="409"/>
      <c r="D479" s="410"/>
      <c r="E479" s="203"/>
      <c r="F479" s="202" t="s">
        <v>174</v>
      </c>
      <c r="G479" s="427"/>
      <c r="H479" s="428" t="s">
        <v>122</v>
      </c>
      <c r="I479" s="210">
        <f ca="1">IFERROR(__xludf.DUMMYFUNCTION("IMPORTRANGE(""https://docs.google.com/spreadsheets/d/1IYY_tgx_IHuhSq3AJ5eI5OnqOPBNLWSHKh2a30DoXe8/edit?usp=sharing"",""ชุมพร!I374"")"),0)</f>
        <v>0</v>
      </c>
      <c r="J479" s="196">
        <f ca="1">IFERROR(__xludf.DUMMYFUNCTION("IMPORTRANGE(""https://docs.google.com/spreadsheets/d/1IYY_tgx_IHuhSq3AJ5eI5OnqOPBNLWSHKh2a30DoXe8/edit?usp=sharing"",""ชุมพร!J374"")"),0)</f>
        <v>0</v>
      </c>
      <c r="K479" s="169">
        <f t="shared" ca="1" si="117"/>
        <v>0</v>
      </c>
      <c r="L479" s="189"/>
      <c r="M479" s="189"/>
      <c r="N479" s="189"/>
      <c r="O479" s="189"/>
      <c r="P479" s="189"/>
    </row>
    <row r="480" spans="1:16" ht="21.75" customHeight="1" x14ac:dyDescent="0.35">
      <c r="A480" s="408"/>
      <c r="B480" s="409"/>
      <c r="C480" s="409"/>
      <c r="D480" s="410"/>
      <c r="E480" s="203"/>
      <c r="F480" s="203"/>
      <c r="G480" s="204"/>
      <c r="H480" s="428" t="s">
        <v>36</v>
      </c>
      <c r="I480" s="210">
        <f ca="1">IFERROR(__xludf.DUMMYFUNCTION("IMPORTRANGE(""https://docs.google.com/spreadsheets/d/1IYY_tgx_IHuhSq3AJ5eI5OnqOPBNLWSHKh2a30DoXe8/edit?usp=sharing"",""ชุมพร!I375"")"),0)</f>
        <v>0</v>
      </c>
      <c r="J480" s="196">
        <f ca="1">IFERROR(__xludf.DUMMYFUNCTION("IMPORTRANGE(""https://docs.google.com/spreadsheets/d/1IYY_tgx_IHuhSq3AJ5eI5OnqOPBNLWSHKh2a30DoXe8/edit?usp=sharing"",""ชุมพร!J375"")"),0)</f>
        <v>0</v>
      </c>
      <c r="K480" s="169">
        <f t="shared" ca="1" si="117"/>
        <v>0</v>
      </c>
      <c r="L480" s="189"/>
      <c r="M480" s="189"/>
      <c r="N480" s="189"/>
      <c r="O480" s="189"/>
      <c r="P480" s="189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IFERROR(__xludf.DUMMYFUNCTION("IMPORTRANGE(""https://docs.google.com/spreadsheets/d/1IYY_tgx_IHuhSq3AJ5eI5OnqOPBNLWSHKh2a30DoXe8/edit?usp=sharing"",""ชุมพร!I376"")"),108087)</f>
        <v>108087</v>
      </c>
      <c r="J481" s="426">
        <f ca="1">IFERROR(__xludf.DUMMYFUNCTION("IMPORTRANGE(""https://docs.google.com/spreadsheets/d/1IYY_tgx_IHuhSq3AJ5eI5OnqOPBNLWSHKh2a30DoXe8/edit?usp=sharing"",""ชุมพร!J376"")"),0)</f>
        <v>0</v>
      </c>
      <c r="K481" s="209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3"/>
      <c r="F482" s="203"/>
      <c r="G482" s="204"/>
      <c r="H482" s="424" t="s">
        <v>36</v>
      </c>
      <c r="I482" s="425">
        <f ca="1">IFERROR(__xludf.DUMMYFUNCTION("IMPORTRANGE(""https://docs.google.com/spreadsheets/d/1IYY_tgx_IHuhSq3AJ5eI5OnqOPBNLWSHKh2a30DoXe8/edit?usp=sharing"",""ชุมพร!I377"")"),10641)</f>
        <v>10641</v>
      </c>
      <c r="J482" s="426">
        <f ca="1">IFERROR(__xludf.DUMMYFUNCTION("IMPORTRANGE(""https://docs.google.com/spreadsheets/d/1IYY_tgx_IHuhSq3AJ5eI5OnqOPBNLWSHKh2a30DoXe8/edit?usp=sharing"",""ชุมพร!J377"")"),0)</f>
        <v>0</v>
      </c>
      <c r="K482" s="169">
        <f t="shared" ca="1" si="117"/>
        <v>0</v>
      </c>
      <c r="L482" s="189"/>
      <c r="M482" s="189"/>
      <c r="N482" s="189"/>
      <c r="O482" s="189"/>
      <c r="P482" s="189"/>
    </row>
    <row r="483" spans="1:16" ht="21.75" customHeight="1" x14ac:dyDescent="0.35">
      <c r="A483" s="408"/>
      <c r="B483" s="409"/>
      <c r="C483" s="409"/>
      <c r="D483" s="410"/>
      <c r="E483" s="203"/>
      <c r="F483" s="202" t="s">
        <v>176</v>
      </c>
      <c r="G483" s="427"/>
      <c r="H483" s="428" t="s">
        <v>122</v>
      </c>
      <c r="I483" s="210">
        <f ca="1">IFERROR(__xludf.DUMMYFUNCTION("IMPORTRANGE(""https://docs.google.com/spreadsheets/d/1IYY_tgx_IHuhSq3AJ5eI5OnqOPBNLWSHKh2a30DoXe8/edit?usp=sharing"",""ชุมพร!I378"")"),0)</f>
        <v>0</v>
      </c>
      <c r="J483" s="196">
        <f ca="1">IFERROR(__xludf.DUMMYFUNCTION("IMPORTRANGE(""https://docs.google.com/spreadsheets/d/1IYY_tgx_IHuhSq3AJ5eI5OnqOPBNLWSHKh2a30DoXe8/edit?usp=sharing"",""ชุมพร!J378"")"),0)</f>
        <v>0</v>
      </c>
      <c r="K483" s="169">
        <f t="shared" ca="1" si="117"/>
        <v>0</v>
      </c>
      <c r="L483" s="189"/>
      <c r="M483" s="189"/>
      <c r="N483" s="189"/>
      <c r="O483" s="189"/>
      <c r="P483" s="189"/>
    </row>
    <row r="484" spans="1:16" ht="21.75" customHeight="1" x14ac:dyDescent="0.35">
      <c r="A484" s="408"/>
      <c r="B484" s="409"/>
      <c r="C484" s="409"/>
      <c r="D484" s="410"/>
      <c r="E484" s="203"/>
      <c r="F484" s="203"/>
      <c r="G484" s="427"/>
      <c r="H484" s="428" t="s">
        <v>36</v>
      </c>
      <c r="I484" s="210">
        <f ca="1">IFERROR(__xludf.DUMMYFUNCTION("IMPORTRANGE(""https://docs.google.com/spreadsheets/d/1IYY_tgx_IHuhSq3AJ5eI5OnqOPBNLWSHKh2a30DoXe8/edit?usp=sharing"",""ชุมพร!I379"")"),0)</f>
        <v>0</v>
      </c>
      <c r="J484" s="196">
        <f ca="1">IFERROR(__xludf.DUMMYFUNCTION("IMPORTRANGE(""https://docs.google.com/spreadsheets/d/1IYY_tgx_IHuhSq3AJ5eI5OnqOPBNLWSHKh2a30DoXe8/edit?usp=sharing"",""ชุมพร!J379"")"),0)</f>
        <v>0</v>
      </c>
      <c r="K484" s="169">
        <f t="shared" ca="1" si="117"/>
        <v>0</v>
      </c>
      <c r="L484" s="189"/>
      <c r="M484" s="189"/>
      <c r="N484" s="189"/>
      <c r="O484" s="189"/>
      <c r="P484" s="189"/>
    </row>
    <row r="485" spans="1:16" ht="21.75" customHeight="1" x14ac:dyDescent="0.35">
      <c r="A485" s="408"/>
      <c r="B485" s="409"/>
      <c r="C485" s="409"/>
      <c r="D485" s="410"/>
      <c r="E485" s="203"/>
      <c r="F485" s="202" t="s">
        <v>177</v>
      </c>
      <c r="G485" s="427"/>
      <c r="H485" s="428" t="s">
        <v>122</v>
      </c>
      <c r="I485" s="210">
        <f ca="1">IFERROR(__xludf.DUMMYFUNCTION("IMPORTRANGE(""https://docs.google.com/spreadsheets/d/1IYY_tgx_IHuhSq3AJ5eI5OnqOPBNLWSHKh2a30DoXe8/edit?usp=sharing"",""ชุมพร!I380"")"),0)</f>
        <v>0</v>
      </c>
      <c r="J485" s="196">
        <f ca="1">IFERROR(__xludf.DUMMYFUNCTION("IMPORTRANGE(""https://docs.google.com/spreadsheets/d/1IYY_tgx_IHuhSq3AJ5eI5OnqOPBNLWSHKh2a30DoXe8/edit?usp=sharing"",""ชุมพร!J380"")"),0)</f>
        <v>0</v>
      </c>
      <c r="K485" s="169">
        <f t="shared" ca="1" si="117"/>
        <v>0</v>
      </c>
      <c r="L485" s="189"/>
      <c r="M485" s="189"/>
      <c r="N485" s="189"/>
      <c r="O485" s="189"/>
      <c r="P485" s="189"/>
    </row>
    <row r="486" spans="1:16" ht="21.75" customHeight="1" x14ac:dyDescent="0.35">
      <c r="A486" s="408"/>
      <c r="B486" s="409"/>
      <c r="C486" s="409"/>
      <c r="D486" s="410"/>
      <c r="E486" s="203"/>
      <c r="F486" s="203"/>
      <c r="G486" s="427"/>
      <c r="H486" s="428" t="s">
        <v>36</v>
      </c>
      <c r="I486" s="210">
        <f ca="1">IFERROR(__xludf.DUMMYFUNCTION("IMPORTRANGE(""https://docs.google.com/spreadsheets/d/1IYY_tgx_IHuhSq3AJ5eI5OnqOPBNLWSHKh2a30DoXe8/edit?usp=sharing"",""ชุมพร!I381"")"),0)</f>
        <v>0</v>
      </c>
      <c r="J486" s="196">
        <f ca="1">IFERROR(__xludf.DUMMYFUNCTION("IMPORTRANGE(""https://docs.google.com/spreadsheets/d/1IYY_tgx_IHuhSq3AJ5eI5OnqOPBNLWSHKh2a30DoXe8/edit?usp=sharing"",""ชุมพร!J381"")"),0)</f>
        <v>0</v>
      </c>
      <c r="K486" s="169">
        <f t="shared" ca="1" si="117"/>
        <v>0</v>
      </c>
      <c r="L486" s="189"/>
      <c r="M486" s="189"/>
      <c r="N486" s="189"/>
      <c r="O486" s="189"/>
      <c r="P486" s="189"/>
    </row>
    <row r="487" spans="1:16" ht="21.75" customHeight="1" x14ac:dyDescent="0.35">
      <c r="A487" s="408"/>
      <c r="B487" s="409"/>
      <c r="C487" s="409"/>
      <c r="D487" s="410"/>
      <c r="E487" s="203"/>
      <c r="F487" s="202" t="s">
        <v>178</v>
      </c>
      <c r="G487" s="427"/>
      <c r="H487" s="428" t="s">
        <v>122</v>
      </c>
      <c r="I487" s="210">
        <f ca="1">IFERROR(__xludf.DUMMYFUNCTION("IMPORTRANGE(""https://docs.google.com/spreadsheets/d/1IYY_tgx_IHuhSq3AJ5eI5OnqOPBNLWSHKh2a30DoXe8/edit?usp=sharing"",""ชุมพร!I382"")"),0)</f>
        <v>0</v>
      </c>
      <c r="J487" s="426">
        <f ca="1">IFERROR(__xludf.DUMMYFUNCTION("IMPORTRANGE(""https://docs.google.com/spreadsheets/d/1IYY_tgx_IHuhSq3AJ5eI5OnqOPBNLWSHKh2a30DoXe8/edit?usp=sharing"",""ชุมพร!J382"")"),0)</f>
        <v>0</v>
      </c>
      <c r="K487" s="169">
        <f t="shared" ca="1" si="117"/>
        <v>0</v>
      </c>
      <c r="L487" s="189"/>
      <c r="M487" s="189"/>
      <c r="N487" s="189"/>
      <c r="O487" s="189"/>
      <c r="P487" s="189"/>
    </row>
    <row r="488" spans="1:16" ht="21.75" customHeight="1" x14ac:dyDescent="0.35">
      <c r="A488" s="408"/>
      <c r="B488" s="409"/>
      <c r="C488" s="409"/>
      <c r="D488" s="410"/>
      <c r="E488" s="203"/>
      <c r="F488" s="203"/>
      <c r="G488" s="203"/>
      <c r="H488" s="428" t="s">
        <v>36</v>
      </c>
      <c r="I488" s="210">
        <f ca="1">IFERROR(__xludf.DUMMYFUNCTION("IMPORTRANGE(""https://docs.google.com/spreadsheets/d/1IYY_tgx_IHuhSq3AJ5eI5OnqOPBNLWSHKh2a30DoXe8/edit?usp=sharing"",""ชุมพร!I383"")"),0)</f>
        <v>0</v>
      </c>
      <c r="J488" s="426">
        <f ca="1">IFERROR(__xludf.DUMMYFUNCTION("IMPORTRANGE(""https://docs.google.com/spreadsheets/d/1IYY_tgx_IHuhSq3AJ5eI5OnqOPBNLWSHKh2a30DoXe8/edit?usp=sharing"",""ชุมพร!J383"")"),0)</f>
        <v>0</v>
      </c>
      <c r="K488" s="169">
        <f t="shared" ca="1" si="117"/>
        <v>0</v>
      </c>
      <c r="L488" s="189"/>
      <c r="M488" s="189"/>
      <c r="N488" s="189"/>
      <c r="O488" s="189"/>
      <c r="P488" s="189"/>
    </row>
    <row r="489" spans="1:16" ht="21.75" customHeight="1" x14ac:dyDescent="0.35">
      <c r="A489" s="408"/>
      <c r="B489" s="409"/>
      <c r="C489" s="409"/>
      <c r="D489" s="410"/>
      <c r="E489" s="203"/>
      <c r="F489" s="203"/>
      <c r="G489" s="202" t="s">
        <v>179</v>
      </c>
      <c r="H489" s="428" t="s">
        <v>122</v>
      </c>
      <c r="I489" s="210">
        <f ca="1">IFERROR(__xludf.DUMMYFUNCTION("IMPORTRANGE(""https://docs.google.com/spreadsheets/d/1IYY_tgx_IHuhSq3AJ5eI5OnqOPBNLWSHKh2a30DoXe8/edit?usp=sharing"",""ชุมพร!I384"")"),0)</f>
        <v>0</v>
      </c>
      <c r="J489" s="196">
        <f ca="1">IFERROR(__xludf.DUMMYFUNCTION("IMPORTRANGE(""https://docs.google.com/spreadsheets/d/1IYY_tgx_IHuhSq3AJ5eI5OnqOPBNLWSHKh2a30DoXe8/edit?usp=sharing"",""ชุมพร!J384"")"),0)</f>
        <v>0</v>
      </c>
      <c r="K489" s="169">
        <f t="shared" ca="1" si="117"/>
        <v>0</v>
      </c>
      <c r="L489" s="189"/>
      <c r="M489" s="189"/>
      <c r="N489" s="189"/>
      <c r="O489" s="189"/>
      <c r="P489" s="189"/>
    </row>
    <row r="490" spans="1:16" ht="21.75" customHeight="1" x14ac:dyDescent="0.35">
      <c r="A490" s="408"/>
      <c r="B490" s="409"/>
      <c r="C490" s="409"/>
      <c r="D490" s="410"/>
      <c r="E490" s="203"/>
      <c r="F490" s="203"/>
      <c r="G490" s="203"/>
      <c r="H490" s="428" t="s">
        <v>36</v>
      </c>
      <c r="I490" s="210">
        <f ca="1">IFERROR(__xludf.DUMMYFUNCTION("IMPORTRANGE(""https://docs.google.com/spreadsheets/d/1IYY_tgx_IHuhSq3AJ5eI5OnqOPBNLWSHKh2a30DoXe8/edit?usp=sharing"",""ชุมพร!I385"")"),0)</f>
        <v>0</v>
      </c>
      <c r="J490" s="196">
        <f ca="1">IFERROR(__xludf.DUMMYFUNCTION("IMPORTRANGE(""https://docs.google.com/spreadsheets/d/1IYY_tgx_IHuhSq3AJ5eI5OnqOPBNLWSHKh2a30DoXe8/edit?usp=sharing"",""ชุมพร!J385"")"),0)</f>
        <v>0</v>
      </c>
      <c r="K490" s="169">
        <f t="shared" ca="1" si="117"/>
        <v>0</v>
      </c>
      <c r="L490" s="189"/>
      <c r="M490" s="189"/>
      <c r="N490" s="189"/>
      <c r="O490" s="189"/>
      <c r="P490" s="189"/>
    </row>
    <row r="491" spans="1:16" ht="21.75" customHeight="1" x14ac:dyDescent="0.35">
      <c r="A491" s="408"/>
      <c r="B491" s="409"/>
      <c r="C491" s="409"/>
      <c r="D491" s="410"/>
      <c r="E491" s="203"/>
      <c r="F491" s="203"/>
      <c r="G491" s="202" t="s">
        <v>180</v>
      </c>
      <c r="H491" s="428" t="s">
        <v>122</v>
      </c>
      <c r="I491" s="210">
        <f ca="1">IFERROR(__xludf.DUMMYFUNCTION("IMPORTRANGE(""https://docs.google.com/spreadsheets/d/1IYY_tgx_IHuhSq3AJ5eI5OnqOPBNLWSHKh2a30DoXe8/edit?usp=sharing"",""ชุมพร!I386"")"),0)</f>
        <v>0</v>
      </c>
      <c r="J491" s="196">
        <f ca="1">IFERROR(__xludf.DUMMYFUNCTION("IMPORTRANGE(""https://docs.google.com/spreadsheets/d/1IYY_tgx_IHuhSq3AJ5eI5OnqOPBNLWSHKh2a30DoXe8/edit?usp=sharing"",""ชุมพร!J386"")"),0)</f>
        <v>0</v>
      </c>
      <c r="K491" s="169">
        <f t="shared" ca="1" si="117"/>
        <v>0</v>
      </c>
      <c r="L491" s="189"/>
      <c r="M491" s="189"/>
      <c r="N491" s="189"/>
      <c r="O491" s="189"/>
      <c r="P491" s="189"/>
    </row>
    <row r="492" spans="1:16" ht="21.75" customHeight="1" x14ac:dyDescent="0.35">
      <c r="A492" s="408"/>
      <c r="B492" s="409"/>
      <c r="C492" s="409"/>
      <c r="D492" s="410"/>
      <c r="E492" s="203"/>
      <c r="F492" s="203"/>
      <c r="G492" s="204"/>
      <c r="H492" s="428" t="s">
        <v>36</v>
      </c>
      <c r="I492" s="210">
        <f ca="1">IFERROR(__xludf.DUMMYFUNCTION("IMPORTRANGE(""https://docs.google.com/spreadsheets/d/1IYY_tgx_IHuhSq3AJ5eI5OnqOPBNLWSHKh2a30DoXe8/edit?usp=sharing"",""ชุมพร!I387"")"),0)</f>
        <v>0</v>
      </c>
      <c r="J492" s="196">
        <f ca="1">IFERROR(__xludf.DUMMYFUNCTION("IMPORTRANGE(""https://docs.google.com/spreadsheets/d/1IYY_tgx_IHuhSq3AJ5eI5OnqOPBNLWSHKh2a30DoXe8/edit?usp=sharing"",""ชุมพร!J387"")"),0)</f>
        <v>0</v>
      </c>
      <c r="K492" s="169">
        <f t="shared" ca="1" si="117"/>
        <v>0</v>
      </c>
      <c r="L492" s="189"/>
      <c r="M492" s="189"/>
      <c r="N492" s="189"/>
      <c r="O492" s="189"/>
      <c r="P492" s="189"/>
    </row>
    <row r="493" spans="1:16" ht="21.75" customHeight="1" x14ac:dyDescent="0.35">
      <c r="A493" s="408"/>
      <c r="B493" s="409"/>
      <c r="C493" s="409"/>
      <c r="D493" s="410"/>
      <c r="E493" s="203"/>
      <c r="F493" s="202" t="s">
        <v>181</v>
      </c>
      <c r="G493" s="427"/>
      <c r="H493" s="428" t="s">
        <v>122</v>
      </c>
      <c r="I493" s="210">
        <f ca="1">IFERROR(__xludf.DUMMYFUNCTION("IMPORTRANGE(""https://docs.google.com/spreadsheets/d/1IYY_tgx_IHuhSq3AJ5eI5OnqOPBNLWSHKh2a30DoXe8/edit?usp=sharing"",""ชุมพร!I388"")"),0)</f>
        <v>0</v>
      </c>
      <c r="J493" s="196">
        <f ca="1">IFERROR(__xludf.DUMMYFUNCTION("IMPORTRANGE(""https://docs.google.com/spreadsheets/d/1IYY_tgx_IHuhSq3AJ5eI5OnqOPBNLWSHKh2a30DoXe8/edit?usp=sharing"",""ชุมพร!J388"")"),0)</f>
        <v>0</v>
      </c>
      <c r="K493" s="169">
        <f t="shared" ca="1" si="117"/>
        <v>0</v>
      </c>
      <c r="L493" s="189"/>
      <c r="M493" s="189"/>
      <c r="N493" s="189"/>
      <c r="O493" s="189"/>
      <c r="P493" s="189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IFERROR(__xludf.DUMMYFUNCTION("IMPORTRANGE(""https://docs.google.com/spreadsheets/d/1IYY_tgx_IHuhSq3AJ5eI5OnqOPBNLWSHKh2a30DoXe8/edit?usp=sharing"",""ชุมพร!I389"")"),0)</f>
        <v>0</v>
      </c>
      <c r="J494" s="442">
        <f ca="1">IFERROR(__xludf.DUMMYFUNCTION("IMPORTRANGE(""https://docs.google.com/spreadsheets/d/1IYY_tgx_IHuhSq3AJ5eI5OnqOPBNLWSHKh2a30DoXe8/edit?usp=sharing"",""ชุมพร!J389"")"),0)</f>
        <v>0</v>
      </c>
      <c r="K494" s="294">
        <f t="shared" ca="1" si="117"/>
        <v>0</v>
      </c>
      <c r="L494" s="252"/>
      <c r="M494" s="252"/>
      <c r="N494" s="252"/>
      <c r="O494" s="252"/>
      <c r="P494" s="252"/>
    </row>
    <row r="495" spans="1:16" ht="21.75" customHeight="1" x14ac:dyDescent="0.35">
      <c r="A495" s="408"/>
      <c r="B495" s="409"/>
      <c r="C495" s="409"/>
      <c r="D495" s="410"/>
      <c r="E495" s="203"/>
      <c r="F495" s="203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IFERROR(__xludf.DUMMYFUNCTION("IMPORTRANGE(""https://docs.google.com/spreadsheets/d/1IYY_tgx_IHuhSq3AJ5eI5OnqOPBNLWSHKh2a30DoXe8/edit?usp=sharing"",""ชุมพร!I390"")"),0)</f>
        <v>0</v>
      </c>
      <c r="J495" s="442">
        <f ca="1">IFERROR(__xludf.DUMMYFUNCTION("IMPORTRANGE(""https://docs.google.com/spreadsheets/d/1IYY_tgx_IHuhSq3AJ5eI5OnqOPBNLWSHKh2a30DoXe8/edit?usp=sharing"",""ชุมพร!J390"")"),0)</f>
        <v>0</v>
      </c>
      <c r="K495" s="169">
        <f t="shared" ca="1" si="117"/>
        <v>0</v>
      </c>
      <c r="L495" s="189"/>
      <c r="M495" s="189"/>
      <c r="N495" s="189"/>
      <c r="O495" s="189"/>
      <c r="P495" s="189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IFERROR(__xludf.DUMMYFUNCTION("IMPORTRANGE(""https://docs.google.com/spreadsheets/d/1IYY_tgx_IHuhSq3AJ5eI5OnqOPBNLWSHKh2a30DoXe8/edit?usp=sharing"",""ชุมพร!I391"")"),0)</f>
        <v>0</v>
      </c>
      <c r="J496" s="442">
        <f ca="1">IFERROR(__xludf.DUMMYFUNCTION("IMPORTRANGE(""https://docs.google.com/spreadsheets/d/1IYY_tgx_IHuhSq3AJ5eI5OnqOPBNLWSHKh2a30DoXe8/edit?usp=sharing"",""ชุมพร!J391"")"),0)</f>
        <v>0</v>
      </c>
      <c r="K496" s="294">
        <f t="shared" ca="1" si="117"/>
        <v>0</v>
      </c>
      <c r="L496" s="252"/>
      <c r="M496" s="252"/>
      <c r="N496" s="252"/>
      <c r="O496" s="252"/>
      <c r="P496" s="252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IFERROR(__xludf.DUMMYFUNCTION("IMPORTRANGE(""https://docs.google.com/spreadsheets/d/1IYY_tgx_IHuhSq3AJ5eI5OnqOPBNLWSHKh2a30DoXe8/edit?usp=sharing"",""ชุมพร!I392"")"),659)</f>
        <v>659</v>
      </c>
      <c r="J497" s="449">
        <f ca="1">IFERROR(__xludf.DUMMYFUNCTION("IMPORTRANGE(""https://docs.google.com/spreadsheets/d/1IYY_tgx_IHuhSq3AJ5eI5OnqOPBNLWSHKh2a30DoXe8/edit?usp=sharing"",""ชุมพร!J392"")"),660)</f>
        <v>660</v>
      </c>
      <c r="K497" s="450">
        <f t="shared" ca="1" si="117"/>
        <v>100.15174506828528</v>
      </c>
      <c r="L497" s="451"/>
      <c r="M497" s="451"/>
      <c r="N497" s="451"/>
      <c r="O497" s="451"/>
      <c r="P497" s="451"/>
    </row>
    <row r="498" spans="1:16" ht="21.75" customHeight="1" x14ac:dyDescent="0.35">
      <c r="A498" s="183"/>
      <c r="B498" s="184"/>
      <c r="C498" s="184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IFERROR(__xludf.DUMMYFUNCTION("IMPORTRANGE(""https://docs.google.com/spreadsheets/d/1IYY_tgx_IHuhSq3AJ5eI5OnqOPBNLWSHKh2a30DoXe8/edit?usp=sharing"",""ชุมพร!I393"")"),659)</f>
        <v>659</v>
      </c>
      <c r="J498" s="426">
        <f ca="1">IFERROR(__xludf.DUMMYFUNCTION("IMPORTRANGE(""https://docs.google.com/spreadsheets/d/1IYY_tgx_IHuhSq3AJ5eI5OnqOPBNLWSHKh2a30DoXe8/edit?usp=sharing"",""ชุมพร!J393"")"),660)</f>
        <v>660</v>
      </c>
      <c r="K498" s="169">
        <f t="shared" ca="1" si="117"/>
        <v>100.15174506828528</v>
      </c>
      <c r="L498" s="189"/>
      <c r="M498" s="189"/>
      <c r="N498" s="189"/>
      <c r="O498" s="189"/>
      <c r="P498" s="189"/>
    </row>
    <row r="499" spans="1:16" ht="21.75" customHeight="1" x14ac:dyDescent="0.35">
      <c r="A499" s="183"/>
      <c r="B499" s="184"/>
      <c r="C499" s="184"/>
      <c r="D499" s="201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IFERROR(__xludf.DUMMYFUNCTION("IMPORTRANGE(""https://docs.google.com/spreadsheets/d/1IYY_tgx_IHuhSq3AJ5eI5OnqOPBNLWSHKh2a30DoXe8/edit?usp=sharing"",""ชุมพร!I394"")"),94)</f>
        <v>94</v>
      </c>
      <c r="J499" s="426">
        <f ca="1">IFERROR(__xludf.DUMMYFUNCTION("IMPORTRANGE(""https://docs.google.com/spreadsheets/d/1IYY_tgx_IHuhSq3AJ5eI5OnqOPBNLWSHKh2a30DoXe8/edit?usp=sharing"",""ชุมพร!J394"")"),94)</f>
        <v>94</v>
      </c>
      <c r="K499" s="209">
        <f t="shared" ca="1" si="117"/>
        <v>100</v>
      </c>
      <c r="L499" s="189"/>
      <c r="M499" s="189"/>
      <c r="N499" s="189"/>
      <c r="O499" s="189"/>
      <c r="P499" s="189"/>
    </row>
    <row r="500" spans="1:16" ht="21.75" customHeight="1" x14ac:dyDescent="0.35">
      <c r="A500" s="183"/>
      <c r="B500" s="184"/>
      <c r="C500" s="184"/>
      <c r="D500" s="410"/>
      <c r="E500" s="410" t="s">
        <v>185</v>
      </c>
      <c r="F500" s="203"/>
      <c r="G500" s="204"/>
      <c r="H500" s="428" t="s">
        <v>122</v>
      </c>
      <c r="I500" s="210">
        <f ca="1">IFERROR(__xludf.DUMMYFUNCTION("IMPORTRANGE(""https://docs.google.com/spreadsheets/d/1IYY_tgx_IHuhSq3AJ5eI5OnqOPBNLWSHKh2a30DoXe8/edit?usp=sharing"",""ชุมพร!I395"")"),0)</f>
        <v>0</v>
      </c>
      <c r="J500" s="168">
        <f ca="1">IFERROR(__xludf.DUMMYFUNCTION("IMPORTRANGE(""https://docs.google.com/spreadsheets/d/1IYY_tgx_IHuhSq3AJ5eI5OnqOPBNLWSHKh2a30DoXe8/edit?usp=sharing"",""ชุมพร!J395"")"),648)</f>
        <v>648</v>
      </c>
      <c r="K500" s="169">
        <f t="shared" ca="1" si="117"/>
        <v>0</v>
      </c>
      <c r="L500" s="189"/>
      <c r="M500" s="189"/>
      <c r="N500" s="189"/>
      <c r="O500" s="189"/>
      <c r="P500" s="189"/>
    </row>
    <row r="501" spans="1:16" ht="21.75" customHeight="1" x14ac:dyDescent="0.35">
      <c r="A501" s="183"/>
      <c r="B501" s="184"/>
      <c r="C501" s="184"/>
      <c r="D501" s="201"/>
      <c r="E501" s="203"/>
      <c r="F501" s="203"/>
      <c r="G501" s="204"/>
      <c r="H501" s="428" t="s">
        <v>36</v>
      </c>
      <c r="I501" s="210">
        <f ca="1">IFERROR(__xludf.DUMMYFUNCTION("IMPORTRANGE(""https://docs.google.com/spreadsheets/d/1IYY_tgx_IHuhSq3AJ5eI5OnqOPBNLWSHKh2a30DoXe8/edit?usp=sharing"",""ชุมพร!I396"")"),0)</f>
        <v>0</v>
      </c>
      <c r="J501" s="168">
        <f ca="1">IFERROR(__xludf.DUMMYFUNCTION("IMPORTRANGE(""https://docs.google.com/spreadsheets/d/1IYY_tgx_IHuhSq3AJ5eI5OnqOPBNLWSHKh2a30DoXe8/edit?usp=sharing"",""ชุมพร!J396"")"),89)</f>
        <v>89</v>
      </c>
      <c r="K501" s="169">
        <f t="shared" ca="1" si="117"/>
        <v>0</v>
      </c>
      <c r="L501" s="189"/>
      <c r="M501" s="189"/>
      <c r="N501" s="189"/>
      <c r="O501" s="189"/>
      <c r="P501" s="189"/>
    </row>
    <row r="502" spans="1:16" ht="21.75" customHeight="1" x14ac:dyDescent="0.35">
      <c r="A502" s="183"/>
      <c r="B502" s="184"/>
      <c r="C502" s="184"/>
      <c r="D502" s="201"/>
      <c r="E502" s="203"/>
      <c r="F502" s="405" t="s">
        <v>186</v>
      </c>
      <c r="G502" s="427"/>
      <c r="H502" s="428" t="s">
        <v>122</v>
      </c>
      <c r="I502" s="210">
        <f ca="1">IFERROR(__xludf.DUMMYFUNCTION("IMPORTRANGE(""https://docs.google.com/spreadsheets/d/1IYY_tgx_IHuhSq3AJ5eI5OnqOPBNLWSHKh2a30DoXe8/edit?usp=sharing"",""ชุมพร!I397"")"),0)</f>
        <v>0</v>
      </c>
      <c r="J502" s="196">
        <f ca="1">IFERROR(__xludf.DUMMYFUNCTION("IMPORTRANGE(""https://docs.google.com/spreadsheets/d/1IYY_tgx_IHuhSq3AJ5eI5OnqOPBNLWSHKh2a30DoXe8/edit?usp=sharing"",""ชุมพร!J397"")"),623)</f>
        <v>623</v>
      </c>
      <c r="K502" s="169">
        <f t="shared" ca="1" si="117"/>
        <v>0</v>
      </c>
      <c r="L502" s="189"/>
      <c r="M502" s="189"/>
      <c r="N502" s="189"/>
      <c r="O502" s="189"/>
      <c r="P502" s="189"/>
    </row>
    <row r="503" spans="1:16" ht="21.75" customHeight="1" x14ac:dyDescent="0.35">
      <c r="A503" s="183"/>
      <c r="B503" s="184"/>
      <c r="C503" s="184"/>
      <c r="D503" s="201"/>
      <c r="E503" s="203"/>
      <c r="F503" s="203"/>
      <c r="G503" s="427"/>
      <c r="H503" s="428" t="s">
        <v>36</v>
      </c>
      <c r="I503" s="195">
        <f ca="1">IFERROR(__xludf.DUMMYFUNCTION("IMPORTRANGE(""https://docs.google.com/spreadsheets/d/1IYY_tgx_IHuhSq3AJ5eI5OnqOPBNLWSHKh2a30DoXe8/edit?usp=sharing"",""ชุมพร!I398"")"),0)</f>
        <v>0</v>
      </c>
      <c r="J503" s="205">
        <f ca="1">IFERROR(__xludf.DUMMYFUNCTION("IMPORTRANGE(""https://docs.google.com/spreadsheets/d/1IYY_tgx_IHuhSq3AJ5eI5OnqOPBNLWSHKh2a30DoXe8/edit?usp=sharing"",""ชุมพร!J398"")"),85)</f>
        <v>85</v>
      </c>
      <c r="K503" s="169">
        <f t="shared" ca="1" si="117"/>
        <v>0</v>
      </c>
      <c r="L503" s="189"/>
      <c r="M503" s="189"/>
      <c r="N503" s="189"/>
      <c r="O503" s="189"/>
      <c r="P503" s="189"/>
    </row>
    <row r="504" spans="1:16" ht="21.75" customHeight="1" x14ac:dyDescent="0.35">
      <c r="A504" s="183"/>
      <c r="B504" s="184"/>
      <c r="C504" s="184"/>
      <c r="D504" s="201"/>
      <c r="E504" s="203"/>
      <c r="F504" s="396" t="s">
        <v>187</v>
      </c>
      <c r="G504" s="427"/>
      <c r="H504" s="428" t="s">
        <v>122</v>
      </c>
      <c r="I504" s="211">
        <f ca="1">IFERROR(__xludf.DUMMYFUNCTION("IMPORTRANGE(""https://docs.google.com/spreadsheets/d/1IYY_tgx_IHuhSq3AJ5eI5OnqOPBNLWSHKh2a30DoXe8/edit?usp=sharing"",""ชุมพร!I399"")"),0)</f>
        <v>0</v>
      </c>
      <c r="J504" s="196">
        <f ca="1">IFERROR(__xludf.DUMMYFUNCTION("IMPORTRANGE(""https://docs.google.com/spreadsheets/d/1IYY_tgx_IHuhSq3AJ5eI5OnqOPBNLWSHKh2a30DoXe8/edit?usp=sharing"",""ชุมพร!J399"")"),25)</f>
        <v>25</v>
      </c>
      <c r="K504" s="169">
        <f t="shared" ca="1" si="117"/>
        <v>0</v>
      </c>
      <c r="L504" s="189"/>
      <c r="M504" s="189"/>
      <c r="N504" s="189"/>
      <c r="O504" s="189"/>
      <c r="P504" s="189"/>
    </row>
    <row r="505" spans="1:16" ht="21.75" customHeight="1" x14ac:dyDescent="0.35">
      <c r="A505" s="183"/>
      <c r="B505" s="184"/>
      <c r="C505" s="184"/>
      <c r="D505" s="201"/>
      <c r="E505" s="203"/>
      <c r="F505" s="203"/>
      <c r="G505" s="427"/>
      <c r="H505" s="428" t="s">
        <v>36</v>
      </c>
      <c r="I505" s="195">
        <f ca="1">IFERROR(__xludf.DUMMYFUNCTION("IMPORTRANGE(""https://docs.google.com/spreadsheets/d/1IYY_tgx_IHuhSq3AJ5eI5OnqOPBNLWSHKh2a30DoXe8/edit?usp=sharing"",""ชุมพร!I400"")"),0)</f>
        <v>0</v>
      </c>
      <c r="J505" s="205">
        <f ca="1">IFERROR(__xludf.DUMMYFUNCTION("IMPORTRANGE(""https://docs.google.com/spreadsheets/d/1IYY_tgx_IHuhSq3AJ5eI5OnqOPBNLWSHKh2a30DoXe8/edit?usp=sharing"",""ชุมพร!J400"")"),4)</f>
        <v>4</v>
      </c>
      <c r="K505" s="169">
        <f t="shared" ca="1" si="117"/>
        <v>0</v>
      </c>
      <c r="L505" s="189"/>
      <c r="M505" s="189"/>
      <c r="N505" s="189"/>
      <c r="O505" s="189"/>
      <c r="P505" s="189"/>
    </row>
    <row r="506" spans="1:16" ht="21.75" customHeight="1" x14ac:dyDescent="0.35">
      <c r="A506" s="183"/>
      <c r="B506" s="184"/>
      <c r="C506" s="184"/>
      <c r="D506" s="201"/>
      <c r="E506" s="203"/>
      <c r="F506" s="405" t="s">
        <v>188</v>
      </c>
      <c r="G506" s="427"/>
      <c r="H506" s="428" t="s">
        <v>122</v>
      </c>
      <c r="I506" s="211">
        <f ca="1">IFERROR(__xludf.DUMMYFUNCTION("IMPORTRANGE(""https://docs.google.com/spreadsheets/d/1IYY_tgx_IHuhSq3AJ5eI5OnqOPBNLWSHKh2a30DoXe8/edit?usp=sharing"",""ชุมพร!I401"")"),0)</f>
        <v>0</v>
      </c>
      <c r="J506" s="196">
        <f ca="1">IFERROR(__xludf.DUMMYFUNCTION("IMPORTRANGE(""https://docs.google.com/spreadsheets/d/1IYY_tgx_IHuhSq3AJ5eI5OnqOPBNLWSHKh2a30DoXe8/edit?usp=sharing"",""ชุมพร!J401"")"),0)</f>
        <v>0</v>
      </c>
      <c r="K506" s="169">
        <f t="shared" ca="1" si="117"/>
        <v>0</v>
      </c>
      <c r="L506" s="189"/>
      <c r="M506" s="189"/>
      <c r="N506" s="189"/>
      <c r="O506" s="189"/>
      <c r="P506" s="189"/>
    </row>
    <row r="507" spans="1:16" ht="21.75" customHeight="1" x14ac:dyDescent="0.35">
      <c r="A507" s="183"/>
      <c r="B507" s="184"/>
      <c r="C507" s="184"/>
      <c r="D507" s="201"/>
      <c r="E507" s="203"/>
      <c r="F507" s="203"/>
      <c r="G507" s="203"/>
      <c r="H507" s="428" t="s">
        <v>36</v>
      </c>
      <c r="I507" s="195">
        <f ca="1">IFERROR(__xludf.DUMMYFUNCTION("IMPORTRANGE(""https://docs.google.com/spreadsheets/d/1IYY_tgx_IHuhSq3AJ5eI5OnqOPBNLWSHKh2a30DoXe8/edit?usp=sharing"",""ชุมพร!I402"")"),0)</f>
        <v>0</v>
      </c>
      <c r="J507" s="205">
        <f ca="1">IFERROR(__xludf.DUMMYFUNCTION("IMPORTRANGE(""https://docs.google.com/spreadsheets/d/1IYY_tgx_IHuhSq3AJ5eI5OnqOPBNLWSHKh2a30DoXe8/edit?usp=sharing"",""ชุมพร!J402"")"),0)</f>
        <v>0</v>
      </c>
      <c r="K507" s="169">
        <f t="shared" ca="1" si="117"/>
        <v>0</v>
      </c>
      <c r="L507" s="189"/>
      <c r="M507" s="189"/>
      <c r="N507" s="189"/>
      <c r="O507" s="189"/>
      <c r="P507" s="189"/>
    </row>
    <row r="508" spans="1:16" ht="21.75" customHeight="1" x14ac:dyDescent="0.35">
      <c r="A508" s="183"/>
      <c r="B508" s="184"/>
      <c r="C508" s="184"/>
      <c r="D508" s="201"/>
      <c r="E508" s="202" t="s">
        <v>189</v>
      </c>
      <c r="F508" s="203"/>
      <c r="G508" s="427"/>
      <c r="H508" s="428" t="s">
        <v>122</v>
      </c>
      <c r="I508" s="195">
        <f ca="1">IFERROR(__xludf.DUMMYFUNCTION("IMPORTRANGE(""https://docs.google.com/spreadsheets/d/1IYY_tgx_IHuhSq3AJ5eI5OnqOPBNLWSHKh2a30DoXe8/edit?usp=sharing"",""ชุมพร!I403"")"),0)</f>
        <v>0</v>
      </c>
      <c r="J508" s="168">
        <f ca="1">IFERROR(__xludf.DUMMYFUNCTION("IMPORTRANGE(""https://docs.google.com/spreadsheets/d/1IYY_tgx_IHuhSq3AJ5eI5OnqOPBNLWSHKh2a30DoXe8/edit?usp=sharing"",""ชุมพร!J403"")"),12)</f>
        <v>12</v>
      </c>
      <c r="K508" s="169">
        <f t="shared" ca="1" si="117"/>
        <v>0</v>
      </c>
      <c r="L508" s="189"/>
      <c r="M508" s="189"/>
      <c r="N508" s="189"/>
      <c r="O508" s="189"/>
      <c r="P508" s="189"/>
    </row>
    <row r="509" spans="1:16" ht="21.75" customHeight="1" x14ac:dyDescent="0.35">
      <c r="A509" s="183"/>
      <c r="B509" s="184"/>
      <c r="C509" s="184"/>
      <c r="D509" s="201"/>
      <c r="E509" s="203"/>
      <c r="F509" s="203"/>
      <c r="G509" s="203"/>
      <c r="H509" s="428" t="s">
        <v>36</v>
      </c>
      <c r="I509" s="195">
        <f ca="1">IFERROR(__xludf.DUMMYFUNCTION("IMPORTRANGE(""https://docs.google.com/spreadsheets/d/1IYY_tgx_IHuhSq3AJ5eI5OnqOPBNLWSHKh2a30DoXe8/edit?usp=sharing"",""ชุมพร!I404"")"),0)</f>
        <v>0</v>
      </c>
      <c r="J509" s="168">
        <f ca="1">IFERROR(__xludf.DUMMYFUNCTION("IMPORTRANGE(""https://docs.google.com/spreadsheets/d/1IYY_tgx_IHuhSq3AJ5eI5OnqOPBNLWSHKh2a30DoXe8/edit?usp=sharing"",""ชุมพร!J404"")"),5)</f>
        <v>5</v>
      </c>
      <c r="K509" s="169">
        <f t="shared" ca="1" si="117"/>
        <v>0</v>
      </c>
      <c r="L509" s="189"/>
      <c r="M509" s="189"/>
      <c r="N509" s="189"/>
      <c r="O509" s="189"/>
      <c r="P509" s="189"/>
    </row>
    <row r="510" spans="1:16" ht="21.75" customHeight="1" x14ac:dyDescent="0.35">
      <c r="A510" s="183"/>
      <c r="B510" s="184"/>
      <c r="C510" s="184"/>
      <c r="D510" s="201"/>
      <c r="E510" s="203"/>
      <c r="F510" s="202" t="s">
        <v>190</v>
      </c>
      <c r="G510" s="203"/>
      <c r="H510" s="428" t="s">
        <v>122</v>
      </c>
      <c r="I510" s="195">
        <f ca="1">IFERROR(__xludf.DUMMYFUNCTION("IMPORTRANGE(""https://docs.google.com/spreadsheets/d/1IYY_tgx_IHuhSq3AJ5eI5OnqOPBNLWSHKh2a30DoXe8/edit?usp=sharing"",""ชุมพร!I405"")"),0)</f>
        <v>0</v>
      </c>
      <c r="J510" s="205">
        <f ca="1">IFERROR(__xludf.DUMMYFUNCTION("IMPORTRANGE(""https://docs.google.com/spreadsheets/d/1IYY_tgx_IHuhSq3AJ5eI5OnqOPBNLWSHKh2a30DoXe8/edit?usp=sharing"",""ชุมพร!J405"")"),12)</f>
        <v>12</v>
      </c>
      <c r="K510" s="169">
        <f t="shared" ca="1" si="117"/>
        <v>0</v>
      </c>
      <c r="L510" s="189"/>
      <c r="M510" s="189"/>
      <c r="N510" s="189"/>
      <c r="O510" s="189"/>
      <c r="P510" s="189"/>
    </row>
    <row r="511" spans="1:16" ht="21.75" customHeight="1" x14ac:dyDescent="0.35">
      <c r="A511" s="183"/>
      <c r="B511" s="184"/>
      <c r="C511" s="184"/>
      <c r="D511" s="201"/>
      <c r="E511" s="203"/>
      <c r="F511" s="203"/>
      <c r="G511" s="203"/>
      <c r="H511" s="428" t="s">
        <v>36</v>
      </c>
      <c r="I511" s="195">
        <f ca="1">IFERROR(__xludf.DUMMYFUNCTION("IMPORTRANGE(""https://docs.google.com/spreadsheets/d/1IYY_tgx_IHuhSq3AJ5eI5OnqOPBNLWSHKh2a30DoXe8/edit?usp=sharing"",""ชุมพร!I406"")"),0)</f>
        <v>0</v>
      </c>
      <c r="J511" s="205">
        <f ca="1">IFERROR(__xludf.DUMMYFUNCTION("IMPORTRANGE(""https://docs.google.com/spreadsheets/d/1IYY_tgx_IHuhSq3AJ5eI5OnqOPBNLWSHKh2a30DoXe8/edit?usp=sharing"",""ชุมพร!J406"")"),5)</f>
        <v>5</v>
      </c>
      <c r="K511" s="169">
        <f t="shared" ca="1" si="117"/>
        <v>0</v>
      </c>
      <c r="L511" s="189"/>
      <c r="M511" s="189"/>
      <c r="N511" s="189"/>
      <c r="O511" s="189"/>
      <c r="P511" s="189"/>
    </row>
    <row r="512" spans="1:16" ht="21.75" customHeight="1" x14ac:dyDescent="0.35">
      <c r="A512" s="183"/>
      <c r="B512" s="184"/>
      <c r="C512" s="184"/>
      <c r="D512" s="201"/>
      <c r="E512" s="203"/>
      <c r="F512" s="202" t="s">
        <v>191</v>
      </c>
      <c r="G512" s="203"/>
      <c r="H512" s="428" t="s">
        <v>122</v>
      </c>
      <c r="I512" s="195">
        <f ca="1">IFERROR(__xludf.DUMMYFUNCTION("IMPORTRANGE(""https://docs.google.com/spreadsheets/d/1IYY_tgx_IHuhSq3AJ5eI5OnqOPBNLWSHKh2a30DoXe8/edit?usp=sharing"",""ชุมพร!I407"")"),0)</f>
        <v>0</v>
      </c>
      <c r="J512" s="205">
        <f ca="1">IFERROR(__xludf.DUMMYFUNCTION("IMPORTRANGE(""https://docs.google.com/spreadsheets/d/1IYY_tgx_IHuhSq3AJ5eI5OnqOPBNLWSHKh2a30DoXe8/edit?usp=sharing"",""ชุมพร!J407"")"),0)</f>
        <v>0</v>
      </c>
      <c r="K512" s="169">
        <f t="shared" ca="1" si="117"/>
        <v>0</v>
      </c>
      <c r="L512" s="189"/>
      <c r="M512" s="189"/>
      <c r="N512" s="189"/>
      <c r="O512" s="189"/>
      <c r="P512" s="189"/>
    </row>
    <row r="513" spans="1:16" ht="21.75" customHeight="1" x14ac:dyDescent="0.35">
      <c r="A513" s="183"/>
      <c r="B513" s="184"/>
      <c r="C513" s="184"/>
      <c r="D513" s="201"/>
      <c r="E513" s="203"/>
      <c r="F513" s="203"/>
      <c r="G513" s="204"/>
      <c r="H513" s="428" t="s">
        <v>36</v>
      </c>
      <c r="I513" s="195">
        <f ca="1">IFERROR(__xludf.DUMMYFUNCTION("IMPORTRANGE(""https://docs.google.com/spreadsheets/d/1IYY_tgx_IHuhSq3AJ5eI5OnqOPBNLWSHKh2a30DoXe8/edit?usp=sharing"",""ชุมพร!I408"")"),0)</f>
        <v>0</v>
      </c>
      <c r="J513" s="205">
        <f ca="1">IFERROR(__xludf.DUMMYFUNCTION("IMPORTRANGE(""https://docs.google.com/spreadsheets/d/1IYY_tgx_IHuhSq3AJ5eI5OnqOPBNLWSHKh2a30DoXe8/edit?usp=sharing"",""ชุมพร!J408"")"),0)</f>
        <v>0</v>
      </c>
      <c r="K513" s="169">
        <f t="shared" ca="1" si="117"/>
        <v>0</v>
      </c>
      <c r="L513" s="189"/>
      <c r="M513" s="189"/>
      <c r="N513" s="189"/>
      <c r="O513" s="189"/>
      <c r="P513" s="189"/>
    </row>
    <row r="514" spans="1:16" ht="21.75" customHeight="1" x14ac:dyDescent="0.35">
      <c r="A514" s="183"/>
      <c r="B514" s="184"/>
      <c r="C514" s="184"/>
      <c r="D514" s="410"/>
      <c r="E514" s="456" t="s">
        <v>192</v>
      </c>
      <c r="F514" s="203"/>
      <c r="G514" s="204"/>
      <c r="H514" s="428" t="s">
        <v>122</v>
      </c>
      <c r="I514" s="195">
        <f ca="1">IFERROR(__xludf.DUMMYFUNCTION("IMPORTRANGE(""https://docs.google.com/spreadsheets/d/1IYY_tgx_IHuhSq3AJ5eI5OnqOPBNLWSHKh2a30DoXe8/edit?usp=sharing"",""ชุมพร!I409"")"),0)</f>
        <v>0</v>
      </c>
      <c r="J514" s="205">
        <f ca="1">IFERROR(__xludf.DUMMYFUNCTION("IMPORTRANGE(""https://docs.google.com/spreadsheets/d/1IYY_tgx_IHuhSq3AJ5eI5OnqOPBNLWSHKh2a30DoXe8/edit?usp=sharing"",""ชุมพร!J409"")"),0)</f>
        <v>0</v>
      </c>
      <c r="K514" s="169">
        <f t="shared" ca="1" si="117"/>
        <v>0</v>
      </c>
      <c r="L514" s="189"/>
      <c r="M514" s="189"/>
      <c r="N514" s="189"/>
      <c r="O514" s="189"/>
      <c r="P514" s="189"/>
    </row>
    <row r="515" spans="1:16" ht="21.75" customHeight="1" x14ac:dyDescent="0.35">
      <c r="A515" s="183"/>
      <c r="B515" s="184"/>
      <c r="C515" s="184"/>
      <c r="D515" s="201"/>
      <c r="E515" s="203"/>
      <c r="F515" s="203"/>
      <c r="G515" s="204"/>
      <c r="H515" s="428" t="s">
        <v>36</v>
      </c>
      <c r="I515" s="195">
        <f ca="1">IFERROR(__xludf.DUMMYFUNCTION("IMPORTRANGE(""https://docs.google.com/spreadsheets/d/1IYY_tgx_IHuhSq3AJ5eI5OnqOPBNLWSHKh2a30DoXe8/edit?usp=sharing"",""ชุมพร!I410"")"),0)</f>
        <v>0</v>
      </c>
      <c r="J515" s="205">
        <f ca="1">IFERROR(__xludf.DUMMYFUNCTION("IMPORTRANGE(""https://docs.google.com/spreadsheets/d/1IYY_tgx_IHuhSq3AJ5eI5OnqOPBNLWSHKh2a30DoXe8/edit?usp=sharing"",""ชุมพร!J410"")"),0)</f>
        <v>0</v>
      </c>
      <c r="K515" s="169">
        <f t="shared" ca="1" si="117"/>
        <v>0</v>
      </c>
      <c r="L515" s="189"/>
      <c r="M515" s="189"/>
      <c r="N515" s="189"/>
      <c r="O515" s="189"/>
      <c r="P515" s="189"/>
    </row>
    <row r="516" spans="1:16" ht="21.75" customHeight="1" x14ac:dyDescent="0.35">
      <c r="A516" s="183"/>
      <c r="B516" s="184"/>
      <c r="C516" s="421" t="s">
        <v>193</v>
      </c>
      <c r="D516" s="421"/>
      <c r="E516" s="457"/>
      <c r="F516" s="457"/>
      <c r="G516" s="458"/>
      <c r="H516" s="459" t="s">
        <v>122</v>
      </c>
      <c r="I516" s="274">
        <f ca="1">IFERROR(__xludf.DUMMYFUNCTION("IMPORTRANGE(""https://docs.google.com/spreadsheets/d/1IYY_tgx_IHuhSq3AJ5eI5OnqOPBNLWSHKh2a30DoXe8/edit?usp=sharing"",""ชุมพร!I411"")"),0)</f>
        <v>0</v>
      </c>
      <c r="J516" s="274">
        <f ca="1">IFERROR(__xludf.DUMMYFUNCTION("IMPORTRANGE(""https://docs.google.com/spreadsheets/d/1IYY_tgx_IHuhSq3AJ5eI5OnqOPBNLWSHKh2a30DoXe8/edit?usp=sharing"",""ชุมพร!J411"")"),0)</f>
        <v>0</v>
      </c>
      <c r="K516" s="275">
        <v>0</v>
      </c>
      <c r="L516" s="189"/>
      <c r="M516" s="189"/>
      <c r="N516" s="189"/>
      <c r="O516" s="189"/>
      <c r="P516" s="189"/>
    </row>
    <row r="517" spans="1:16" ht="21.75" customHeight="1" x14ac:dyDescent="0.35">
      <c r="A517" s="183"/>
      <c r="B517" s="184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IFERROR(__xludf.DUMMYFUNCTION("IMPORTRANGE(""https://docs.google.com/spreadsheets/d/1IYY_tgx_IHuhSq3AJ5eI5OnqOPBNLWSHKh2a30DoXe8/edit?usp=sharing"",""ชุมพร!I412"")"),0)</f>
        <v>0</v>
      </c>
      <c r="J517" s="290">
        <f ca="1">IFERROR(__xludf.DUMMYFUNCTION("IMPORTRANGE(""https://docs.google.com/spreadsheets/d/1IYY_tgx_IHuhSq3AJ5eI5OnqOPBNLWSHKh2a30DoXe8/edit?usp=sharing"",""ชุมพร!J412"")"),0)</f>
        <v>0</v>
      </c>
      <c r="K517" s="291">
        <v>0</v>
      </c>
      <c r="L517" s="189"/>
      <c r="M517" s="189"/>
      <c r="N517" s="189"/>
      <c r="O517" s="189"/>
      <c r="P517" s="189"/>
    </row>
    <row r="518" spans="1:16" ht="21.75" customHeight="1" x14ac:dyDescent="0.35">
      <c r="A518" s="183"/>
      <c r="B518" s="184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IFERROR(__xludf.DUMMYFUNCTION("IMPORTRANGE(""https://docs.google.com/spreadsheets/d/1IYY_tgx_IHuhSq3AJ5eI5OnqOPBNLWSHKh2a30DoXe8/edit?usp=sharing"",""ชุมพร!I413"")"),0)</f>
        <v>0</v>
      </c>
      <c r="J518" s="290">
        <f ca="1">IFERROR(__xludf.DUMMYFUNCTION("IMPORTRANGE(""https://docs.google.com/spreadsheets/d/1IYY_tgx_IHuhSq3AJ5eI5OnqOPBNLWSHKh2a30DoXe8/edit?usp=sharing"",""ชุมพร!J413"")"),0)</f>
        <v>0</v>
      </c>
      <c r="K518" s="291">
        <v>0</v>
      </c>
      <c r="L518" s="189"/>
      <c r="M518" s="189"/>
      <c r="N518" s="189"/>
      <c r="O518" s="189"/>
      <c r="P518" s="189"/>
    </row>
    <row r="519" spans="1:16" ht="21.75" customHeight="1" x14ac:dyDescent="0.35">
      <c r="A519" s="183"/>
      <c r="B519" s="184"/>
      <c r="C519" s="184"/>
      <c r="D519" s="201"/>
      <c r="E519" s="203"/>
      <c r="F519" s="203"/>
      <c r="G519" s="233" t="s">
        <v>196</v>
      </c>
      <c r="H519" s="428" t="s">
        <v>122</v>
      </c>
      <c r="I519" s="195">
        <f ca="1">IFERROR(__xludf.DUMMYFUNCTION("IMPORTRANGE(""https://docs.google.com/spreadsheets/d/1IYY_tgx_IHuhSq3AJ5eI5OnqOPBNLWSHKh2a30DoXe8/edit?usp=sharing"",""ชุมพร!I414"")"),0)</f>
        <v>0</v>
      </c>
      <c r="J519" s="195">
        <f ca="1">IFERROR(__xludf.DUMMYFUNCTION("IMPORTRANGE(""https://docs.google.com/spreadsheets/d/1IYY_tgx_IHuhSq3AJ5eI5OnqOPBNLWSHKh2a30DoXe8/edit?usp=sharing"",""ชุมพร!J414"")"),0)</f>
        <v>0</v>
      </c>
      <c r="K519" s="169">
        <v>0</v>
      </c>
      <c r="L519" s="189"/>
      <c r="M519" s="189"/>
      <c r="N519" s="189"/>
      <c r="O519" s="189"/>
      <c r="P519" s="189"/>
    </row>
    <row r="520" spans="1:16" ht="21.75" customHeight="1" x14ac:dyDescent="0.35">
      <c r="A520" s="183"/>
      <c r="B520" s="184"/>
      <c r="C520" s="184"/>
      <c r="D520" s="201"/>
      <c r="E520" s="203"/>
      <c r="F520" s="203"/>
      <c r="G520" s="204"/>
      <c r="H520" s="428" t="s">
        <v>36</v>
      </c>
      <c r="I520" s="195">
        <f ca="1">IFERROR(__xludf.DUMMYFUNCTION("IMPORTRANGE(""https://docs.google.com/spreadsheets/d/1IYY_tgx_IHuhSq3AJ5eI5OnqOPBNLWSHKh2a30DoXe8/edit?usp=sharing"",""ชุมพร!I415"")"),0)</f>
        <v>0</v>
      </c>
      <c r="J520" s="195">
        <f ca="1">IFERROR(__xludf.DUMMYFUNCTION("IMPORTRANGE(""https://docs.google.com/spreadsheets/d/1IYY_tgx_IHuhSq3AJ5eI5OnqOPBNLWSHKh2a30DoXe8/edit?usp=sharing"",""ชุมพร!J415"")"),0)</f>
        <v>0</v>
      </c>
      <c r="K520" s="169">
        <v>0</v>
      </c>
      <c r="L520" s="189"/>
      <c r="M520" s="189"/>
      <c r="N520" s="189"/>
      <c r="O520" s="189"/>
      <c r="P520" s="189"/>
    </row>
    <row r="521" spans="1:16" ht="21.75" customHeight="1" x14ac:dyDescent="0.35">
      <c r="A521" s="183"/>
      <c r="B521" s="184"/>
      <c r="C521" s="184"/>
      <c r="D521" s="201"/>
      <c r="E521" s="203"/>
      <c r="F521" s="203"/>
      <c r="G521" s="233" t="s">
        <v>197</v>
      </c>
      <c r="H521" s="428" t="s">
        <v>122</v>
      </c>
      <c r="I521" s="195">
        <f ca="1">IFERROR(__xludf.DUMMYFUNCTION("IMPORTRANGE(""https://docs.google.com/spreadsheets/d/1IYY_tgx_IHuhSq3AJ5eI5OnqOPBNLWSHKh2a30DoXe8/edit?usp=sharing"",""ชุมพร!I416"")"),0)</f>
        <v>0</v>
      </c>
      <c r="J521" s="195">
        <f ca="1">IFERROR(__xludf.DUMMYFUNCTION("IMPORTRANGE(""https://docs.google.com/spreadsheets/d/1IYY_tgx_IHuhSq3AJ5eI5OnqOPBNLWSHKh2a30DoXe8/edit?usp=sharing"",""ชุมพร!J416"")"),0)</f>
        <v>0</v>
      </c>
      <c r="K521" s="169">
        <v>0</v>
      </c>
      <c r="L521" s="189"/>
      <c r="M521" s="189"/>
      <c r="N521" s="189"/>
      <c r="O521" s="189"/>
      <c r="P521" s="189"/>
    </row>
    <row r="522" spans="1:16" ht="21.75" customHeight="1" x14ac:dyDescent="0.35">
      <c r="A522" s="183"/>
      <c r="B522" s="184"/>
      <c r="C522" s="184"/>
      <c r="D522" s="201"/>
      <c r="E522" s="203"/>
      <c r="F522" s="203"/>
      <c r="G522" s="204"/>
      <c r="H522" s="428" t="s">
        <v>36</v>
      </c>
      <c r="I522" s="195">
        <f ca="1">IFERROR(__xludf.DUMMYFUNCTION("IMPORTRANGE(""https://docs.google.com/spreadsheets/d/1IYY_tgx_IHuhSq3AJ5eI5OnqOPBNLWSHKh2a30DoXe8/edit?usp=sharing"",""ชุมพร!I417"")"),0)</f>
        <v>0</v>
      </c>
      <c r="J522" s="195">
        <f ca="1">IFERROR(__xludf.DUMMYFUNCTION("IMPORTRANGE(""https://docs.google.com/spreadsheets/d/1IYY_tgx_IHuhSq3AJ5eI5OnqOPBNLWSHKh2a30DoXe8/edit?usp=sharing"",""ชุมพร!J417"")"),0)</f>
        <v>0</v>
      </c>
      <c r="K522" s="169">
        <v>0</v>
      </c>
      <c r="L522" s="189"/>
      <c r="M522" s="189"/>
      <c r="N522" s="189"/>
      <c r="O522" s="189"/>
      <c r="P522" s="189"/>
    </row>
    <row r="523" spans="1:16" ht="21.75" customHeight="1" x14ac:dyDescent="0.35">
      <c r="A523" s="183"/>
      <c r="B523" s="184"/>
      <c r="C523" s="184"/>
      <c r="D523" s="201"/>
      <c r="E523" s="203"/>
      <c r="F523" s="203"/>
      <c r="G523" s="464" t="s">
        <v>198</v>
      </c>
      <c r="H523" s="428" t="s">
        <v>122</v>
      </c>
      <c r="I523" s="195">
        <f ca="1">IFERROR(__xludf.DUMMYFUNCTION("IMPORTRANGE(""https://docs.google.com/spreadsheets/d/1IYY_tgx_IHuhSq3AJ5eI5OnqOPBNLWSHKh2a30DoXe8/edit?usp=sharing"",""ชุมพร!I418"")"),0)</f>
        <v>0</v>
      </c>
      <c r="J523" s="195">
        <f ca="1">IFERROR(__xludf.DUMMYFUNCTION("IMPORTRANGE(""https://docs.google.com/spreadsheets/d/1IYY_tgx_IHuhSq3AJ5eI5OnqOPBNLWSHKh2a30DoXe8/edit?usp=sharing"",""ชุมพร!J418"")"),0)</f>
        <v>0</v>
      </c>
      <c r="K523" s="169">
        <v>0</v>
      </c>
      <c r="L523" s="189"/>
      <c r="M523" s="189"/>
      <c r="N523" s="189"/>
      <c r="O523" s="189"/>
      <c r="P523" s="189"/>
    </row>
    <row r="524" spans="1:16" ht="21.75" customHeight="1" x14ac:dyDescent="0.35">
      <c r="A524" s="183"/>
      <c r="B524" s="184"/>
      <c r="C524" s="184"/>
      <c r="D524" s="201"/>
      <c r="E524" s="203"/>
      <c r="F524" s="203"/>
      <c r="G524" s="204"/>
      <c r="H524" s="428" t="s">
        <v>36</v>
      </c>
      <c r="I524" s="195">
        <f ca="1">IFERROR(__xludf.DUMMYFUNCTION("IMPORTRANGE(""https://docs.google.com/spreadsheets/d/1IYY_tgx_IHuhSq3AJ5eI5OnqOPBNLWSHKh2a30DoXe8/edit?usp=sharing"",""ชุมพร!I419"")"),0)</f>
        <v>0</v>
      </c>
      <c r="J524" s="195">
        <f ca="1">IFERROR(__xludf.DUMMYFUNCTION("IMPORTRANGE(""https://docs.google.com/spreadsheets/d/1IYY_tgx_IHuhSq3AJ5eI5OnqOPBNLWSHKh2a30DoXe8/edit?usp=sharing"",""ชุมพร!J419"")"),0)</f>
        <v>0</v>
      </c>
      <c r="K524" s="169">
        <v>0</v>
      </c>
      <c r="L524" s="189"/>
      <c r="M524" s="189"/>
      <c r="N524" s="189"/>
      <c r="O524" s="189"/>
      <c r="P524" s="189"/>
    </row>
    <row r="525" spans="1:16" ht="21.75" customHeight="1" x14ac:dyDescent="0.35">
      <c r="A525" s="183"/>
      <c r="B525" s="184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IFERROR(__xludf.DUMMYFUNCTION("IMPORTRANGE(""https://docs.google.com/spreadsheets/d/1IYY_tgx_IHuhSq3AJ5eI5OnqOPBNLWSHKh2a30DoXe8/edit?usp=sharing"",""ชุมพร!I420"")"),0)</f>
        <v>0</v>
      </c>
      <c r="J525" s="290">
        <f ca="1">IFERROR(__xludf.DUMMYFUNCTION("IMPORTRANGE(""https://docs.google.com/spreadsheets/d/1IYY_tgx_IHuhSq3AJ5eI5OnqOPBNLWSHKh2a30DoXe8/edit?usp=sharing"",""ชุมพร!J420"")"),0)</f>
        <v>0</v>
      </c>
      <c r="K525" s="291">
        <v>0</v>
      </c>
      <c r="L525" s="189"/>
      <c r="M525" s="189"/>
      <c r="N525" s="189"/>
      <c r="O525" s="189"/>
      <c r="P525" s="189"/>
    </row>
    <row r="526" spans="1:16" ht="21.75" customHeight="1" x14ac:dyDescent="0.35">
      <c r="A526" s="183"/>
      <c r="B526" s="184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IFERROR(__xludf.DUMMYFUNCTION("IMPORTRANGE(""https://docs.google.com/spreadsheets/d/1IYY_tgx_IHuhSq3AJ5eI5OnqOPBNLWSHKh2a30DoXe8/edit?usp=sharing"",""ชุมพร!I421"")"),0)</f>
        <v>0</v>
      </c>
      <c r="J526" s="290">
        <f ca="1">IFERROR(__xludf.DUMMYFUNCTION("IMPORTRANGE(""https://docs.google.com/spreadsheets/d/1IYY_tgx_IHuhSq3AJ5eI5OnqOPBNLWSHKh2a30DoXe8/edit?usp=sharing"",""ชุมพร!J421"")"),0)</f>
        <v>0</v>
      </c>
      <c r="K526" s="291">
        <v>0</v>
      </c>
      <c r="L526" s="189"/>
      <c r="M526" s="189"/>
      <c r="N526" s="189"/>
      <c r="O526" s="189"/>
      <c r="P526" s="189"/>
    </row>
    <row r="527" spans="1:16" ht="21.75" customHeight="1" x14ac:dyDescent="0.35">
      <c r="A527" s="183"/>
      <c r="B527" s="184"/>
      <c r="C527" s="184"/>
      <c r="D527" s="201"/>
      <c r="E527" s="203"/>
      <c r="F527" s="203"/>
      <c r="G527" s="233" t="s">
        <v>196</v>
      </c>
      <c r="H527" s="428" t="s">
        <v>122</v>
      </c>
      <c r="I527" s="195">
        <f ca="1">IFERROR(__xludf.DUMMYFUNCTION("IMPORTRANGE(""https://docs.google.com/spreadsheets/d/1IYY_tgx_IHuhSq3AJ5eI5OnqOPBNLWSHKh2a30DoXe8/edit?usp=sharing"",""ชุมพร!I422"")"),0)</f>
        <v>0</v>
      </c>
      <c r="J527" s="205">
        <f ca="1">IFERROR(__xludf.DUMMYFUNCTION("IMPORTRANGE(""https://docs.google.com/spreadsheets/d/1IYY_tgx_IHuhSq3AJ5eI5OnqOPBNLWSHKh2a30DoXe8/edit?usp=sharing"",""ชุมพร!J422"")"),0)</f>
        <v>0</v>
      </c>
      <c r="K527" s="169">
        <v>0</v>
      </c>
      <c r="L527" s="189"/>
      <c r="M527" s="189"/>
      <c r="N527" s="189"/>
      <c r="O527" s="189"/>
      <c r="P527" s="189"/>
    </row>
    <row r="528" spans="1:16" ht="21.75" customHeight="1" x14ac:dyDescent="0.35">
      <c r="A528" s="183"/>
      <c r="B528" s="184"/>
      <c r="C528" s="184"/>
      <c r="D528" s="201"/>
      <c r="E528" s="203"/>
      <c r="F528" s="203"/>
      <c r="G528" s="204"/>
      <c r="H528" s="428" t="s">
        <v>36</v>
      </c>
      <c r="I528" s="195">
        <f ca="1">IFERROR(__xludf.DUMMYFUNCTION("IMPORTRANGE(""https://docs.google.com/spreadsheets/d/1IYY_tgx_IHuhSq3AJ5eI5OnqOPBNLWSHKh2a30DoXe8/edit?usp=sharing"",""ชุมพร!I423"")"),0)</f>
        <v>0</v>
      </c>
      <c r="J528" s="205">
        <f ca="1">IFERROR(__xludf.DUMMYFUNCTION("IMPORTRANGE(""https://docs.google.com/spreadsheets/d/1IYY_tgx_IHuhSq3AJ5eI5OnqOPBNLWSHKh2a30DoXe8/edit?usp=sharing"",""ชุมพร!J423"")"),0)</f>
        <v>0</v>
      </c>
      <c r="K528" s="169">
        <v>0</v>
      </c>
      <c r="L528" s="189"/>
      <c r="M528" s="189"/>
      <c r="N528" s="189"/>
      <c r="O528" s="189"/>
      <c r="P528" s="189"/>
    </row>
    <row r="529" spans="1:16" ht="21.75" customHeight="1" x14ac:dyDescent="0.35">
      <c r="A529" s="183"/>
      <c r="B529" s="184"/>
      <c r="C529" s="184"/>
      <c r="D529" s="201"/>
      <c r="E529" s="203"/>
      <c r="F529" s="203"/>
      <c r="G529" s="233" t="s">
        <v>197</v>
      </c>
      <c r="H529" s="428" t="s">
        <v>122</v>
      </c>
      <c r="I529" s="195">
        <f ca="1">IFERROR(__xludf.DUMMYFUNCTION("IMPORTRANGE(""https://docs.google.com/spreadsheets/d/1IYY_tgx_IHuhSq3AJ5eI5OnqOPBNLWSHKh2a30DoXe8/edit?usp=sharing"",""ชุมพร!I424"")"),0)</f>
        <v>0</v>
      </c>
      <c r="J529" s="205">
        <f ca="1">IFERROR(__xludf.DUMMYFUNCTION("IMPORTRANGE(""https://docs.google.com/spreadsheets/d/1IYY_tgx_IHuhSq3AJ5eI5OnqOPBNLWSHKh2a30DoXe8/edit?usp=sharing"",""ชุมพร!J424"")"),0)</f>
        <v>0</v>
      </c>
      <c r="K529" s="169">
        <v>0</v>
      </c>
      <c r="L529" s="189"/>
      <c r="M529" s="189"/>
      <c r="N529" s="189"/>
      <c r="O529" s="189"/>
      <c r="P529" s="189"/>
    </row>
    <row r="530" spans="1:16" ht="21.75" customHeight="1" x14ac:dyDescent="0.35">
      <c r="A530" s="183"/>
      <c r="B530" s="184"/>
      <c r="C530" s="184"/>
      <c r="D530" s="201"/>
      <c r="E530" s="203"/>
      <c r="F530" s="203"/>
      <c r="G530" s="204"/>
      <c r="H530" s="428" t="s">
        <v>36</v>
      </c>
      <c r="I530" s="195">
        <f ca="1">IFERROR(__xludf.DUMMYFUNCTION("IMPORTRANGE(""https://docs.google.com/spreadsheets/d/1IYY_tgx_IHuhSq3AJ5eI5OnqOPBNLWSHKh2a30DoXe8/edit?usp=sharing"",""ชุมพร!I425"")"),0)</f>
        <v>0</v>
      </c>
      <c r="J530" s="205">
        <f ca="1">IFERROR(__xludf.DUMMYFUNCTION("IMPORTRANGE(""https://docs.google.com/spreadsheets/d/1IYY_tgx_IHuhSq3AJ5eI5OnqOPBNLWSHKh2a30DoXe8/edit?usp=sharing"",""ชุมพร!J425"")"),0)</f>
        <v>0</v>
      </c>
      <c r="K530" s="169">
        <v>0</v>
      </c>
      <c r="L530" s="189"/>
      <c r="M530" s="189"/>
      <c r="N530" s="189"/>
      <c r="O530" s="189"/>
      <c r="P530" s="189"/>
    </row>
    <row r="531" spans="1:16" ht="21.75" customHeight="1" x14ac:dyDescent="0.35">
      <c r="A531" s="183"/>
      <c r="B531" s="184"/>
      <c r="C531" s="184"/>
      <c r="D531" s="201"/>
      <c r="E531" s="203"/>
      <c r="F531" s="203"/>
      <c r="G531" s="233" t="s">
        <v>201</v>
      </c>
      <c r="H531" s="428" t="s">
        <v>122</v>
      </c>
      <c r="I531" s="195">
        <f ca="1">IFERROR(__xludf.DUMMYFUNCTION("IMPORTRANGE(""https://docs.google.com/spreadsheets/d/1IYY_tgx_IHuhSq3AJ5eI5OnqOPBNLWSHKh2a30DoXe8/edit?usp=sharing"",""ชุมพร!I426"")"),0)</f>
        <v>0</v>
      </c>
      <c r="J531" s="205">
        <f ca="1">IFERROR(__xludf.DUMMYFUNCTION("IMPORTRANGE(""https://docs.google.com/spreadsheets/d/1IYY_tgx_IHuhSq3AJ5eI5OnqOPBNLWSHKh2a30DoXe8/edit?usp=sharing"",""ชุมพร!J426"")"),0)</f>
        <v>0</v>
      </c>
      <c r="K531" s="169">
        <v>0</v>
      </c>
      <c r="L531" s="189"/>
      <c r="M531" s="189"/>
      <c r="N531" s="189"/>
      <c r="O531" s="189"/>
      <c r="P531" s="189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IFERROR(__xludf.DUMMYFUNCTION("IMPORTRANGE(""https://docs.google.com/spreadsheets/d/1IYY_tgx_IHuhSq3AJ5eI5OnqOPBNLWSHKh2a30DoXe8/edit?usp=sharing"",""ชุมพร!I427"")"),0)</f>
        <v>0</v>
      </c>
      <c r="J532" s="472">
        <f ca="1">IFERROR(__xludf.DUMMYFUNCTION("IMPORTRANGE(""https://docs.google.com/spreadsheets/d/1IYY_tgx_IHuhSq3AJ5eI5OnqOPBNLWSHKh2a30DoXe8/edit?usp=sharing"",""ชุมพร!J427"")"),0)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IFERROR(__xludf.DUMMYFUNCTION("IMPORTRANGE(""https://docs.google.com/spreadsheets/d/1IYY_tgx_IHuhSq3AJ5eI5OnqOPBNLWSHKh2a30DoXe8/edit?usp=sharing"",""ชุมพร!I428"")"),26)</f>
        <v>26</v>
      </c>
      <c r="J533" s="416">
        <f ca="1">IFERROR(__xludf.DUMMYFUNCTION("IMPORTRANGE(""https://docs.google.com/spreadsheets/d/1IYY_tgx_IHuhSq3AJ5eI5OnqOPBNLWSHKh2a30DoXe8/edit?usp=sharing"",""ชุมพร!J428"")"),26)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IFERROR(__xludf.DUMMYFUNCTION("IMPORTRANGE(""https://docs.google.com/spreadsheets/d/1IYY_tgx_IHuhSq3AJ5eI5OnqOPBNLWSHKh2a30DoXe8/edit?usp=sharing"",""ชุมพร!L428"")"),37740)</f>
        <v>37740</v>
      </c>
      <c r="M533" s="418"/>
      <c r="N533" s="418">
        <f ca="1">IFERROR(__xludf.DUMMYFUNCTION("IMPORTRANGE(""https://docs.google.com/spreadsheets/d/1IYY_tgx_IHuhSq3AJ5eI5OnqOPBNLWSHKh2a30DoXe8/edit?usp=sharing"",""ชุมพร!M428"")"),22200)</f>
        <v>22200</v>
      </c>
      <c r="O533" s="418">
        <f t="shared" ref="O533:O537" ca="1" si="118">+IF(L533&gt;0,N533*100/L533,0)</f>
        <v>58.823529411764703</v>
      </c>
      <c r="P533" s="418"/>
    </row>
    <row r="534" spans="1:16" ht="21.75" customHeight="1" x14ac:dyDescent="0.35">
      <c r="A534" s="162"/>
      <c r="B534" s="163"/>
      <c r="C534" s="163" t="s">
        <v>16</v>
      </c>
      <c r="D534" s="164" t="s">
        <v>38</v>
      </c>
      <c r="E534" s="165"/>
      <c r="F534" s="165"/>
      <c r="G534" s="166" t="s">
        <v>39</v>
      </c>
      <c r="H534" s="167" t="s">
        <v>12</v>
      </c>
      <c r="I534" s="168" t="s">
        <v>40</v>
      </c>
      <c r="J534" s="168"/>
      <c r="K534" s="169"/>
      <c r="L534" s="170">
        <f ca="1">IFERROR(__xludf.DUMMYFUNCTION("IMPORTRANGE(""https://docs.google.com/spreadsheets/d/1IYY_tgx_IHuhSq3AJ5eI5OnqOPBNLWSHKh2a30DoXe8/edit?usp=sharing"",""ชุมพร!L429"")"),0)</f>
        <v>0</v>
      </c>
      <c r="M534" s="170"/>
      <c r="N534" s="176">
        <f ca="1">IFERROR(__xludf.DUMMYFUNCTION("IMPORTRANGE(""https://docs.google.com/spreadsheets/d/1IYY_tgx_IHuhSq3AJ5eI5OnqOPBNLWSHKh2a30DoXe8/edit?usp=sharing"",""ชุมพร!M429"")"),0)</f>
        <v>0</v>
      </c>
      <c r="O534" s="176">
        <f t="shared" ca="1" si="118"/>
        <v>0</v>
      </c>
      <c r="P534" s="176"/>
    </row>
    <row r="535" spans="1:16" ht="21.75" customHeight="1" x14ac:dyDescent="0.35">
      <c r="A535" s="162"/>
      <c r="B535" s="163"/>
      <c r="C535" s="163"/>
      <c r="D535" s="172"/>
      <c r="E535" s="165"/>
      <c r="F535" s="165" t="s">
        <v>40</v>
      </c>
      <c r="G535" s="166" t="s">
        <v>41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IFERROR(__xludf.DUMMYFUNCTION("IMPORTRANGE(""https://docs.google.com/spreadsheets/d/1IYY_tgx_IHuhSq3AJ5eI5OnqOPBNLWSHKh2a30DoXe8/edit?usp=sharing"",""ชุมพร!L430"")"),37740)</f>
        <v>37740</v>
      </c>
      <c r="M535" s="171"/>
      <c r="N535" s="176">
        <f ca="1">IFERROR(__xludf.DUMMYFUNCTION("IMPORTRANGE(""https://docs.google.com/spreadsheets/d/1IYY_tgx_IHuhSq3AJ5eI5OnqOPBNLWSHKh2a30DoXe8/edit?usp=sharing"",""ชุมพร!M430"")"),22200)</f>
        <v>22200</v>
      </c>
      <c r="O535" s="176">
        <f t="shared" ca="1" si="118"/>
        <v>58.823529411764703</v>
      </c>
      <c r="P535" s="176"/>
    </row>
    <row r="536" spans="1:16" ht="21.75" customHeight="1" x14ac:dyDescent="0.35">
      <c r="A536" s="162"/>
      <c r="B536" s="163"/>
      <c r="C536" s="163"/>
      <c r="D536" s="172"/>
      <c r="E536" s="165"/>
      <c r="F536" s="165"/>
      <c r="G536" s="380" t="s">
        <v>129</v>
      </c>
      <c r="H536" s="167" t="s">
        <v>12</v>
      </c>
      <c r="I536" s="168"/>
      <c r="J536" s="168"/>
      <c r="K536" s="169"/>
      <c r="L536" s="176">
        <f ca="1">IFERROR(__xludf.DUMMYFUNCTION("IMPORTRANGE(""https://docs.google.com/spreadsheets/d/1IYY_tgx_IHuhSq3AJ5eI5OnqOPBNLWSHKh2a30DoXe8/edit?usp=sharing"",""ชุมพร!L431"")"),0)</f>
        <v>0</v>
      </c>
      <c r="M536" s="176"/>
      <c r="N536" s="176">
        <f ca="1">IFERROR(__xludf.DUMMYFUNCTION("IMPORTRANGE(""https://docs.google.com/spreadsheets/d/1IYY_tgx_IHuhSq3AJ5eI5OnqOPBNLWSHKh2a30DoXe8/edit?usp=sharing"",""ชุมพร!M431"")"),0)</f>
        <v>0</v>
      </c>
      <c r="O536" s="176">
        <f t="shared" ca="1" si="118"/>
        <v>0</v>
      </c>
      <c r="P536" s="176"/>
    </row>
    <row r="537" spans="1:16" ht="21.75" customHeight="1" x14ac:dyDescent="0.35">
      <c r="A537" s="162"/>
      <c r="B537" s="163"/>
      <c r="C537" s="163"/>
      <c r="D537" s="172"/>
      <c r="E537" s="165"/>
      <c r="F537" s="165"/>
      <c r="G537" s="380" t="s">
        <v>130</v>
      </c>
      <c r="H537" s="167" t="s">
        <v>12</v>
      </c>
      <c r="I537" s="168"/>
      <c r="J537" s="168"/>
      <c r="K537" s="169"/>
      <c r="L537" s="176">
        <f ca="1">IFERROR(__xludf.DUMMYFUNCTION("IMPORTRANGE(""https://docs.google.com/spreadsheets/d/1IYY_tgx_IHuhSq3AJ5eI5OnqOPBNLWSHKh2a30DoXe8/edit?usp=sharing"",""ชุมพร!L432"")"),37740)</f>
        <v>37740</v>
      </c>
      <c r="M537" s="176"/>
      <c r="N537" s="176">
        <f ca="1">IFERROR(__xludf.DUMMYFUNCTION("IMPORTRANGE(""https://docs.google.com/spreadsheets/d/1IYY_tgx_IHuhSq3AJ5eI5OnqOPBNLWSHKh2a30DoXe8/edit?usp=sharing"",""ชุมพร!M432"")"),22200)</f>
        <v>22200</v>
      </c>
      <c r="O537" s="176">
        <f t="shared" ca="1" si="118"/>
        <v>58.823529411764703</v>
      </c>
      <c r="P537" s="176"/>
    </row>
    <row r="538" spans="1:16" ht="21.75" customHeight="1" x14ac:dyDescent="0.35">
      <c r="A538" s="381"/>
      <c r="B538" s="382"/>
      <c r="C538" s="163"/>
      <c r="D538" s="383"/>
      <c r="E538" s="165"/>
      <c r="F538" s="165"/>
      <c r="G538" s="384" t="s">
        <v>131</v>
      </c>
      <c r="H538" s="167" t="s">
        <v>12</v>
      </c>
      <c r="I538" s="195"/>
      <c r="J538" s="195"/>
      <c r="K538" s="231"/>
      <c r="L538" s="176"/>
      <c r="M538" s="176"/>
      <c r="N538" s="385">
        <f ca="1">IFERROR(__xludf.DUMMYFUNCTION("IMPORTRANGE(""https://docs.google.com/spreadsheets/d/1IYY_tgx_IHuhSq3AJ5eI5OnqOPBNLWSHKh2a30DoXe8/edit?usp=sharing"",""ชุมพร!M433"")"),22200)</f>
        <v>22200</v>
      </c>
      <c r="O538" s="176"/>
      <c r="P538" s="176"/>
    </row>
    <row r="539" spans="1:16" ht="21.75" customHeight="1" x14ac:dyDescent="0.35">
      <c r="A539" s="381"/>
      <c r="B539" s="382"/>
      <c r="C539" s="163"/>
      <c r="D539" s="383"/>
      <c r="E539" s="165"/>
      <c r="F539" s="165"/>
      <c r="G539" s="384" t="s">
        <v>132</v>
      </c>
      <c r="H539" s="167" t="s">
        <v>12</v>
      </c>
      <c r="I539" s="195"/>
      <c r="J539" s="195"/>
      <c r="K539" s="231"/>
      <c r="L539" s="176"/>
      <c r="M539" s="176"/>
      <c r="N539" s="385">
        <f ca="1">IFERROR(__xludf.DUMMYFUNCTION("IMPORTRANGE(""https://docs.google.com/spreadsheets/d/1IYY_tgx_IHuhSq3AJ5eI5OnqOPBNLWSHKh2a30DoXe8/edit?usp=sharing"",""ชุมพร!M434"")"),0)</f>
        <v>0</v>
      </c>
      <c r="O539" s="176"/>
      <c r="P539" s="176"/>
    </row>
    <row r="540" spans="1:16" ht="21.75" customHeight="1" x14ac:dyDescent="0.35">
      <c r="A540" s="381"/>
      <c r="B540" s="382"/>
      <c r="C540" s="163"/>
      <c r="D540" s="383"/>
      <c r="E540" s="165"/>
      <c r="F540" s="165"/>
      <c r="G540" s="384" t="s">
        <v>133</v>
      </c>
      <c r="H540" s="167" t="s">
        <v>12</v>
      </c>
      <c r="I540" s="195"/>
      <c r="J540" s="195"/>
      <c r="K540" s="231"/>
      <c r="L540" s="176"/>
      <c r="M540" s="176"/>
      <c r="N540" s="385">
        <f ca="1">IFERROR(__xludf.DUMMYFUNCTION("IMPORTRANGE(""https://docs.google.com/spreadsheets/d/1IYY_tgx_IHuhSq3AJ5eI5OnqOPBNLWSHKh2a30DoXe8/edit?usp=sharing"",""ชุมพร!M435"")"),0)</f>
        <v>0</v>
      </c>
      <c r="O540" s="176"/>
      <c r="P540" s="176"/>
    </row>
    <row r="541" spans="1:16" ht="21.75" customHeight="1" x14ac:dyDescent="0.35">
      <c r="A541" s="381"/>
      <c r="B541" s="382"/>
      <c r="C541" s="163"/>
      <c r="D541" s="383"/>
      <c r="E541" s="165"/>
      <c r="F541" s="165"/>
      <c r="G541" s="384" t="s">
        <v>134</v>
      </c>
      <c r="H541" s="167" t="s">
        <v>12</v>
      </c>
      <c r="I541" s="195"/>
      <c r="J541" s="195"/>
      <c r="K541" s="231"/>
      <c r="L541" s="176"/>
      <c r="M541" s="176"/>
      <c r="N541" s="385">
        <f ca="1">IFERROR(__xludf.DUMMYFUNCTION("IMPORTRANGE(""https://docs.google.com/spreadsheets/d/1IYY_tgx_IHuhSq3AJ5eI5OnqOPBNLWSHKh2a30DoXe8/edit?usp=sharing"",""ชุมพร!M436"")"),0)</f>
        <v>0</v>
      </c>
      <c r="O541" s="176"/>
      <c r="P541" s="176"/>
    </row>
    <row r="542" spans="1:16" ht="21.75" customHeight="1" x14ac:dyDescent="0.35">
      <c r="A542" s="183"/>
      <c r="B542" s="184"/>
      <c r="C542" s="163" t="s">
        <v>16</v>
      </c>
      <c r="D542" s="185" t="s">
        <v>44</v>
      </c>
      <c r="E542" s="186"/>
      <c r="F542" s="186"/>
      <c r="G542" s="187"/>
      <c r="H542" s="188"/>
      <c r="I542" s="168"/>
      <c r="J542" s="168"/>
      <c r="K542" s="169"/>
      <c r="L542" s="189"/>
      <c r="M542" s="189"/>
      <c r="N542" s="189"/>
      <c r="O542" s="189"/>
      <c r="P542" s="189"/>
    </row>
    <row r="543" spans="1:16" ht="21.75" customHeight="1" x14ac:dyDescent="0.35">
      <c r="A543" s="183"/>
      <c r="B543" s="184"/>
      <c r="C543" s="184"/>
      <c r="D543" s="190">
        <v>1</v>
      </c>
      <c r="E543" s="191" t="s">
        <v>45</v>
      </c>
      <c r="F543" s="192"/>
      <c r="G543" s="193"/>
      <c r="H543" s="194"/>
      <c r="I543" s="195"/>
      <c r="J543" s="205">
        <f ca="1">IFERROR(__xludf.DUMMYFUNCTION("IMPORTRANGE(""https://docs.google.com/spreadsheets/d/1IYY_tgx_IHuhSq3AJ5eI5OnqOPBNLWSHKh2a30DoXe8/edit?usp=sharing"",""ชุมพร!J438"")"),0)</f>
        <v>0</v>
      </c>
      <c r="K543" s="169"/>
      <c r="L543" s="189"/>
      <c r="M543" s="189"/>
      <c r="N543" s="189"/>
      <c r="O543" s="189"/>
      <c r="P543" s="189"/>
    </row>
    <row r="544" spans="1:16" ht="21.75" customHeight="1" x14ac:dyDescent="0.35">
      <c r="A544" s="183"/>
      <c r="B544" s="184"/>
      <c r="C544" s="184"/>
      <c r="D544" s="197">
        <v>2</v>
      </c>
      <c r="E544" s="198" t="s">
        <v>46</v>
      </c>
      <c r="F544" s="199"/>
      <c r="G544" s="200"/>
      <c r="H544" s="194"/>
      <c r="I544" s="195"/>
      <c r="J544" s="196">
        <f ca="1">IFERROR(__xludf.DUMMYFUNCTION("IMPORTRANGE(""https://docs.google.com/spreadsheets/d/1IYY_tgx_IHuhSq3AJ5eI5OnqOPBNLWSHKh2a30DoXe8/edit?usp=sharing"",""ชุมพร!J439"")"),1)</f>
        <v>1</v>
      </c>
      <c r="K544" s="169"/>
      <c r="L544" s="189" t="s">
        <v>40</v>
      </c>
      <c r="M544" s="189"/>
      <c r="N544" s="189" t="s">
        <v>40</v>
      </c>
      <c r="O544" s="189"/>
      <c r="P544" s="189"/>
    </row>
    <row r="545" spans="1:16" ht="21.75" customHeight="1" x14ac:dyDescent="0.35">
      <c r="A545" s="183"/>
      <c r="B545" s="184"/>
      <c r="C545" s="184"/>
      <c r="D545" s="201"/>
      <c r="E545" s="202" t="s">
        <v>47</v>
      </c>
      <c r="F545" s="203"/>
      <c r="G545" s="204"/>
      <c r="H545" s="194"/>
      <c r="I545" s="195"/>
      <c r="J545" s="196">
        <f ca="1">IFERROR(__xludf.DUMMYFUNCTION("IMPORTRANGE(""https://docs.google.com/spreadsheets/d/1IYY_tgx_IHuhSq3AJ5eI5OnqOPBNLWSHKh2a30DoXe8/edit?usp=sharing"",""ชุมพร!J440"")"),1)</f>
        <v>1</v>
      </c>
      <c r="K545" s="169"/>
      <c r="L545" s="189"/>
      <c r="M545" s="189"/>
      <c r="N545" s="189"/>
      <c r="O545" s="189"/>
      <c r="P545" s="189"/>
    </row>
    <row r="546" spans="1:16" ht="21.75" customHeight="1" x14ac:dyDescent="0.35">
      <c r="A546" s="183"/>
      <c r="B546" s="184"/>
      <c r="C546" s="184"/>
      <c r="D546" s="201"/>
      <c r="E546" s="202" t="s">
        <v>48</v>
      </c>
      <c r="F546" s="203"/>
      <c r="G546" s="204"/>
      <c r="H546" s="194"/>
      <c r="I546" s="195"/>
      <c r="J546" s="205">
        <f ca="1">IFERROR(__xludf.DUMMYFUNCTION("IMPORTRANGE(""https://docs.google.com/spreadsheets/d/1IYY_tgx_IHuhSq3AJ5eI5OnqOPBNLWSHKh2a30DoXe8/edit?usp=sharing"",""ชุมพร!J441"")"),1)</f>
        <v>1</v>
      </c>
      <c r="K546" s="169"/>
      <c r="L546" s="189"/>
      <c r="M546" s="189"/>
      <c r="N546" s="189"/>
      <c r="O546" s="189"/>
      <c r="P546" s="189"/>
    </row>
    <row r="547" spans="1:16" ht="21.75" customHeight="1" x14ac:dyDescent="0.35">
      <c r="A547" s="183"/>
      <c r="B547" s="184"/>
      <c r="C547" s="184"/>
      <c r="D547" s="201"/>
      <c r="E547" s="206"/>
      <c r="F547" s="203"/>
      <c r="G547" s="233" t="s">
        <v>203</v>
      </c>
      <c r="H547" s="194" t="s">
        <v>37</v>
      </c>
      <c r="I547" s="211">
        <f ca="1">IFERROR(__xludf.DUMMYFUNCTION("IMPORTRANGE(""https://docs.google.com/spreadsheets/d/1IYY_tgx_IHuhSq3AJ5eI5OnqOPBNLWSHKh2a30DoXe8/edit?usp=sharing"",""ชุมพร!I442"")"),26)</f>
        <v>26</v>
      </c>
      <c r="J547" s="196">
        <f ca="1">IFERROR(__xludf.DUMMYFUNCTION("IMPORTRANGE(""https://docs.google.com/spreadsheets/d/1IYY_tgx_IHuhSq3AJ5eI5OnqOPBNLWSHKh2a30DoXe8/edit?usp=sharing"",""ชุมพร!J442"")"),26)</f>
        <v>26</v>
      </c>
      <c r="K547" s="169">
        <f t="shared" ref="K547:K548" ca="1" si="119">IF(I547&gt;0,J547*100/I547,0)</f>
        <v>100</v>
      </c>
      <c r="L547" s="189"/>
      <c r="M547" s="189"/>
      <c r="N547" s="189"/>
      <c r="O547" s="189"/>
      <c r="P547" s="189"/>
    </row>
    <row r="548" spans="1:16" ht="21.75" hidden="1" customHeight="1" x14ac:dyDescent="0.35">
      <c r="A548" s="183"/>
      <c r="B548" s="184"/>
      <c r="C548" s="184"/>
      <c r="D548" s="201"/>
      <c r="E548" s="206"/>
      <c r="F548" s="203"/>
      <c r="G548" s="233" t="s">
        <v>204</v>
      </c>
      <c r="H548" s="194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5">
        <f ca="1">IFERROR(__xludf.DUMMYFUNCTION("IMPORTRANGE(""https://docs.google.com/spreadsheets/d/1IYY_tgx_IHuhSq3AJ5eI5OnqOPBNLWSHKh2a30DoXe8/edit?usp=sharing"",""ชุมพร!J166"")"),0)</f>
        <v>0</v>
      </c>
      <c r="K548" s="169">
        <f t="shared" ca="1" si="119"/>
        <v>0</v>
      </c>
      <c r="L548" s="189"/>
      <c r="M548" s="189"/>
      <c r="N548" s="189"/>
      <c r="O548" s="189"/>
      <c r="P548" s="189"/>
    </row>
    <row r="549" spans="1:16" ht="21.75" customHeight="1" x14ac:dyDescent="0.35">
      <c r="A549" s="183"/>
      <c r="B549" s="184"/>
      <c r="C549" s="184"/>
      <c r="D549" s="201"/>
      <c r="E549" s="202" t="s">
        <v>54</v>
      </c>
      <c r="F549" s="203"/>
      <c r="G549" s="204"/>
      <c r="H549" s="194"/>
      <c r="I549" s="195"/>
      <c r="J549" s="205">
        <f ca="1">IFERROR(__xludf.DUMMYFUNCTION("IMPORTRANGE(""https://docs.google.com/spreadsheets/d/1IYY_tgx_IHuhSq3AJ5eI5OnqOPBNLWSHKh2a30DoXe8/edit?usp=sharing"",""ชุมพร!J444"")"),0)</f>
        <v>0</v>
      </c>
      <c r="K549" s="169"/>
      <c r="L549" s="189"/>
      <c r="M549" s="189"/>
      <c r="N549" s="189"/>
      <c r="O549" s="189"/>
      <c r="P549" s="189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IFERROR(__xludf.DUMMYFUNCTION("IMPORTRANGE(""https://docs.google.com/spreadsheets/d/1IYY_tgx_IHuhSq3AJ5eI5OnqOPBNLWSHKh2a30DoXe8/edit?usp=sharing"",""ชุมพร!J445"")"),0)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IFERROR(__xludf.DUMMYFUNCTION("IMPORTRANGE(""https://docs.google.com/spreadsheets/d/1IYY_tgx_IHuhSq3AJ5eI5OnqOPBNLWSHKh2a30DoXe8/edit?usp=sharing"",""ชุมพร!I446"")"),0)</f>
        <v>0</v>
      </c>
      <c r="J551" s="416">
        <f ca="1">IFERROR(__xludf.DUMMYFUNCTION("IMPORTRANGE(""https://docs.google.com/spreadsheets/d/1IYY_tgx_IHuhSq3AJ5eI5OnqOPBNLWSHKh2a30DoXe8/edit?usp=sharing"",""ชุมพร!J446"")"),0)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IFERROR(__xludf.DUMMYFUNCTION("IMPORTRANGE(""https://docs.google.com/spreadsheets/d/1IYY_tgx_IHuhSq3AJ5eI5OnqOPBNLWSHKh2a30DoXe8/edit?usp=sharing"",""ชุมพร!L446"")"),0)</f>
        <v>0</v>
      </c>
      <c r="M551" s="418"/>
      <c r="N551" s="418">
        <f ca="1">IFERROR(__xludf.DUMMYFUNCTION("IMPORTRANGE(""https://docs.google.com/spreadsheets/d/1IYY_tgx_IHuhSq3AJ5eI5OnqOPBNLWSHKh2a30DoXe8/edit?usp=sharing"",""ชุมพร!M446"")"),0)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164" t="s">
        <v>38</v>
      </c>
      <c r="E552" s="165"/>
      <c r="F552" s="165"/>
      <c r="G552" s="166" t="s">
        <v>39</v>
      </c>
      <c r="H552" s="167" t="s">
        <v>12</v>
      </c>
      <c r="I552" s="168" t="s">
        <v>40</v>
      </c>
      <c r="J552" s="168"/>
      <c r="K552" s="169"/>
      <c r="L552" s="170">
        <f ca="1">IFERROR(__xludf.DUMMYFUNCTION("IMPORTRANGE(""https://docs.google.com/spreadsheets/d/1IYY_tgx_IHuhSq3AJ5eI5OnqOPBNLWSHKh2a30DoXe8/edit?usp=sharing"",""ชุมพร!L447"")"),0)</f>
        <v>0</v>
      </c>
      <c r="M552" s="170"/>
      <c r="N552" s="176">
        <f ca="1">IFERROR(__xludf.DUMMYFUNCTION("IMPORTRANGE(""https://docs.google.com/spreadsheets/d/1IYY_tgx_IHuhSq3AJ5eI5OnqOPBNLWSHKh2a30DoXe8/edit?usp=sharing"",""ชุมพร!M447"")"),0)</f>
        <v>0</v>
      </c>
      <c r="O552" s="176">
        <f t="shared" ca="1" si="120"/>
        <v>0</v>
      </c>
      <c r="P552" s="176"/>
    </row>
    <row r="553" spans="1:16" ht="21.75" customHeight="1" x14ac:dyDescent="0.35">
      <c r="A553" s="162"/>
      <c r="B553" s="163"/>
      <c r="C553" s="163"/>
      <c r="D553" s="172"/>
      <c r="E553" s="165"/>
      <c r="F553" s="165" t="s">
        <v>40</v>
      </c>
      <c r="G553" s="166" t="s">
        <v>41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IFERROR(__xludf.DUMMYFUNCTION("IMPORTRANGE(""https://docs.google.com/spreadsheets/d/1IYY_tgx_IHuhSq3AJ5eI5OnqOPBNLWSHKh2a30DoXe8/edit?usp=sharing"",""ชุมพร!L448"")"),0)</f>
        <v>0</v>
      </c>
      <c r="M553" s="171"/>
      <c r="N553" s="176">
        <f ca="1">IFERROR(__xludf.DUMMYFUNCTION("IMPORTRANGE(""https://docs.google.com/spreadsheets/d/1IYY_tgx_IHuhSq3AJ5eI5OnqOPBNLWSHKh2a30DoXe8/edit?usp=sharing"",""ชุมพร!M448"")"),0)</f>
        <v>0</v>
      </c>
      <c r="O553" s="176">
        <f t="shared" ca="1" si="120"/>
        <v>0</v>
      </c>
      <c r="P553" s="176"/>
    </row>
    <row r="554" spans="1:16" ht="21.75" customHeight="1" x14ac:dyDescent="0.35">
      <c r="A554" s="162"/>
      <c r="B554" s="163"/>
      <c r="C554" s="163"/>
      <c r="D554" s="172"/>
      <c r="E554" s="165"/>
      <c r="F554" s="165"/>
      <c r="G554" s="380" t="s">
        <v>129</v>
      </c>
      <c r="H554" s="167" t="s">
        <v>12</v>
      </c>
      <c r="I554" s="168"/>
      <c r="J554" s="168"/>
      <c r="K554" s="169"/>
      <c r="L554" s="176">
        <f ca="1">IFERROR(__xludf.DUMMYFUNCTION("IMPORTRANGE(""https://docs.google.com/spreadsheets/d/1IYY_tgx_IHuhSq3AJ5eI5OnqOPBNLWSHKh2a30DoXe8/edit?usp=sharing"",""ชุมพร!L449"")"),0)</f>
        <v>0</v>
      </c>
      <c r="M554" s="176"/>
      <c r="N554" s="176">
        <f ca="1">IFERROR(__xludf.DUMMYFUNCTION("IMPORTRANGE(""https://docs.google.com/spreadsheets/d/1IYY_tgx_IHuhSq3AJ5eI5OnqOPBNLWSHKh2a30DoXe8/edit?usp=sharing"",""ชุมพร!M449"")"),0)</f>
        <v>0</v>
      </c>
      <c r="O554" s="176">
        <f t="shared" ca="1" si="120"/>
        <v>0</v>
      </c>
      <c r="P554" s="176"/>
    </row>
    <row r="555" spans="1:16" ht="21.75" customHeight="1" x14ac:dyDescent="0.35">
      <c r="A555" s="162"/>
      <c r="B555" s="163"/>
      <c r="C555" s="163"/>
      <c r="D555" s="172"/>
      <c r="E555" s="165"/>
      <c r="F555" s="165"/>
      <c r="G555" s="380" t="s">
        <v>130</v>
      </c>
      <c r="H555" s="167" t="s">
        <v>12</v>
      </c>
      <c r="I555" s="168"/>
      <c r="J555" s="168"/>
      <c r="K555" s="169"/>
      <c r="L555" s="176">
        <f ca="1">IFERROR(__xludf.DUMMYFUNCTION("IMPORTRANGE(""https://docs.google.com/spreadsheets/d/1IYY_tgx_IHuhSq3AJ5eI5OnqOPBNLWSHKh2a30DoXe8/edit?usp=sharing"",""ชุมพร!L450"")"),0)</f>
        <v>0</v>
      </c>
      <c r="M555" s="176"/>
      <c r="N555" s="176">
        <f ca="1">IFERROR(__xludf.DUMMYFUNCTION("IMPORTRANGE(""https://docs.google.com/spreadsheets/d/1IYY_tgx_IHuhSq3AJ5eI5OnqOPBNLWSHKh2a30DoXe8/edit?usp=sharing"",""ชุมพร!M450"")"),0)</f>
        <v>0</v>
      </c>
      <c r="O555" s="176">
        <f t="shared" ca="1" si="120"/>
        <v>0</v>
      </c>
      <c r="P555" s="176"/>
    </row>
    <row r="556" spans="1:16" ht="21.75" customHeight="1" x14ac:dyDescent="0.35">
      <c r="A556" s="381"/>
      <c r="B556" s="382"/>
      <c r="C556" s="163"/>
      <c r="D556" s="383"/>
      <c r="E556" s="165"/>
      <c r="F556" s="165"/>
      <c r="G556" s="384" t="s">
        <v>131</v>
      </c>
      <c r="H556" s="167" t="s">
        <v>12</v>
      </c>
      <c r="I556" s="195"/>
      <c r="J556" s="195"/>
      <c r="K556" s="231"/>
      <c r="L556" s="176"/>
      <c r="M556" s="176"/>
      <c r="N556" s="173">
        <f ca="1">IFERROR(__xludf.DUMMYFUNCTION("IMPORTRANGE(""https://docs.google.com/spreadsheets/d/1IYY_tgx_IHuhSq3AJ5eI5OnqOPBNLWSHKh2a30DoXe8/edit?usp=sharing"",""ชุมพร!M451"")"),0)</f>
        <v>0</v>
      </c>
      <c r="O556" s="176"/>
      <c r="P556" s="176"/>
    </row>
    <row r="557" spans="1:16" ht="21.75" customHeight="1" x14ac:dyDescent="0.35">
      <c r="A557" s="381"/>
      <c r="B557" s="382"/>
      <c r="C557" s="163"/>
      <c r="D557" s="383"/>
      <c r="E557" s="165"/>
      <c r="F557" s="165"/>
      <c r="G557" s="384" t="s">
        <v>132</v>
      </c>
      <c r="H557" s="167" t="s">
        <v>12</v>
      </c>
      <c r="I557" s="195"/>
      <c r="J557" s="195"/>
      <c r="K557" s="231"/>
      <c r="L557" s="176"/>
      <c r="M557" s="176"/>
      <c r="N557" s="173">
        <f ca="1">IFERROR(__xludf.DUMMYFUNCTION("IMPORTRANGE(""https://docs.google.com/spreadsheets/d/1IYY_tgx_IHuhSq3AJ5eI5OnqOPBNLWSHKh2a30DoXe8/edit?usp=sharing"",""ชุมพร!M452"")"),0)</f>
        <v>0</v>
      </c>
      <c r="O557" s="176"/>
      <c r="P557" s="176"/>
    </row>
    <row r="558" spans="1:16" ht="21.75" customHeight="1" x14ac:dyDescent="0.35">
      <c r="A558" s="381"/>
      <c r="B558" s="382"/>
      <c r="C558" s="163"/>
      <c r="D558" s="383"/>
      <c r="E558" s="165"/>
      <c r="F558" s="165"/>
      <c r="G558" s="384" t="s">
        <v>133</v>
      </c>
      <c r="H558" s="167" t="s">
        <v>12</v>
      </c>
      <c r="I558" s="195"/>
      <c r="J558" s="195"/>
      <c r="K558" s="231"/>
      <c r="L558" s="176"/>
      <c r="M558" s="176"/>
      <c r="N558" s="173">
        <f ca="1">IFERROR(__xludf.DUMMYFUNCTION("IMPORTRANGE(""https://docs.google.com/spreadsheets/d/1IYY_tgx_IHuhSq3AJ5eI5OnqOPBNLWSHKh2a30DoXe8/edit?usp=sharing"",""ชุมพร!M453"")"),0)</f>
        <v>0</v>
      </c>
      <c r="O558" s="176"/>
      <c r="P558" s="176"/>
    </row>
    <row r="559" spans="1:16" ht="21.75" customHeight="1" x14ac:dyDescent="0.35">
      <c r="A559" s="381"/>
      <c r="B559" s="382"/>
      <c r="C559" s="163"/>
      <c r="D559" s="383"/>
      <c r="E559" s="165"/>
      <c r="F559" s="165"/>
      <c r="G559" s="384" t="s">
        <v>134</v>
      </c>
      <c r="H559" s="167" t="s">
        <v>12</v>
      </c>
      <c r="I559" s="195"/>
      <c r="J559" s="195"/>
      <c r="K559" s="231"/>
      <c r="L559" s="176"/>
      <c r="M559" s="176"/>
      <c r="N559" s="173">
        <f ca="1">IFERROR(__xludf.DUMMYFUNCTION("IMPORTRANGE(""https://docs.google.com/spreadsheets/d/1IYY_tgx_IHuhSq3AJ5eI5OnqOPBNLWSHKh2a30DoXe8/edit?usp=sharing"",""ชุมพร!M454"")"),0)</f>
        <v>0</v>
      </c>
      <c r="O559" s="176"/>
      <c r="P559" s="176"/>
    </row>
    <row r="560" spans="1:16" ht="21.75" customHeight="1" x14ac:dyDescent="0.35">
      <c r="A560" s="183"/>
      <c r="B560" s="184"/>
      <c r="C560" s="184"/>
      <c r="D560" s="201"/>
      <c r="E560" s="203"/>
      <c r="F560" s="285" t="s">
        <v>206</v>
      </c>
      <c r="G560" s="204"/>
      <c r="H560" s="481" t="s">
        <v>122</v>
      </c>
      <c r="I560" s="168">
        <f ca="1">IFERROR(__xludf.DUMMYFUNCTION("IMPORTRANGE(""https://docs.google.com/spreadsheets/d/1IYY_tgx_IHuhSq3AJ5eI5OnqOPBNLWSHKh2a30DoXe8/edit?usp=sharing"",""ชุมพร!I455"")"),0)</f>
        <v>0</v>
      </c>
      <c r="J560" s="168">
        <f ca="1">IFERROR(__xludf.DUMMYFUNCTION("IMPORTRANGE(""https://docs.google.com/spreadsheets/d/1IYY_tgx_IHuhSq3AJ5eI5OnqOPBNLWSHKh2a30DoXe8/edit?usp=sharing"",""ชุมพร!J455"")"),0)</f>
        <v>0</v>
      </c>
      <c r="K560" s="231">
        <f t="shared" ref="K560:K564" ca="1" si="121">IF(I560&gt;0,J560*100/I560,0)</f>
        <v>0</v>
      </c>
      <c r="L560" s="176"/>
      <c r="M560" s="176"/>
      <c r="N560" s="176"/>
      <c r="O560" s="189"/>
      <c r="P560" s="189"/>
    </row>
    <row r="561" spans="1:16" ht="21.75" customHeight="1" x14ac:dyDescent="0.35">
      <c r="A561" s="183"/>
      <c r="B561" s="184"/>
      <c r="C561" s="184"/>
      <c r="D561" s="201"/>
      <c r="E561" s="203"/>
      <c r="F561" s="203"/>
      <c r="G561" s="204"/>
      <c r="H561" s="481" t="s">
        <v>36</v>
      </c>
      <c r="I561" s="168">
        <f ca="1">IFERROR(__xludf.DUMMYFUNCTION("IMPORTRANGE(""https://docs.google.com/spreadsheets/d/1IYY_tgx_IHuhSq3AJ5eI5OnqOPBNLWSHKh2a30DoXe8/edit?usp=sharing"",""ชุมพร!I456"")"),0)</f>
        <v>0</v>
      </c>
      <c r="J561" s="211">
        <f ca="1">IFERROR(__xludf.DUMMYFUNCTION("IMPORTRANGE(""https://docs.google.com/spreadsheets/d/1IYY_tgx_IHuhSq3AJ5eI5OnqOPBNLWSHKh2a30DoXe8/edit?usp=sharing"",""ชุมพร!J456"")"),0)</f>
        <v>0</v>
      </c>
      <c r="K561" s="231">
        <f t="shared" ca="1" si="121"/>
        <v>0</v>
      </c>
      <c r="L561" s="176"/>
      <c r="M561" s="176"/>
      <c r="N561" s="176"/>
      <c r="O561" s="189"/>
      <c r="P561" s="189"/>
    </row>
    <row r="562" spans="1:16" ht="21.75" customHeight="1" x14ac:dyDescent="0.35">
      <c r="A562" s="183"/>
      <c r="B562" s="184"/>
      <c r="C562" s="184"/>
      <c r="D562" s="201"/>
      <c r="E562" s="203"/>
      <c r="F562" s="203" t="s">
        <v>207</v>
      </c>
      <c r="G562" s="204"/>
      <c r="H562" s="481" t="s">
        <v>122</v>
      </c>
      <c r="I562" s="168">
        <f ca="1">IFERROR(__xludf.DUMMYFUNCTION("IMPORTRANGE(""https://docs.google.com/spreadsheets/d/1IYY_tgx_IHuhSq3AJ5eI5OnqOPBNLWSHKh2a30DoXe8/edit?usp=sharing"",""ชุมพร!I457"")"),0)</f>
        <v>0</v>
      </c>
      <c r="J562" s="211" t="str">
        <f ca="1">IFERROR(__xludf.DUMMYFUNCTION("IMPORTRANGE(""https://docs.google.com/spreadsheets/d/1IYY_tgx_IHuhSq3AJ5eI5OnqOPBNLWSHKh2a30DoXe8/edit?usp=sharing"",""ชุมพร!J457"")"),"")</f>
        <v/>
      </c>
      <c r="K562" s="169">
        <f t="shared" ca="1" si="121"/>
        <v>0</v>
      </c>
      <c r="L562" s="189"/>
      <c r="M562" s="189"/>
      <c r="N562" s="189"/>
      <c r="O562" s="189"/>
      <c r="P562" s="189"/>
    </row>
    <row r="563" spans="1:16" ht="21.75" customHeight="1" x14ac:dyDescent="0.35">
      <c r="A563" s="183"/>
      <c r="B563" s="184"/>
      <c r="C563" s="184"/>
      <c r="D563" s="201"/>
      <c r="E563" s="203"/>
      <c r="F563" s="203"/>
      <c r="G563" s="204"/>
      <c r="H563" s="481" t="s">
        <v>36</v>
      </c>
      <c r="I563" s="168">
        <f ca="1">IFERROR(__xludf.DUMMYFUNCTION("IMPORTRANGE(""https://docs.google.com/spreadsheets/d/1IYY_tgx_IHuhSq3AJ5eI5OnqOPBNLWSHKh2a30DoXe8/edit?usp=sharing"",""ชุมพร!I458"")"),0)</f>
        <v>0</v>
      </c>
      <c r="J563" s="195" t="str">
        <f ca="1">IFERROR(__xludf.DUMMYFUNCTION("IMPORTRANGE(""https://docs.google.com/spreadsheets/d/1IYY_tgx_IHuhSq3AJ5eI5OnqOPBNLWSHKh2a30DoXe8/edit?usp=sharing"",""ชุมพร!J458"")"),"")</f>
        <v/>
      </c>
      <c r="K563" s="169">
        <f t="shared" ca="1" si="121"/>
        <v>0</v>
      </c>
      <c r="L563" s="189"/>
      <c r="M563" s="189"/>
      <c r="N563" s="189"/>
      <c r="O563" s="189"/>
      <c r="P563" s="189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IFERROR(__xludf.DUMMYFUNCTION("IMPORTRANGE(""https://docs.google.com/spreadsheets/d/1IYY_tgx_IHuhSq3AJ5eI5OnqOPBNLWSHKh2a30DoXe8/edit?usp=sharing"",""ชุมพร!I459"")"),1500)</f>
        <v>1500</v>
      </c>
      <c r="J564" s="377">
        <f ca="1">IFERROR(__xludf.DUMMYFUNCTION("IMPORTRANGE(""https://docs.google.com/spreadsheets/d/1IYY_tgx_IHuhSq3AJ5eI5OnqOPBNLWSHKh2a30DoXe8/edit?usp=sharing"",""ชุมพร!J459"")"),2366)</f>
        <v>2366</v>
      </c>
      <c r="K564" s="378">
        <f t="shared" ca="1" si="121"/>
        <v>157.73333333333332</v>
      </c>
      <c r="L564" s="379">
        <f ca="1">IFERROR(__xludf.DUMMYFUNCTION("IMPORTRANGE(""https://docs.google.com/spreadsheets/d/1IYY_tgx_IHuhSq3AJ5eI5OnqOPBNLWSHKh2a30DoXe8/edit?usp=sharing"",""ชุมพร!L459"")"),136000)</f>
        <v>136000</v>
      </c>
      <c r="M564" s="379"/>
      <c r="N564" s="379">
        <f ca="1">IFERROR(__xludf.DUMMYFUNCTION("IMPORTRANGE(""https://docs.google.com/spreadsheets/d/1IYY_tgx_IHuhSq3AJ5eI5OnqOPBNLWSHKh2a30DoXe8/edit?usp=sharing"",""ชุมพร!M459"")"),62936)</f>
        <v>62936</v>
      </c>
      <c r="O564" s="379">
        <f t="shared" ref="O564:O568" ca="1" si="122">+IF(L564&gt;0,N564*100/L564,0)</f>
        <v>46.276470588235291</v>
      </c>
      <c r="P564" s="379"/>
    </row>
    <row r="565" spans="1:16" ht="21.75" customHeight="1" x14ac:dyDescent="0.35">
      <c r="A565" s="162"/>
      <c r="B565" s="163"/>
      <c r="C565" s="163" t="s">
        <v>16</v>
      </c>
      <c r="D565" s="164" t="s">
        <v>38</v>
      </c>
      <c r="E565" s="165"/>
      <c r="F565" s="165"/>
      <c r="G565" s="166" t="s">
        <v>39</v>
      </c>
      <c r="H565" s="167" t="s">
        <v>12</v>
      </c>
      <c r="I565" s="168" t="s">
        <v>40</v>
      </c>
      <c r="J565" s="168"/>
      <c r="K565" s="169"/>
      <c r="L565" s="170">
        <f ca="1">IFERROR(__xludf.DUMMYFUNCTION("IMPORTRANGE(""https://docs.google.com/spreadsheets/d/1IYY_tgx_IHuhSq3AJ5eI5OnqOPBNLWSHKh2a30DoXe8/edit?usp=sharing"",""ชุมพร!L460"")"),0)</f>
        <v>0</v>
      </c>
      <c r="M565" s="170"/>
      <c r="N565" s="176">
        <f ca="1">IFERROR(__xludf.DUMMYFUNCTION("IMPORTRANGE(""https://docs.google.com/spreadsheets/d/1IYY_tgx_IHuhSq3AJ5eI5OnqOPBNLWSHKh2a30DoXe8/edit?usp=sharing"",""ชุมพร!M460"")"),0)</f>
        <v>0</v>
      </c>
      <c r="O565" s="176">
        <f t="shared" ca="1" si="122"/>
        <v>0</v>
      </c>
      <c r="P565" s="176"/>
    </row>
    <row r="566" spans="1:16" ht="21.75" customHeight="1" x14ac:dyDescent="0.35">
      <c r="A566" s="162"/>
      <c r="B566" s="163"/>
      <c r="C566" s="163"/>
      <c r="D566" s="172"/>
      <c r="E566" s="165"/>
      <c r="F566" s="165" t="s">
        <v>40</v>
      </c>
      <c r="G566" s="166" t="s">
        <v>41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IFERROR(__xludf.DUMMYFUNCTION("IMPORTRANGE(""https://docs.google.com/spreadsheets/d/1IYY_tgx_IHuhSq3AJ5eI5OnqOPBNLWSHKh2a30DoXe8/edit?usp=sharing"",""ชุมพร!L461"")"),136000)</f>
        <v>136000</v>
      </c>
      <c r="M566" s="171"/>
      <c r="N566" s="176">
        <f ca="1">IFERROR(__xludf.DUMMYFUNCTION("IMPORTRANGE(""https://docs.google.com/spreadsheets/d/1IYY_tgx_IHuhSq3AJ5eI5OnqOPBNLWSHKh2a30DoXe8/edit?usp=sharing"",""ชุมพร!M461"")"),62936)</f>
        <v>62936</v>
      </c>
      <c r="O566" s="176">
        <f t="shared" ca="1" si="122"/>
        <v>46.276470588235291</v>
      </c>
      <c r="P566" s="176"/>
    </row>
    <row r="567" spans="1:16" ht="21.75" customHeight="1" x14ac:dyDescent="0.35">
      <c r="A567" s="162"/>
      <c r="B567" s="163"/>
      <c r="C567" s="163"/>
      <c r="D567" s="172"/>
      <c r="E567" s="165"/>
      <c r="F567" s="165"/>
      <c r="G567" s="380" t="s">
        <v>129</v>
      </c>
      <c r="H567" s="167" t="s">
        <v>12</v>
      </c>
      <c r="I567" s="168"/>
      <c r="J567" s="168"/>
      <c r="K567" s="169"/>
      <c r="L567" s="176">
        <f ca="1">IFERROR(__xludf.DUMMYFUNCTION("IMPORTRANGE(""https://docs.google.com/spreadsheets/d/1IYY_tgx_IHuhSq3AJ5eI5OnqOPBNLWSHKh2a30DoXe8/edit?usp=sharing"",""ชุมพร!L462"")"),0)</f>
        <v>0</v>
      </c>
      <c r="M567" s="176"/>
      <c r="N567" s="176">
        <f ca="1">IFERROR(__xludf.DUMMYFUNCTION("IMPORTRANGE(""https://docs.google.com/spreadsheets/d/1IYY_tgx_IHuhSq3AJ5eI5OnqOPBNLWSHKh2a30DoXe8/edit?usp=sharing"",""ชุมพร!M462"")"),0)</f>
        <v>0</v>
      </c>
      <c r="O567" s="176">
        <f t="shared" ca="1" si="122"/>
        <v>0</v>
      </c>
      <c r="P567" s="176"/>
    </row>
    <row r="568" spans="1:16" ht="21.75" customHeight="1" x14ac:dyDescent="0.35">
      <c r="A568" s="162"/>
      <c r="B568" s="163"/>
      <c r="C568" s="163"/>
      <c r="D568" s="172"/>
      <c r="E568" s="165"/>
      <c r="F568" s="165"/>
      <c r="G568" s="380" t="s">
        <v>130</v>
      </c>
      <c r="H568" s="167" t="s">
        <v>12</v>
      </c>
      <c r="I568" s="168"/>
      <c r="J568" s="168"/>
      <c r="K568" s="169"/>
      <c r="L568" s="176">
        <f ca="1">IFERROR(__xludf.DUMMYFUNCTION("IMPORTRANGE(""https://docs.google.com/spreadsheets/d/1IYY_tgx_IHuhSq3AJ5eI5OnqOPBNLWSHKh2a30DoXe8/edit?usp=sharing"",""ชุมพร!L463"")"),136000)</f>
        <v>136000</v>
      </c>
      <c r="M568" s="176"/>
      <c r="N568" s="176">
        <f ca="1">IFERROR(__xludf.DUMMYFUNCTION("IMPORTRANGE(""https://docs.google.com/spreadsheets/d/1IYY_tgx_IHuhSq3AJ5eI5OnqOPBNLWSHKh2a30DoXe8/edit?usp=sharing"",""ชุมพร!M463"")"),62936)</f>
        <v>62936</v>
      </c>
      <c r="O568" s="176">
        <f t="shared" ca="1" si="122"/>
        <v>46.276470588235291</v>
      </c>
      <c r="P568" s="176"/>
    </row>
    <row r="569" spans="1:16" ht="21.75" customHeight="1" x14ac:dyDescent="0.35">
      <c r="A569" s="381"/>
      <c r="B569" s="382"/>
      <c r="C569" s="163"/>
      <c r="D569" s="383"/>
      <c r="E569" s="165"/>
      <c r="F569" s="165"/>
      <c r="G569" s="384" t="s">
        <v>131</v>
      </c>
      <c r="H569" s="167" t="s">
        <v>12</v>
      </c>
      <c r="I569" s="195"/>
      <c r="J569" s="195"/>
      <c r="K569" s="231"/>
      <c r="L569" s="176"/>
      <c r="M569" s="176"/>
      <c r="N569" s="173">
        <f ca="1">IFERROR(__xludf.DUMMYFUNCTION("IMPORTRANGE(""https://docs.google.com/spreadsheets/d/1IYY_tgx_IHuhSq3AJ5eI5OnqOPBNLWSHKh2a30DoXe8/edit?usp=sharing"",""ชุมพร!M464"")"),0)</f>
        <v>0</v>
      </c>
      <c r="O569" s="176"/>
      <c r="P569" s="176"/>
    </row>
    <row r="570" spans="1:16" ht="21.75" customHeight="1" x14ac:dyDescent="0.35">
      <c r="A570" s="381"/>
      <c r="B570" s="382"/>
      <c r="C570" s="163"/>
      <c r="D570" s="383"/>
      <c r="E570" s="165"/>
      <c r="F570" s="165"/>
      <c r="G570" s="384" t="s">
        <v>132</v>
      </c>
      <c r="H570" s="167" t="s">
        <v>12</v>
      </c>
      <c r="I570" s="195"/>
      <c r="J570" s="195"/>
      <c r="K570" s="231"/>
      <c r="L570" s="176"/>
      <c r="M570" s="176"/>
      <c r="N570" s="173">
        <f ca="1">IFERROR(__xludf.DUMMYFUNCTION("IMPORTRANGE(""https://docs.google.com/spreadsheets/d/1IYY_tgx_IHuhSq3AJ5eI5OnqOPBNLWSHKh2a30DoXe8/edit?usp=sharing"",""ชุมพร!M465"")"),0)</f>
        <v>0</v>
      </c>
      <c r="O570" s="176"/>
      <c r="P570" s="176"/>
    </row>
    <row r="571" spans="1:16" ht="21.75" customHeight="1" x14ac:dyDescent="0.35">
      <c r="A571" s="381"/>
      <c r="B571" s="382"/>
      <c r="C571" s="163"/>
      <c r="D571" s="383"/>
      <c r="E571" s="165"/>
      <c r="F571" s="165"/>
      <c r="G571" s="384" t="s">
        <v>133</v>
      </c>
      <c r="H571" s="167" t="s">
        <v>12</v>
      </c>
      <c r="I571" s="195"/>
      <c r="J571" s="195"/>
      <c r="K571" s="231"/>
      <c r="L571" s="176"/>
      <c r="M571" s="176"/>
      <c r="N571" s="385">
        <f ca="1">IFERROR(__xludf.DUMMYFUNCTION("IMPORTRANGE(""https://docs.google.com/spreadsheets/d/1IYY_tgx_IHuhSq3AJ5eI5OnqOPBNLWSHKh2a30DoXe8/edit?usp=sharing"",""ชุมพร!M466"")"),41441)</f>
        <v>41441</v>
      </c>
      <c r="O571" s="176"/>
      <c r="P571" s="176"/>
    </row>
    <row r="572" spans="1:16" ht="21.75" customHeight="1" x14ac:dyDescent="0.35">
      <c r="A572" s="381"/>
      <c r="B572" s="382"/>
      <c r="C572" s="163"/>
      <c r="D572" s="383"/>
      <c r="E572" s="165"/>
      <c r="F572" s="165"/>
      <c r="G572" s="384" t="s">
        <v>134</v>
      </c>
      <c r="H572" s="167" t="s">
        <v>12</v>
      </c>
      <c r="I572" s="195"/>
      <c r="J572" s="195"/>
      <c r="K572" s="231"/>
      <c r="L572" s="176"/>
      <c r="M572" s="176"/>
      <c r="N572" s="385">
        <f ca="1">IFERROR(__xludf.DUMMYFUNCTION("IMPORTRANGE(""https://docs.google.com/spreadsheets/d/1IYY_tgx_IHuhSq3AJ5eI5OnqOPBNLWSHKh2a30DoXe8/edit?usp=sharing"",""ชุมพร!M467"")"),21495)</f>
        <v>21495</v>
      </c>
      <c r="O572" s="176"/>
      <c r="P572" s="176"/>
    </row>
    <row r="573" spans="1:16" ht="21.75" customHeight="1" x14ac:dyDescent="0.35">
      <c r="A573" s="183"/>
      <c r="B573" s="184"/>
      <c r="C573" s="184"/>
      <c r="D573" s="203"/>
      <c r="E573" s="202" t="s">
        <v>40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IFERROR(__xludf.DUMMYFUNCTION("IMPORTRANGE(""https://docs.google.com/spreadsheets/d/1IYY_tgx_IHuhSq3AJ5eI5OnqOPBNLWSHKh2a30DoXe8/edit?usp=sharing"",""ชุมพร!I468"")"),1500)</f>
        <v>1500</v>
      </c>
      <c r="J573" s="426">
        <f ca="1">IFERROR(__xludf.DUMMYFUNCTION("IMPORTRANGE(""https://docs.google.com/spreadsheets/d/1IYY_tgx_IHuhSq3AJ5eI5OnqOPBNLWSHKh2a30DoXe8/edit?usp=sharing"",""ชุมพร!J468"")"),2366)</f>
        <v>2366</v>
      </c>
      <c r="K573" s="209">
        <f ca="1">IF(I573&gt;0,J573*100/I573,0)</f>
        <v>157.73333333333332</v>
      </c>
      <c r="L573" s="189"/>
      <c r="M573" s="189"/>
      <c r="N573" s="189"/>
      <c r="O573" s="189"/>
      <c r="P573" s="189"/>
    </row>
    <row r="574" spans="1:16" ht="21.75" customHeight="1" x14ac:dyDescent="0.35">
      <c r="A574" s="183"/>
      <c r="B574" s="184"/>
      <c r="C574" s="184"/>
      <c r="D574" s="203"/>
      <c r="E574" s="203"/>
      <c r="F574" s="202" t="s">
        <v>210</v>
      </c>
      <c r="G574" s="204"/>
      <c r="H574" s="481"/>
      <c r="I574" s="168"/>
      <c r="J574" s="168"/>
      <c r="K574" s="169"/>
      <c r="L574" s="189"/>
      <c r="M574" s="189"/>
      <c r="N574" s="189"/>
      <c r="O574" s="189"/>
      <c r="P574" s="189"/>
    </row>
    <row r="575" spans="1:16" ht="21.75" customHeight="1" x14ac:dyDescent="0.35">
      <c r="A575" s="183"/>
      <c r="B575" s="184"/>
      <c r="C575" s="184"/>
      <c r="D575" s="203"/>
      <c r="E575" s="202" t="s">
        <v>40</v>
      </c>
      <c r="F575" s="202" t="s">
        <v>211</v>
      </c>
      <c r="G575" s="204"/>
      <c r="H575" s="481" t="s">
        <v>77</v>
      </c>
      <c r="I575" s="210">
        <f ca="1">IFERROR(__xludf.DUMMYFUNCTION("IMPORTRANGE(""https://docs.google.com/spreadsheets/d/1IYY_tgx_IHuhSq3AJ5eI5OnqOPBNLWSHKh2a30DoXe8/edit?usp=sharing"",""ชุมพร!I470"")"),0)</f>
        <v>0</v>
      </c>
      <c r="J575" s="205">
        <f ca="1">IFERROR(__xludf.DUMMYFUNCTION("IMPORTRANGE(""https://docs.google.com/spreadsheets/d/1IYY_tgx_IHuhSq3AJ5eI5OnqOPBNLWSHKh2a30DoXe8/edit?usp=sharing"",""ชุมพร!J470"")"),0)</f>
        <v>0</v>
      </c>
      <c r="K575" s="169">
        <f t="shared" ref="K575:K579" ca="1" si="123">IF(I575&gt;0,J575*100/I575,0)</f>
        <v>0</v>
      </c>
      <c r="L575" s="189"/>
      <c r="M575" s="189"/>
      <c r="N575" s="189"/>
      <c r="O575" s="189"/>
      <c r="P575" s="189"/>
    </row>
    <row r="576" spans="1:16" ht="21.75" customHeight="1" x14ac:dyDescent="0.35">
      <c r="A576" s="183"/>
      <c r="B576" s="184"/>
      <c r="C576" s="184"/>
      <c r="D576" s="203"/>
      <c r="E576" s="203"/>
      <c r="F576" s="202" t="s">
        <v>212</v>
      </c>
      <c r="G576" s="204"/>
      <c r="H576" s="481" t="s">
        <v>37</v>
      </c>
      <c r="I576" s="210">
        <f ca="1">IFERROR(__xludf.DUMMYFUNCTION("IMPORTRANGE(""https://docs.google.com/spreadsheets/d/1IYY_tgx_IHuhSq3AJ5eI5OnqOPBNLWSHKh2a30DoXe8/edit?usp=sharing"",""ชุมพร!I471"")"),0)</f>
        <v>0</v>
      </c>
      <c r="J576" s="205">
        <f ca="1">IFERROR(__xludf.DUMMYFUNCTION("IMPORTRANGE(""https://docs.google.com/spreadsheets/d/1IYY_tgx_IHuhSq3AJ5eI5OnqOPBNLWSHKh2a30DoXe8/edit?usp=sharing"",""ชุมพร!J471"")"),0)</f>
        <v>0</v>
      </c>
      <c r="K576" s="169">
        <f t="shared" ca="1" si="123"/>
        <v>0</v>
      </c>
      <c r="L576" s="189"/>
      <c r="M576" s="189"/>
      <c r="N576" s="189"/>
      <c r="O576" s="189"/>
      <c r="P576" s="189"/>
    </row>
    <row r="577" spans="1:16" ht="21.75" customHeight="1" x14ac:dyDescent="0.35">
      <c r="A577" s="183"/>
      <c r="B577" s="184"/>
      <c r="C577" s="184"/>
      <c r="D577" s="203"/>
      <c r="E577" s="203"/>
      <c r="F577" s="202" t="s">
        <v>213</v>
      </c>
      <c r="G577" s="204"/>
      <c r="H577" s="481" t="s">
        <v>37</v>
      </c>
      <c r="I577" s="210">
        <f ca="1">IFERROR(__xludf.DUMMYFUNCTION("IMPORTRANGE(""https://docs.google.com/spreadsheets/d/1IYY_tgx_IHuhSq3AJ5eI5OnqOPBNLWSHKh2a30DoXe8/edit?usp=sharing"",""ชุมพร!I472"")"),0)</f>
        <v>0</v>
      </c>
      <c r="J577" s="196">
        <f ca="1">IFERROR(__xludf.DUMMYFUNCTION("IMPORTRANGE(""https://docs.google.com/spreadsheets/d/1IYY_tgx_IHuhSq3AJ5eI5OnqOPBNLWSHKh2a30DoXe8/edit?usp=sharing"",""ชุมพร!J472"")"),2366)</f>
        <v>2366</v>
      </c>
      <c r="K577" s="169">
        <f t="shared" ca="1" si="123"/>
        <v>0</v>
      </c>
      <c r="L577" s="189"/>
      <c r="M577" s="189"/>
      <c r="N577" s="189"/>
      <c r="O577" s="189"/>
      <c r="P577" s="189"/>
    </row>
    <row r="578" spans="1:16" ht="21.75" customHeight="1" x14ac:dyDescent="0.35">
      <c r="A578" s="183"/>
      <c r="B578" s="184"/>
      <c r="C578" s="184"/>
      <c r="D578" s="203"/>
      <c r="E578" s="203"/>
      <c r="F578" s="202" t="s">
        <v>214</v>
      </c>
      <c r="G578" s="427"/>
      <c r="H578" s="481" t="s">
        <v>37</v>
      </c>
      <c r="I578" s="210">
        <f ca="1">IFERROR(__xludf.DUMMYFUNCTION("IMPORTRANGE(""https://docs.google.com/spreadsheets/d/1IYY_tgx_IHuhSq3AJ5eI5OnqOPBNLWSHKh2a30DoXe8/edit?usp=sharing"",""ชุมพร!I473"")"),0)</f>
        <v>0</v>
      </c>
      <c r="J578" s="205">
        <f ca="1">IFERROR(__xludf.DUMMYFUNCTION("IMPORTRANGE(""https://docs.google.com/spreadsheets/d/1IYY_tgx_IHuhSq3AJ5eI5OnqOPBNLWSHKh2a30DoXe8/edit?usp=sharing"",""ชุมพร!J473"")"),0)</f>
        <v>0</v>
      </c>
      <c r="K578" s="169">
        <f t="shared" ca="1" si="123"/>
        <v>0</v>
      </c>
      <c r="L578" s="189"/>
      <c r="M578" s="189"/>
      <c r="N578" s="189"/>
      <c r="O578" s="189"/>
      <c r="P578" s="189"/>
    </row>
    <row r="579" spans="1:16" ht="21.75" customHeight="1" x14ac:dyDescent="0.35">
      <c r="A579" s="183"/>
      <c r="B579" s="184"/>
      <c r="C579" s="184"/>
      <c r="D579" s="203"/>
      <c r="E579" s="203"/>
      <c r="F579" s="202" t="s">
        <v>215</v>
      </c>
      <c r="G579" s="427"/>
      <c r="H579" s="481" t="s">
        <v>37</v>
      </c>
      <c r="I579" s="210">
        <f ca="1">IFERROR(__xludf.DUMMYFUNCTION("IMPORTRANGE(""https://docs.google.com/spreadsheets/d/1IYY_tgx_IHuhSq3AJ5eI5OnqOPBNLWSHKh2a30DoXe8/edit?usp=sharing"",""ชุมพร!I474"")"),0)</f>
        <v>0</v>
      </c>
      <c r="J579" s="205">
        <f ca="1">IFERROR(__xludf.DUMMYFUNCTION("IMPORTRANGE(""https://docs.google.com/spreadsheets/d/1IYY_tgx_IHuhSq3AJ5eI5OnqOPBNLWSHKh2a30DoXe8/edit?usp=sharing"",""ชุมพร!J474"")"),0)</f>
        <v>0</v>
      </c>
      <c r="K579" s="169">
        <f t="shared" ca="1" si="123"/>
        <v>0</v>
      </c>
      <c r="L579" s="189"/>
      <c r="M579" s="189"/>
      <c r="N579" s="189"/>
      <c r="O579" s="189"/>
      <c r="P579" s="189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IFERROR(__xludf.DUMMYFUNCTION("IMPORTRANGE(""https://docs.google.com/spreadsheets/d/1IYY_tgx_IHuhSq3AJ5eI5OnqOPBNLWSHKh2a30DoXe8/edit?usp=sharing"",""ชุมพร!I475"")"),0)</f>
        <v>0</v>
      </c>
      <c r="J580" s="377">
        <f ca="1">IFERROR(__xludf.DUMMYFUNCTION("IMPORTRANGE(""https://docs.google.com/spreadsheets/d/1IYY_tgx_IHuhSq3AJ5eI5OnqOPBNLWSHKh2a30DoXe8/edit?usp=sharing"",""ชุมพร!J475"")"),0)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IFERROR(__xludf.DUMMYFUNCTION("IMPORTRANGE(""https://docs.google.com/spreadsheets/d/1IYY_tgx_IHuhSq3AJ5eI5OnqOPBNLWSHKh2a30DoXe8/edit?usp=sharing"",""ชุมพร!L475"")"),0)</f>
        <v>0</v>
      </c>
      <c r="M580" s="379"/>
      <c r="N580" s="379">
        <f ca="1">IFERROR(__xludf.DUMMYFUNCTION("IMPORTRANGE(""https://docs.google.com/spreadsheets/d/1IYY_tgx_IHuhSq3AJ5eI5OnqOPBNLWSHKh2a30DoXe8/edit?usp=sharing"",""ชุมพร!M475"")"),0)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164" t="s">
        <v>38</v>
      </c>
      <c r="E581" s="165"/>
      <c r="F581" s="165"/>
      <c r="G581" s="166" t="s">
        <v>39</v>
      </c>
      <c r="H581" s="167" t="s">
        <v>12</v>
      </c>
      <c r="I581" s="168" t="s">
        <v>40</v>
      </c>
      <c r="J581" s="168"/>
      <c r="K581" s="169"/>
      <c r="L581" s="170">
        <f ca="1">IFERROR(__xludf.DUMMYFUNCTION("IMPORTRANGE(""https://docs.google.com/spreadsheets/d/1IYY_tgx_IHuhSq3AJ5eI5OnqOPBNLWSHKh2a30DoXe8/edit?usp=sharing"",""ชุมพร!L476"")"),0)</f>
        <v>0</v>
      </c>
      <c r="M581" s="170"/>
      <c r="N581" s="176">
        <f ca="1">IFERROR(__xludf.DUMMYFUNCTION("IMPORTRANGE(""https://docs.google.com/spreadsheets/d/1IYY_tgx_IHuhSq3AJ5eI5OnqOPBNLWSHKh2a30DoXe8/edit?usp=sharing"",""ชุมพร!M476"")"),0)</f>
        <v>0</v>
      </c>
      <c r="O581" s="176">
        <f t="shared" ca="1" si="124"/>
        <v>0</v>
      </c>
      <c r="P581" s="176"/>
    </row>
    <row r="582" spans="1:16" ht="21.75" customHeight="1" x14ac:dyDescent="0.35">
      <c r="A582" s="162"/>
      <c r="B582" s="163"/>
      <c r="C582" s="163"/>
      <c r="D582" s="172"/>
      <c r="E582" s="165"/>
      <c r="F582" s="165" t="s">
        <v>40</v>
      </c>
      <c r="G582" s="166" t="s">
        <v>41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IFERROR(__xludf.DUMMYFUNCTION("IMPORTRANGE(""https://docs.google.com/spreadsheets/d/1IYY_tgx_IHuhSq3AJ5eI5OnqOPBNLWSHKh2a30DoXe8/edit?usp=sharing"",""ชุมพร!L477"")"),0)</f>
        <v>0</v>
      </c>
      <c r="M582" s="171"/>
      <c r="N582" s="176">
        <f ca="1">IFERROR(__xludf.DUMMYFUNCTION("IMPORTRANGE(""https://docs.google.com/spreadsheets/d/1IYY_tgx_IHuhSq3AJ5eI5OnqOPBNLWSHKh2a30DoXe8/edit?usp=sharing"",""ชุมพร!M477"")"),0)</f>
        <v>0</v>
      </c>
      <c r="O582" s="176">
        <f t="shared" ca="1" si="124"/>
        <v>0</v>
      </c>
      <c r="P582" s="176"/>
    </row>
    <row r="583" spans="1:16" ht="21.75" customHeight="1" x14ac:dyDescent="0.35">
      <c r="A583" s="162"/>
      <c r="B583" s="163"/>
      <c r="C583" s="163"/>
      <c r="D583" s="172"/>
      <c r="E583" s="165"/>
      <c r="F583" s="165"/>
      <c r="G583" s="380" t="s">
        <v>129</v>
      </c>
      <c r="H583" s="167" t="s">
        <v>12</v>
      </c>
      <c r="I583" s="168"/>
      <c r="J583" s="168"/>
      <c r="K583" s="169"/>
      <c r="L583" s="176">
        <f ca="1">IFERROR(__xludf.DUMMYFUNCTION("IMPORTRANGE(""https://docs.google.com/spreadsheets/d/1IYY_tgx_IHuhSq3AJ5eI5OnqOPBNLWSHKh2a30DoXe8/edit?usp=sharing"",""ชุมพร!L478"")"),0)</f>
        <v>0</v>
      </c>
      <c r="M583" s="176"/>
      <c r="N583" s="176">
        <f ca="1">IFERROR(__xludf.DUMMYFUNCTION("IMPORTRANGE(""https://docs.google.com/spreadsheets/d/1IYY_tgx_IHuhSq3AJ5eI5OnqOPBNLWSHKh2a30DoXe8/edit?usp=sharing"",""ชุมพร!M478"")"),0)</f>
        <v>0</v>
      </c>
      <c r="O583" s="176">
        <f t="shared" ca="1" si="124"/>
        <v>0</v>
      </c>
      <c r="P583" s="176"/>
    </row>
    <row r="584" spans="1:16" ht="21.75" customHeight="1" x14ac:dyDescent="0.35">
      <c r="A584" s="162"/>
      <c r="B584" s="163"/>
      <c r="C584" s="163"/>
      <c r="D584" s="172"/>
      <c r="E584" s="165"/>
      <c r="F584" s="165"/>
      <c r="G584" s="380" t="s">
        <v>130</v>
      </c>
      <c r="H584" s="167" t="s">
        <v>12</v>
      </c>
      <c r="I584" s="168"/>
      <c r="J584" s="168"/>
      <c r="K584" s="169"/>
      <c r="L584" s="176">
        <f ca="1">IFERROR(__xludf.DUMMYFUNCTION("IMPORTRANGE(""https://docs.google.com/spreadsheets/d/1IYY_tgx_IHuhSq3AJ5eI5OnqOPBNLWSHKh2a30DoXe8/edit?usp=sharing"",""ชุมพร!L479"")"),0)</f>
        <v>0</v>
      </c>
      <c r="M584" s="176"/>
      <c r="N584" s="176">
        <f ca="1">IFERROR(__xludf.DUMMYFUNCTION("IMPORTRANGE(""https://docs.google.com/spreadsheets/d/1IYY_tgx_IHuhSq3AJ5eI5OnqOPBNLWSHKh2a30DoXe8/edit?usp=sharing"",""ชุมพร!M479"")"),0)</f>
        <v>0</v>
      </c>
      <c r="O584" s="176">
        <f t="shared" ca="1" si="124"/>
        <v>0</v>
      </c>
      <c r="P584" s="176"/>
    </row>
    <row r="585" spans="1:16" ht="21.75" customHeight="1" x14ac:dyDescent="0.35">
      <c r="A585" s="381"/>
      <c r="B585" s="382"/>
      <c r="C585" s="163"/>
      <c r="D585" s="383"/>
      <c r="E585" s="165"/>
      <c r="F585" s="165"/>
      <c r="G585" s="384" t="s">
        <v>131</v>
      </c>
      <c r="H585" s="167" t="s">
        <v>12</v>
      </c>
      <c r="I585" s="195"/>
      <c r="J585" s="195"/>
      <c r="K585" s="231"/>
      <c r="L585" s="176"/>
      <c r="M585" s="176"/>
      <c r="N585" s="173">
        <f ca="1">IFERROR(__xludf.DUMMYFUNCTION("IMPORTRANGE(""https://docs.google.com/spreadsheets/d/1IYY_tgx_IHuhSq3AJ5eI5OnqOPBNLWSHKh2a30DoXe8/edit?usp=sharing"",""ชุมพร!M480"")"),0)</f>
        <v>0</v>
      </c>
      <c r="O585" s="176"/>
      <c r="P585" s="176"/>
    </row>
    <row r="586" spans="1:16" ht="21.75" customHeight="1" x14ac:dyDescent="0.35">
      <c r="A586" s="381"/>
      <c r="B586" s="382"/>
      <c r="C586" s="163"/>
      <c r="D586" s="383"/>
      <c r="E586" s="165"/>
      <c r="F586" s="165"/>
      <c r="G586" s="384" t="s">
        <v>132</v>
      </c>
      <c r="H586" s="167" t="s">
        <v>12</v>
      </c>
      <c r="I586" s="195"/>
      <c r="J586" s="195"/>
      <c r="K586" s="231"/>
      <c r="L586" s="176"/>
      <c r="M586" s="176"/>
      <c r="N586" s="173">
        <f ca="1">IFERROR(__xludf.DUMMYFUNCTION("IMPORTRANGE(""https://docs.google.com/spreadsheets/d/1IYY_tgx_IHuhSq3AJ5eI5OnqOPBNLWSHKh2a30DoXe8/edit?usp=sharing"",""ชุมพร!M481"")"),0)</f>
        <v>0</v>
      </c>
      <c r="O586" s="176"/>
      <c r="P586" s="176"/>
    </row>
    <row r="587" spans="1:16" ht="21.75" customHeight="1" x14ac:dyDescent="0.35">
      <c r="A587" s="381"/>
      <c r="B587" s="382"/>
      <c r="C587" s="163"/>
      <c r="D587" s="383"/>
      <c r="E587" s="165"/>
      <c r="F587" s="165"/>
      <c r="G587" s="384" t="s">
        <v>133</v>
      </c>
      <c r="H587" s="167" t="s">
        <v>12</v>
      </c>
      <c r="I587" s="195"/>
      <c r="J587" s="195"/>
      <c r="K587" s="231"/>
      <c r="L587" s="176"/>
      <c r="M587" s="176"/>
      <c r="N587" s="173">
        <f ca="1">IFERROR(__xludf.DUMMYFUNCTION("IMPORTRANGE(""https://docs.google.com/spreadsheets/d/1IYY_tgx_IHuhSq3AJ5eI5OnqOPBNLWSHKh2a30DoXe8/edit?usp=sharing"",""ชุมพร!M482"")"),0)</f>
        <v>0</v>
      </c>
      <c r="O587" s="176"/>
      <c r="P587" s="176"/>
    </row>
    <row r="588" spans="1:16" ht="21.75" customHeight="1" x14ac:dyDescent="0.35">
      <c r="A588" s="381"/>
      <c r="B588" s="382"/>
      <c r="C588" s="163"/>
      <c r="D588" s="383"/>
      <c r="E588" s="165"/>
      <c r="F588" s="165"/>
      <c r="G588" s="384" t="s">
        <v>134</v>
      </c>
      <c r="H588" s="167" t="s">
        <v>12</v>
      </c>
      <c r="I588" s="195"/>
      <c r="J588" s="195"/>
      <c r="K588" s="231"/>
      <c r="L588" s="176"/>
      <c r="M588" s="176"/>
      <c r="N588" s="173">
        <f ca="1">IFERROR(__xludf.DUMMYFUNCTION("IMPORTRANGE(""https://docs.google.com/spreadsheets/d/1IYY_tgx_IHuhSq3AJ5eI5OnqOPBNLWSHKh2a30DoXe8/edit?usp=sharing"",""ชุมพร!M483"")"),0)</f>
        <v>0</v>
      </c>
      <c r="O588" s="176"/>
      <c r="P588" s="176"/>
    </row>
    <row r="589" spans="1:16" ht="21.75" customHeight="1" x14ac:dyDescent="0.35">
      <c r="A589" s="484"/>
      <c r="B589" s="172"/>
      <c r="C589" s="163"/>
      <c r="D589" s="297"/>
      <c r="E589" s="202" t="s">
        <v>217</v>
      </c>
      <c r="F589" s="203"/>
      <c r="G589" s="204"/>
      <c r="H589" s="188" t="s">
        <v>36</v>
      </c>
      <c r="I589" s="347">
        <f ca="1">IFERROR(__xludf.DUMMYFUNCTION("IMPORTRANGE(""https://docs.google.com/spreadsheets/d/1IYY_tgx_IHuhSq3AJ5eI5OnqOPBNLWSHKh2a30DoXe8/edit?usp=sharing"",""ชุมพร!I484"")"),0)</f>
        <v>0</v>
      </c>
      <c r="J589" s="195">
        <f ca="1">IFERROR(__xludf.DUMMYFUNCTION("IMPORTRANGE(""https://docs.google.com/spreadsheets/d/1IYY_tgx_IHuhSq3AJ5eI5OnqOPBNLWSHKh2a30DoXe8/edit?usp=sharing"",""ชุมพร!J484"")"),2)</f>
        <v>2</v>
      </c>
      <c r="K589" s="169">
        <f t="shared" ref="K589:K596" ca="1" si="125">IF(I589&gt;0,J589*100/I589,0)</f>
        <v>0</v>
      </c>
      <c r="L589" s="189"/>
      <c r="M589" s="189"/>
      <c r="N589" s="176"/>
      <c r="O589" s="189"/>
      <c r="P589" s="189"/>
    </row>
    <row r="590" spans="1:16" ht="21.75" customHeight="1" x14ac:dyDescent="0.35">
      <c r="A590" s="484"/>
      <c r="B590" s="172"/>
      <c r="C590" s="163"/>
      <c r="D590" s="297"/>
      <c r="E590" s="203"/>
      <c r="F590" s="203"/>
      <c r="G590" s="204"/>
      <c r="H590" s="188" t="s">
        <v>122</v>
      </c>
      <c r="I590" s="351">
        <f ca="1">IFERROR(__xludf.DUMMYFUNCTION("IMPORTRANGE(""https://docs.google.com/spreadsheets/d/1IYY_tgx_IHuhSq3AJ5eI5OnqOPBNLWSHKh2a30DoXe8/edit?usp=sharing"",""ชุมพร!I485"")"),0)</f>
        <v>0</v>
      </c>
      <c r="J590" s="195">
        <f ca="1">IFERROR(__xludf.DUMMYFUNCTION("IMPORTRANGE(""https://docs.google.com/spreadsheets/d/1IYY_tgx_IHuhSq3AJ5eI5OnqOPBNLWSHKh2a30DoXe8/edit?usp=sharing"",""ชุมพร!J485"")"),0.88)</f>
        <v>0.88</v>
      </c>
      <c r="K590" s="485">
        <f t="shared" ca="1" si="125"/>
        <v>0</v>
      </c>
      <c r="L590" s="189"/>
      <c r="M590" s="189"/>
      <c r="N590" s="176"/>
      <c r="O590" s="189"/>
      <c r="P590" s="189"/>
    </row>
    <row r="591" spans="1:16" ht="21.75" customHeight="1" x14ac:dyDescent="0.35">
      <c r="A591" s="484"/>
      <c r="B591" s="172"/>
      <c r="C591" s="163"/>
      <c r="D591" s="297"/>
      <c r="E591" s="202" t="s">
        <v>123</v>
      </c>
      <c r="F591" s="203"/>
      <c r="G591" s="204"/>
      <c r="H591" s="188" t="s">
        <v>37</v>
      </c>
      <c r="I591" s="347">
        <f ca="1">IFERROR(__xludf.DUMMYFUNCTION("IMPORTRANGE(""https://docs.google.com/spreadsheets/d/1IYY_tgx_IHuhSq3AJ5eI5OnqOPBNLWSHKh2a30DoXe8/edit?usp=sharing"",""ชุมพร!I486"")"),0)</f>
        <v>0</v>
      </c>
      <c r="J591" s="195">
        <f ca="1">IFERROR(__xludf.DUMMYFUNCTION("IMPORTRANGE(""https://docs.google.com/spreadsheets/d/1IYY_tgx_IHuhSq3AJ5eI5OnqOPBNLWSHKh2a30DoXe8/edit?usp=sharing"",""ชุมพร!J486"")"),1)</f>
        <v>1</v>
      </c>
      <c r="K591" s="169">
        <f t="shared" ca="1" si="125"/>
        <v>0</v>
      </c>
      <c r="L591" s="189"/>
      <c r="M591" s="189"/>
      <c r="N591" s="189"/>
      <c r="O591" s="189"/>
      <c r="P591" s="189"/>
    </row>
    <row r="592" spans="1:16" ht="21.75" customHeight="1" x14ac:dyDescent="0.35">
      <c r="A592" s="484"/>
      <c r="B592" s="172"/>
      <c r="C592" s="163"/>
      <c r="D592" s="297"/>
      <c r="E592" s="203"/>
      <c r="F592" s="203"/>
      <c r="G592" s="204"/>
      <c r="H592" s="188" t="s">
        <v>122</v>
      </c>
      <c r="I592" s="351">
        <f ca="1">IFERROR(__xludf.DUMMYFUNCTION("IMPORTRANGE(""https://docs.google.com/spreadsheets/d/1IYY_tgx_IHuhSq3AJ5eI5OnqOPBNLWSHKh2a30DoXe8/edit?usp=sharing"",""ชุมพร!I487"")"),0)</f>
        <v>0</v>
      </c>
      <c r="J592" s="195">
        <f ca="1">IFERROR(__xludf.DUMMYFUNCTION("IMPORTRANGE(""https://docs.google.com/spreadsheets/d/1IYY_tgx_IHuhSq3AJ5eI5OnqOPBNLWSHKh2a30DoXe8/edit?usp=sharing"",""ชุมพร!J487"")"),0.6)</f>
        <v>0.6</v>
      </c>
      <c r="K592" s="348">
        <f t="shared" ca="1" si="125"/>
        <v>0</v>
      </c>
      <c r="L592" s="189"/>
      <c r="M592" s="189"/>
      <c r="N592" s="189"/>
      <c r="O592" s="189"/>
      <c r="P592" s="189"/>
    </row>
    <row r="593" spans="1:16" ht="21.75" customHeight="1" x14ac:dyDescent="0.35">
      <c r="A593" s="484"/>
      <c r="B593" s="172"/>
      <c r="C593" s="163"/>
      <c r="D593" s="297"/>
      <c r="E593" s="202" t="s">
        <v>124</v>
      </c>
      <c r="F593" s="203"/>
      <c r="G593" s="204"/>
      <c r="H593" s="188" t="s">
        <v>37</v>
      </c>
      <c r="I593" s="347">
        <f ca="1">IFERROR(__xludf.DUMMYFUNCTION("IMPORTRANGE(""https://docs.google.com/spreadsheets/d/1IYY_tgx_IHuhSq3AJ5eI5OnqOPBNLWSHKh2a30DoXe8/edit?usp=sharing"",""ชุมพร!I488"")"),0)</f>
        <v>0</v>
      </c>
      <c r="J593" s="195">
        <f ca="1">IFERROR(__xludf.DUMMYFUNCTION("IMPORTRANGE(""https://docs.google.com/spreadsheets/d/1IYY_tgx_IHuhSq3AJ5eI5OnqOPBNLWSHKh2a30DoXe8/edit?usp=sharing"",""ชุมพร!J488"")"),0)</f>
        <v>0</v>
      </c>
      <c r="K593" s="169">
        <f t="shared" ca="1" si="125"/>
        <v>0</v>
      </c>
      <c r="L593" s="189"/>
      <c r="M593" s="189"/>
      <c r="N593" s="189"/>
      <c r="O593" s="189"/>
      <c r="P593" s="189"/>
    </row>
    <row r="594" spans="1:16" ht="21.75" customHeight="1" x14ac:dyDescent="0.35">
      <c r="A594" s="484"/>
      <c r="B594" s="172"/>
      <c r="C594" s="163"/>
      <c r="D594" s="297"/>
      <c r="E594" s="203"/>
      <c r="F594" s="203"/>
      <c r="G594" s="204"/>
      <c r="H594" s="188" t="s">
        <v>122</v>
      </c>
      <c r="I594" s="351">
        <f ca="1">IFERROR(__xludf.DUMMYFUNCTION("IMPORTRANGE(""https://docs.google.com/spreadsheets/d/1IYY_tgx_IHuhSq3AJ5eI5OnqOPBNLWSHKh2a30DoXe8/edit?usp=sharing"",""ชุมพร!I489"")"),0)</f>
        <v>0</v>
      </c>
      <c r="J594" s="195">
        <f ca="1">IFERROR(__xludf.DUMMYFUNCTION("IMPORTRANGE(""https://docs.google.com/spreadsheets/d/1IYY_tgx_IHuhSq3AJ5eI5OnqOPBNLWSHKh2a30DoXe8/edit?usp=sharing"",""ชุมพร!J489"")"),0)</f>
        <v>0</v>
      </c>
      <c r="K594" s="348">
        <f t="shared" ca="1" si="125"/>
        <v>0</v>
      </c>
      <c r="L594" s="189"/>
      <c r="M594" s="189"/>
      <c r="N594" s="189"/>
      <c r="O594" s="189"/>
      <c r="P594" s="189"/>
    </row>
    <row r="595" spans="1:16" ht="21.75" customHeight="1" x14ac:dyDescent="0.35">
      <c r="A595" s="484"/>
      <c r="B595" s="172"/>
      <c r="C595" s="163"/>
      <c r="D595" s="297"/>
      <c r="E595" s="202" t="s">
        <v>125</v>
      </c>
      <c r="F595" s="203"/>
      <c r="G595" s="204"/>
      <c r="H595" s="188" t="s">
        <v>37</v>
      </c>
      <c r="I595" s="347">
        <f ca="1">IFERROR(__xludf.DUMMYFUNCTION("IMPORTRANGE(""https://docs.google.com/spreadsheets/d/1IYY_tgx_IHuhSq3AJ5eI5OnqOPBNLWSHKh2a30DoXe8/edit?usp=sharing"",""ชุมพร!I490"")"),0)</f>
        <v>0</v>
      </c>
      <c r="J595" s="195">
        <f ca="1">IFERROR(__xludf.DUMMYFUNCTION("IMPORTRANGE(""https://docs.google.com/spreadsheets/d/1IYY_tgx_IHuhSq3AJ5eI5OnqOPBNLWSHKh2a30DoXe8/edit?usp=sharing"",""ชุมพร!J490"")"),0)</f>
        <v>0</v>
      </c>
      <c r="K595" s="169">
        <f t="shared" ca="1" si="125"/>
        <v>0</v>
      </c>
      <c r="L595" s="189"/>
      <c r="M595" s="189"/>
      <c r="N595" s="189"/>
      <c r="O595" s="189"/>
      <c r="P595" s="189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IFERROR(__xludf.DUMMYFUNCTION("IMPORTRANGE(""https://docs.google.com/spreadsheets/d/1IYY_tgx_IHuhSq3AJ5eI5OnqOPBNLWSHKh2a30DoXe8/edit?usp=sharing"",""ชุมพร!I491"")"),0)</f>
        <v>0</v>
      </c>
      <c r="J596" s="248">
        <f ca="1">IFERROR(__xludf.DUMMYFUNCTION("IMPORTRANGE(""https://docs.google.com/spreadsheets/d/1IYY_tgx_IHuhSq3AJ5eI5OnqOPBNLWSHKh2a30DoXe8/edit?usp=sharing"",""ชุมพร!J491"")"),0)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IFERROR(__xludf.DUMMYFUNCTION("IMPORTRANGE(""https://docs.google.com/spreadsheets/d/1IYY_tgx_IHuhSq3AJ5eI5OnqOPBNLWSHKh2a30DoXe8/edit?usp=sharing"",""ชุมพร!I492"")"),100)</f>
        <v>100</v>
      </c>
      <c r="J597" s="493">
        <f ca="1">IFERROR(__xludf.DUMMYFUNCTION("IMPORTRANGE(""https://docs.google.com/spreadsheets/d/1IYY_tgx_IHuhSq3AJ5eI5OnqOPBNLWSHKh2a30DoXe8/edit?usp=sharing"",""ชุมพร!J492"")"),0)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IFERROR(__xludf.DUMMYFUNCTION("IMPORTRANGE(""https://docs.google.com/spreadsheets/d/1IYY_tgx_IHuhSq3AJ5eI5OnqOPBNLWSHKh2a30DoXe8/edit?usp=sharing"",""ชุมพร!L492"")"),12900)</f>
        <v>12900</v>
      </c>
      <c r="M597" s="418"/>
      <c r="N597" s="418">
        <f ca="1">IFERROR(__xludf.DUMMYFUNCTION("IMPORTRANGE(""https://docs.google.com/spreadsheets/d/1IYY_tgx_IHuhSq3AJ5eI5OnqOPBNLWSHKh2a30DoXe8/edit?usp=sharing"",""ชุมพร!M492"")"),3200)</f>
        <v>3200</v>
      </c>
      <c r="O597" s="418">
        <f t="shared" ref="O597:O601" ca="1" si="126">+IF(L597&gt;0,N597*100/L597,0)</f>
        <v>24.806201550387598</v>
      </c>
      <c r="P597" s="418"/>
    </row>
    <row r="598" spans="1:16" ht="21.75" customHeight="1" x14ac:dyDescent="0.35">
      <c r="A598" s="162"/>
      <c r="B598" s="163"/>
      <c r="C598" s="163" t="s">
        <v>16</v>
      </c>
      <c r="D598" s="164" t="s">
        <v>38</v>
      </c>
      <c r="E598" s="165"/>
      <c r="F598" s="165"/>
      <c r="G598" s="166" t="s">
        <v>39</v>
      </c>
      <c r="H598" s="167" t="s">
        <v>12</v>
      </c>
      <c r="I598" s="168" t="s">
        <v>40</v>
      </c>
      <c r="J598" s="168"/>
      <c r="K598" s="169"/>
      <c r="L598" s="170">
        <f ca="1">IFERROR(__xludf.DUMMYFUNCTION("IMPORTRANGE(""https://docs.google.com/spreadsheets/d/1IYY_tgx_IHuhSq3AJ5eI5OnqOPBNLWSHKh2a30DoXe8/edit?usp=sharing"",""ชุมพร!L493"")"),0)</f>
        <v>0</v>
      </c>
      <c r="M598" s="170"/>
      <c r="N598" s="176">
        <f ca="1">IFERROR(__xludf.DUMMYFUNCTION("IMPORTRANGE(""https://docs.google.com/spreadsheets/d/1IYY_tgx_IHuhSq3AJ5eI5OnqOPBNLWSHKh2a30DoXe8/edit?usp=sharing"",""ชุมพร!M493"")"),0)</f>
        <v>0</v>
      </c>
      <c r="O598" s="176">
        <f t="shared" ca="1" si="126"/>
        <v>0</v>
      </c>
      <c r="P598" s="176"/>
    </row>
    <row r="599" spans="1:16" ht="21.75" customHeight="1" x14ac:dyDescent="0.35">
      <c r="A599" s="162"/>
      <c r="B599" s="163"/>
      <c r="C599" s="163"/>
      <c r="D599" s="172"/>
      <c r="E599" s="165"/>
      <c r="F599" s="165" t="s">
        <v>40</v>
      </c>
      <c r="G599" s="166" t="s">
        <v>41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IFERROR(__xludf.DUMMYFUNCTION("IMPORTRANGE(""https://docs.google.com/spreadsheets/d/1IYY_tgx_IHuhSq3AJ5eI5OnqOPBNLWSHKh2a30DoXe8/edit?usp=sharing"",""ชุมพร!L494"")"),12900)</f>
        <v>12900</v>
      </c>
      <c r="M599" s="171"/>
      <c r="N599" s="176">
        <f ca="1">IFERROR(__xludf.DUMMYFUNCTION("IMPORTRANGE(""https://docs.google.com/spreadsheets/d/1IYY_tgx_IHuhSq3AJ5eI5OnqOPBNLWSHKh2a30DoXe8/edit?usp=sharing"",""ชุมพร!M494"")"),3200)</f>
        <v>3200</v>
      </c>
      <c r="O599" s="176">
        <f t="shared" ca="1" si="126"/>
        <v>24.806201550387598</v>
      </c>
      <c r="P599" s="176"/>
    </row>
    <row r="600" spans="1:16" ht="21.75" customHeight="1" x14ac:dyDescent="0.35">
      <c r="A600" s="162"/>
      <c r="B600" s="163"/>
      <c r="C600" s="163"/>
      <c r="D600" s="172"/>
      <c r="E600" s="165"/>
      <c r="F600" s="165"/>
      <c r="G600" s="380" t="s">
        <v>129</v>
      </c>
      <c r="H600" s="167" t="s">
        <v>12</v>
      </c>
      <c r="I600" s="168"/>
      <c r="J600" s="168"/>
      <c r="K600" s="169"/>
      <c r="L600" s="176">
        <f ca="1">IFERROR(__xludf.DUMMYFUNCTION("IMPORTRANGE(""https://docs.google.com/spreadsheets/d/1IYY_tgx_IHuhSq3AJ5eI5OnqOPBNLWSHKh2a30DoXe8/edit?usp=sharing"",""ชุมพร!L495"")"),0)</f>
        <v>0</v>
      </c>
      <c r="M600" s="176"/>
      <c r="N600" s="176">
        <f ca="1">IFERROR(__xludf.DUMMYFUNCTION("IMPORTRANGE(""https://docs.google.com/spreadsheets/d/1IYY_tgx_IHuhSq3AJ5eI5OnqOPBNLWSHKh2a30DoXe8/edit?usp=sharing"",""ชุมพร!M495"")"),0)</f>
        <v>0</v>
      </c>
      <c r="O600" s="176">
        <f t="shared" ca="1" si="126"/>
        <v>0</v>
      </c>
      <c r="P600" s="176"/>
    </row>
    <row r="601" spans="1:16" ht="21.75" customHeight="1" x14ac:dyDescent="0.35">
      <c r="A601" s="162"/>
      <c r="B601" s="163"/>
      <c r="C601" s="163"/>
      <c r="D601" s="172"/>
      <c r="E601" s="165"/>
      <c r="F601" s="165"/>
      <c r="G601" s="380" t="s">
        <v>130</v>
      </c>
      <c r="H601" s="167" t="s">
        <v>12</v>
      </c>
      <c r="I601" s="168"/>
      <c r="J601" s="168"/>
      <c r="K601" s="169"/>
      <c r="L601" s="176">
        <f ca="1">IFERROR(__xludf.DUMMYFUNCTION("IMPORTRANGE(""https://docs.google.com/spreadsheets/d/1IYY_tgx_IHuhSq3AJ5eI5OnqOPBNLWSHKh2a30DoXe8/edit?usp=sharing"",""ชุมพร!L496"")"),12900)</f>
        <v>12900</v>
      </c>
      <c r="M601" s="176"/>
      <c r="N601" s="176">
        <f ca="1">IFERROR(__xludf.DUMMYFUNCTION("IMPORTRANGE(""https://docs.google.com/spreadsheets/d/1IYY_tgx_IHuhSq3AJ5eI5OnqOPBNLWSHKh2a30DoXe8/edit?usp=sharing"",""ชุมพร!M496"")"),3200)</f>
        <v>3200</v>
      </c>
      <c r="O601" s="176">
        <f t="shared" ca="1" si="126"/>
        <v>24.806201550387598</v>
      </c>
      <c r="P601" s="176"/>
    </row>
    <row r="602" spans="1:16" ht="21.75" customHeight="1" x14ac:dyDescent="0.35">
      <c r="A602" s="381"/>
      <c r="B602" s="382"/>
      <c r="C602" s="163"/>
      <c r="D602" s="383"/>
      <c r="E602" s="165"/>
      <c r="F602" s="165"/>
      <c r="G602" s="384" t="s">
        <v>131</v>
      </c>
      <c r="H602" s="167" t="s">
        <v>12</v>
      </c>
      <c r="I602" s="195"/>
      <c r="J602" s="195"/>
      <c r="K602" s="231"/>
      <c r="L602" s="176"/>
      <c r="M602" s="176"/>
      <c r="N602" s="173">
        <f ca="1">IFERROR(__xludf.DUMMYFUNCTION("IMPORTRANGE(""https://docs.google.com/spreadsheets/d/1IYY_tgx_IHuhSq3AJ5eI5OnqOPBNLWSHKh2a30DoXe8/edit?usp=sharing"",""ชุมพร!M497"")"),0)</f>
        <v>0</v>
      </c>
      <c r="O602" s="176"/>
      <c r="P602" s="176"/>
    </row>
    <row r="603" spans="1:16" ht="21.75" customHeight="1" x14ac:dyDescent="0.35">
      <c r="A603" s="381"/>
      <c r="B603" s="382"/>
      <c r="C603" s="163"/>
      <c r="D603" s="383"/>
      <c r="E603" s="165"/>
      <c r="F603" s="165"/>
      <c r="G603" s="384" t="s">
        <v>132</v>
      </c>
      <c r="H603" s="167" t="s">
        <v>12</v>
      </c>
      <c r="I603" s="195"/>
      <c r="J603" s="195"/>
      <c r="K603" s="231"/>
      <c r="L603" s="176"/>
      <c r="M603" s="176"/>
      <c r="N603" s="173">
        <f ca="1">IFERROR(__xludf.DUMMYFUNCTION("IMPORTRANGE(""https://docs.google.com/spreadsheets/d/1IYY_tgx_IHuhSq3AJ5eI5OnqOPBNLWSHKh2a30DoXe8/edit?usp=sharing"",""ชุมพร!M498"")"),0)</f>
        <v>0</v>
      </c>
      <c r="O603" s="176"/>
      <c r="P603" s="176"/>
    </row>
    <row r="604" spans="1:16" ht="21.75" customHeight="1" x14ac:dyDescent="0.35">
      <c r="A604" s="381"/>
      <c r="B604" s="382"/>
      <c r="C604" s="163"/>
      <c r="D604" s="383"/>
      <c r="E604" s="165"/>
      <c r="F604" s="165"/>
      <c r="G604" s="384" t="s">
        <v>133</v>
      </c>
      <c r="H604" s="167" t="s">
        <v>12</v>
      </c>
      <c r="I604" s="195"/>
      <c r="J604" s="195"/>
      <c r="K604" s="231"/>
      <c r="L604" s="176"/>
      <c r="M604" s="176"/>
      <c r="N604" s="385">
        <f ca="1">IFERROR(__xludf.DUMMYFUNCTION("IMPORTRANGE(""https://docs.google.com/spreadsheets/d/1IYY_tgx_IHuhSq3AJ5eI5OnqOPBNLWSHKh2a30DoXe8/edit?usp=sharing"",""ชุมพร!M499"")"),0)</f>
        <v>0</v>
      </c>
      <c r="O604" s="176"/>
      <c r="P604" s="176"/>
    </row>
    <row r="605" spans="1:16" ht="21.75" customHeight="1" x14ac:dyDescent="0.35">
      <c r="A605" s="381"/>
      <c r="B605" s="382"/>
      <c r="C605" s="163"/>
      <c r="D605" s="383"/>
      <c r="E605" s="165"/>
      <c r="F605" s="165"/>
      <c r="G605" s="384" t="s">
        <v>134</v>
      </c>
      <c r="H605" s="167" t="s">
        <v>12</v>
      </c>
      <c r="I605" s="195"/>
      <c r="J605" s="195"/>
      <c r="K605" s="231"/>
      <c r="L605" s="176"/>
      <c r="M605" s="176"/>
      <c r="N605" s="385">
        <f ca="1">IFERROR(__xludf.DUMMYFUNCTION("IMPORTRANGE(""https://docs.google.com/spreadsheets/d/1IYY_tgx_IHuhSq3AJ5eI5OnqOPBNLWSHKh2a30DoXe8/edit?usp=sharing"",""ชุมพร!M500"")"),3200)</f>
        <v>3200</v>
      </c>
      <c r="O605" s="176"/>
      <c r="P605" s="176"/>
    </row>
    <row r="606" spans="1:16" ht="21.75" customHeight="1" x14ac:dyDescent="0.35">
      <c r="A606" s="183"/>
      <c r="B606" s="184"/>
      <c r="C606" s="163" t="s">
        <v>16</v>
      </c>
      <c r="D606" s="185" t="s">
        <v>44</v>
      </c>
      <c r="E606" s="186"/>
      <c r="F606" s="186"/>
      <c r="G606" s="187"/>
      <c r="H606" s="188"/>
      <c r="I606" s="168"/>
      <c r="J606" s="168"/>
      <c r="K606" s="169"/>
      <c r="L606" s="189"/>
      <c r="M606" s="189"/>
      <c r="N606" s="189"/>
      <c r="O606" s="189"/>
      <c r="P606" s="189"/>
    </row>
    <row r="607" spans="1:16" ht="21.75" customHeight="1" x14ac:dyDescent="0.35">
      <c r="A607" s="183"/>
      <c r="B607" s="184"/>
      <c r="C607" s="184"/>
      <c r="D607" s="190">
        <v>1</v>
      </c>
      <c r="E607" s="191" t="s">
        <v>45</v>
      </c>
      <c r="F607" s="192"/>
      <c r="G607" s="193"/>
      <c r="H607" s="194"/>
      <c r="I607" s="195"/>
      <c r="J607" s="205">
        <f ca="1">IFERROR(__xludf.DUMMYFUNCTION("IMPORTRANGE(""https://docs.google.com/spreadsheets/d/1IYY_tgx_IHuhSq3AJ5eI5OnqOPBNLWSHKh2a30DoXe8/edit?usp=sharing"",""ชุมพร!J502"")"),0)</f>
        <v>0</v>
      </c>
      <c r="K607" s="169"/>
      <c r="L607" s="189"/>
      <c r="M607" s="189"/>
      <c r="N607" s="189"/>
      <c r="O607" s="189"/>
      <c r="P607" s="189"/>
    </row>
    <row r="608" spans="1:16" ht="21.75" customHeight="1" x14ac:dyDescent="0.35">
      <c r="A608" s="183"/>
      <c r="B608" s="184"/>
      <c r="C608" s="184"/>
      <c r="D608" s="197">
        <v>2</v>
      </c>
      <c r="E608" s="198" t="s">
        <v>46</v>
      </c>
      <c r="F608" s="199"/>
      <c r="G608" s="200"/>
      <c r="H608" s="194"/>
      <c r="I608" s="195"/>
      <c r="J608" s="205">
        <f ca="1">IFERROR(__xludf.DUMMYFUNCTION("IMPORTRANGE(""https://docs.google.com/spreadsheets/d/1IYY_tgx_IHuhSq3AJ5eI5OnqOPBNLWSHKh2a30DoXe8/edit?usp=sharing"",""ชุมพร!J503"")"),1)</f>
        <v>1</v>
      </c>
      <c r="K608" s="169"/>
      <c r="L608" s="189" t="s">
        <v>40</v>
      </c>
      <c r="M608" s="189"/>
      <c r="N608" s="189" t="s">
        <v>40</v>
      </c>
      <c r="O608" s="189"/>
      <c r="P608" s="189"/>
    </row>
    <row r="609" spans="1:16" ht="21.75" hidden="1" customHeight="1" x14ac:dyDescent="0.35">
      <c r="A609" s="494"/>
      <c r="B609" s="495"/>
      <c r="C609" s="495"/>
      <c r="D609" s="496"/>
      <c r="E609" s="497" t="s">
        <v>47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IFERROR(__xludf.DUMMYFUNCTION("IMPORTRANGE(""https://docs.google.com/spreadsheets/d/1IYY_tgx_IHuhSq3AJ5eI5OnqOPBNLWSHKh2a30DoXe8/edit?usp=sharing"",""ชุมพร!J166"")"),0)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48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IFERROR(__xludf.DUMMYFUNCTION("IMPORTRANGE(""https://docs.google.com/spreadsheets/d/1IYY_tgx_IHuhSq3AJ5eI5OnqOPBNLWSHKh2a30DoXe8/edit?usp=sharing"",""ชุมพร!J166"")"),0)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3"/>
      <c r="B611" s="184"/>
      <c r="C611" s="184"/>
      <c r="D611" s="201"/>
      <c r="E611" s="203"/>
      <c r="F611" s="203" t="s">
        <v>219</v>
      </c>
      <c r="G611" s="204"/>
      <c r="H611" s="188" t="s">
        <v>122</v>
      </c>
      <c r="I611" s="195">
        <f ca="1">IFERROR(__xludf.DUMMYFUNCTION("IMPORTRANGE(""https://docs.google.com/spreadsheets/d/1IYY_tgx_IHuhSq3AJ5eI5OnqOPBNLWSHKh2a30DoXe8/edit?usp=sharing"",""ชุมพร!I506"")"),100)</f>
        <v>100</v>
      </c>
      <c r="J611" s="168">
        <f ca="1">IFERROR(__xludf.DUMMYFUNCTION("IMPORTRANGE(""https://docs.google.com/spreadsheets/d/1IYY_tgx_IHuhSq3AJ5eI5OnqOPBNLWSHKh2a30DoXe8/edit?usp=sharing"",""ชุมพร!J506"")"),0)</f>
        <v>0</v>
      </c>
      <c r="K611" s="169">
        <f t="shared" ref="K611:K619" ca="1" si="127">IF(I$611&gt;0,J611*100/I$611,0)</f>
        <v>0</v>
      </c>
      <c r="L611" s="189"/>
      <c r="M611" s="189"/>
      <c r="N611" s="189"/>
      <c r="O611" s="189"/>
      <c r="P611" s="189"/>
    </row>
    <row r="612" spans="1:16" ht="21.75" customHeight="1" x14ac:dyDescent="0.35">
      <c r="A612" s="183"/>
      <c r="B612" s="184"/>
      <c r="C612" s="184"/>
      <c r="D612" s="201"/>
      <c r="E612" s="206"/>
      <c r="F612" s="203"/>
      <c r="G612" s="233" t="s">
        <v>220</v>
      </c>
      <c r="H612" s="188" t="s">
        <v>122</v>
      </c>
      <c r="I612" s="211">
        <f ca="1">IFERROR(__xludf.DUMMYFUNCTION("IMPORTRANGE(""https://docs.google.com/spreadsheets/d/1IYY_tgx_IHuhSq3AJ5eI5OnqOPBNLWSHKh2a30DoXe8/edit?usp=sharing"",""ชุมพร!I507"")"),0)</f>
        <v>0</v>
      </c>
      <c r="J612" s="205">
        <f ca="1">IFERROR(__xludf.DUMMYFUNCTION("IMPORTRANGE(""https://docs.google.com/spreadsheets/d/1IYY_tgx_IHuhSq3AJ5eI5OnqOPBNLWSHKh2a30DoXe8/edit?usp=sharing"",""ชุมพร!J507"")"),0)</f>
        <v>0</v>
      </c>
      <c r="K612" s="169">
        <f t="shared" ca="1" si="127"/>
        <v>0</v>
      </c>
      <c r="L612" s="189"/>
      <c r="M612" s="189"/>
      <c r="N612" s="189"/>
      <c r="O612" s="189"/>
      <c r="P612" s="189"/>
    </row>
    <row r="613" spans="1:16" ht="21.75" customHeight="1" x14ac:dyDescent="0.35">
      <c r="A613" s="183"/>
      <c r="B613" s="184"/>
      <c r="C613" s="184"/>
      <c r="D613" s="201"/>
      <c r="E613" s="206"/>
      <c r="F613" s="203"/>
      <c r="G613" s="233" t="s">
        <v>221</v>
      </c>
      <c r="H613" s="188" t="s">
        <v>122</v>
      </c>
      <c r="I613" s="211">
        <f ca="1">IFERROR(__xludf.DUMMYFUNCTION("IMPORTRANGE(""https://docs.google.com/spreadsheets/d/1IYY_tgx_IHuhSq3AJ5eI5OnqOPBNLWSHKh2a30DoXe8/edit?usp=sharing"",""ชุมพร!I508"")"),0)</f>
        <v>0</v>
      </c>
      <c r="J613" s="205">
        <f ca="1">IFERROR(__xludf.DUMMYFUNCTION("IMPORTRANGE(""https://docs.google.com/spreadsheets/d/1IYY_tgx_IHuhSq3AJ5eI5OnqOPBNLWSHKh2a30DoXe8/edit?usp=sharing"",""ชุมพร!J508"")"),0)</f>
        <v>0</v>
      </c>
      <c r="K613" s="169">
        <f t="shared" ca="1" si="127"/>
        <v>0</v>
      </c>
      <c r="L613" s="189"/>
      <c r="M613" s="189"/>
      <c r="N613" s="189"/>
      <c r="O613" s="189"/>
      <c r="P613" s="189"/>
    </row>
    <row r="614" spans="1:16" ht="21.75" customHeight="1" x14ac:dyDescent="0.35">
      <c r="A614" s="183"/>
      <c r="B614" s="184"/>
      <c r="C614" s="184"/>
      <c r="D614" s="201"/>
      <c r="E614" s="206"/>
      <c r="F614" s="203"/>
      <c r="G614" s="233" t="s">
        <v>222</v>
      </c>
      <c r="H614" s="188" t="s">
        <v>122</v>
      </c>
      <c r="I614" s="211">
        <f ca="1">IFERROR(__xludf.DUMMYFUNCTION("IMPORTRANGE(""https://docs.google.com/spreadsheets/d/1IYY_tgx_IHuhSq3AJ5eI5OnqOPBNLWSHKh2a30DoXe8/edit?usp=sharing"",""ชุมพร!I509"")"),0)</f>
        <v>0</v>
      </c>
      <c r="J614" s="205">
        <f ca="1">IFERROR(__xludf.DUMMYFUNCTION("IMPORTRANGE(""https://docs.google.com/spreadsheets/d/1IYY_tgx_IHuhSq3AJ5eI5OnqOPBNLWSHKh2a30DoXe8/edit?usp=sharing"",""ชุมพร!J509"")"),0)</f>
        <v>0</v>
      </c>
      <c r="K614" s="169">
        <f t="shared" ca="1" si="127"/>
        <v>0</v>
      </c>
      <c r="L614" s="189"/>
      <c r="M614" s="189"/>
      <c r="N614" s="189"/>
      <c r="O614" s="189"/>
      <c r="P614" s="189"/>
    </row>
    <row r="615" spans="1:16" ht="21.75" customHeight="1" x14ac:dyDescent="0.35">
      <c r="A615" s="183"/>
      <c r="B615" s="184"/>
      <c r="C615" s="184"/>
      <c r="D615" s="201"/>
      <c r="E615" s="206"/>
      <c r="F615" s="203"/>
      <c r="G615" s="233" t="s">
        <v>223</v>
      </c>
      <c r="H615" s="188" t="s">
        <v>122</v>
      </c>
      <c r="I615" s="211">
        <f ca="1">IFERROR(__xludf.DUMMYFUNCTION("IMPORTRANGE(""https://docs.google.com/spreadsheets/d/1IYY_tgx_IHuhSq3AJ5eI5OnqOPBNLWSHKh2a30DoXe8/edit?usp=sharing"",""ชุมพร!I510"")"),0)</f>
        <v>0</v>
      </c>
      <c r="J615" s="205">
        <f ca="1">IFERROR(__xludf.DUMMYFUNCTION("IMPORTRANGE(""https://docs.google.com/spreadsheets/d/1IYY_tgx_IHuhSq3AJ5eI5OnqOPBNLWSHKh2a30DoXe8/edit?usp=sharing"",""ชุมพร!J510"")"),0)</f>
        <v>0</v>
      </c>
      <c r="K615" s="169">
        <f t="shared" ca="1" si="127"/>
        <v>0</v>
      </c>
      <c r="L615" s="189"/>
      <c r="M615" s="189"/>
      <c r="N615" s="189"/>
      <c r="O615" s="189"/>
      <c r="P615" s="189"/>
    </row>
    <row r="616" spans="1:16" ht="21.75" customHeight="1" x14ac:dyDescent="0.35">
      <c r="A616" s="183"/>
      <c r="B616" s="184"/>
      <c r="C616" s="184"/>
      <c r="D616" s="201"/>
      <c r="E616" s="206"/>
      <c r="F616" s="203"/>
      <c r="G616" s="202" t="s">
        <v>224</v>
      </c>
      <c r="H616" s="188" t="s">
        <v>122</v>
      </c>
      <c r="I616" s="211">
        <f ca="1">IFERROR(__xludf.DUMMYFUNCTION("IMPORTRANGE(""https://docs.google.com/spreadsheets/d/1IYY_tgx_IHuhSq3AJ5eI5OnqOPBNLWSHKh2a30DoXe8/edit?usp=sharing"",""ชุมพร!I511"")"),0)</f>
        <v>0</v>
      </c>
      <c r="J616" s="205">
        <f ca="1">IFERROR(__xludf.DUMMYFUNCTION("IMPORTRANGE(""https://docs.google.com/spreadsheets/d/1IYY_tgx_IHuhSq3AJ5eI5OnqOPBNLWSHKh2a30DoXe8/edit?usp=sharing"",""ชุมพร!J511"")"),0)</f>
        <v>0</v>
      </c>
      <c r="K616" s="169">
        <f t="shared" ca="1" si="127"/>
        <v>0</v>
      </c>
      <c r="L616" s="189"/>
      <c r="M616" s="189"/>
      <c r="N616" s="189"/>
      <c r="O616" s="189"/>
      <c r="P616" s="189"/>
    </row>
    <row r="617" spans="1:16" ht="21.75" customHeight="1" x14ac:dyDescent="0.35">
      <c r="A617" s="183"/>
      <c r="B617" s="184"/>
      <c r="C617" s="184"/>
      <c r="D617" s="201"/>
      <c r="E617" s="206"/>
      <c r="F617" s="203"/>
      <c r="G617" s="202" t="s">
        <v>225</v>
      </c>
      <c r="H617" s="188" t="s">
        <v>122</v>
      </c>
      <c r="I617" s="195">
        <f ca="1">IFERROR(__xludf.DUMMYFUNCTION("IMPORTRANGE(""https://docs.google.com/spreadsheets/d/1IYY_tgx_IHuhSq3AJ5eI5OnqOPBNLWSHKh2a30DoXe8/edit?usp=sharing"",""ชุมพร!I512"")"),0)</f>
        <v>0</v>
      </c>
      <c r="J617" s="195">
        <f ca="1">IFERROR(__xludf.DUMMYFUNCTION("IMPORTRANGE(""https://docs.google.com/spreadsheets/d/1IYY_tgx_IHuhSq3AJ5eI5OnqOPBNLWSHKh2a30DoXe8/edit?usp=sharing"",""ชุมพร!J512"")"),0)</f>
        <v>0</v>
      </c>
      <c r="K617" s="169">
        <f t="shared" ca="1" si="127"/>
        <v>0</v>
      </c>
      <c r="L617" s="189"/>
      <c r="M617" s="189"/>
      <c r="N617" s="189"/>
      <c r="O617" s="189"/>
      <c r="P617" s="189"/>
    </row>
    <row r="618" spans="1:16" ht="21.75" customHeight="1" x14ac:dyDescent="0.35">
      <c r="A618" s="183"/>
      <c r="B618" s="184"/>
      <c r="C618" s="184"/>
      <c r="D618" s="201"/>
      <c r="E618" s="206"/>
      <c r="F618" s="203"/>
      <c r="G618" s="504" t="s">
        <v>226</v>
      </c>
      <c r="H618" s="188" t="s">
        <v>122</v>
      </c>
      <c r="I618" s="211">
        <f ca="1">IFERROR(__xludf.DUMMYFUNCTION("IMPORTRANGE(""https://docs.google.com/spreadsheets/d/1IYY_tgx_IHuhSq3AJ5eI5OnqOPBNLWSHKh2a30DoXe8/edit?usp=sharing"",""ชุมพร!I513"")"),0)</f>
        <v>0</v>
      </c>
      <c r="J618" s="196">
        <f ca="1">IFERROR(__xludf.DUMMYFUNCTION("IMPORTRANGE(""https://docs.google.com/spreadsheets/d/1IYY_tgx_IHuhSq3AJ5eI5OnqOPBNLWSHKh2a30DoXe8/edit?usp=sharing"",""ชุมพร!J513"")"),0)</f>
        <v>0</v>
      </c>
      <c r="K618" s="169">
        <f t="shared" ca="1" si="127"/>
        <v>0</v>
      </c>
      <c r="L618" s="189"/>
      <c r="M618" s="189"/>
      <c r="N618" s="189"/>
      <c r="O618" s="189"/>
      <c r="P618" s="189"/>
    </row>
    <row r="619" spans="1:16" ht="21.75" customHeight="1" x14ac:dyDescent="0.35">
      <c r="A619" s="183"/>
      <c r="B619" s="184"/>
      <c r="C619" s="184"/>
      <c r="D619" s="201"/>
      <c r="E619" s="206"/>
      <c r="F619" s="203"/>
      <c r="G619" s="504" t="s">
        <v>227</v>
      </c>
      <c r="H619" s="188" t="s">
        <v>122</v>
      </c>
      <c r="I619" s="211">
        <f ca="1">IFERROR(__xludf.DUMMYFUNCTION("IMPORTRANGE(""https://docs.google.com/spreadsheets/d/1IYY_tgx_IHuhSq3AJ5eI5OnqOPBNLWSHKh2a30DoXe8/edit?usp=sharing"",""ชุมพร!I514"")"),0)</f>
        <v>0</v>
      </c>
      <c r="J619" s="196">
        <f ca="1">IFERROR(__xludf.DUMMYFUNCTION("IMPORTRANGE(""https://docs.google.com/spreadsheets/d/1IYY_tgx_IHuhSq3AJ5eI5OnqOPBNLWSHKh2a30DoXe8/edit?usp=sharing"",""ชุมพร!J514"")"),0)</f>
        <v>0</v>
      </c>
      <c r="K619" s="169">
        <f t="shared" ca="1" si="127"/>
        <v>0</v>
      </c>
      <c r="L619" s="189"/>
      <c r="M619" s="189"/>
      <c r="N619" s="189"/>
      <c r="O619" s="189"/>
      <c r="P619" s="189"/>
    </row>
    <row r="620" spans="1:16" ht="21.75" customHeight="1" x14ac:dyDescent="0.35">
      <c r="A620" s="183"/>
      <c r="B620" s="184"/>
      <c r="C620" s="184"/>
      <c r="D620" s="201"/>
      <c r="E620" s="203"/>
      <c r="F620" s="202" t="s">
        <v>228</v>
      </c>
      <c r="G620" s="204"/>
      <c r="H620" s="188" t="s">
        <v>122</v>
      </c>
      <c r="I620" s="195">
        <f ca="1">IFERROR(__xludf.DUMMYFUNCTION("IMPORTRANGE(""https://docs.google.com/spreadsheets/d/1IYY_tgx_IHuhSq3AJ5eI5OnqOPBNLWSHKh2a30DoXe8/edit?usp=sharing"",""ชุมพร!I515"")"),0)</f>
        <v>0</v>
      </c>
      <c r="J620" s="210">
        <f ca="1">IFERROR(__xludf.DUMMYFUNCTION("IMPORTRANGE(""https://docs.google.com/spreadsheets/d/1IYY_tgx_IHuhSq3AJ5eI5OnqOPBNLWSHKh2a30DoXe8/edit?usp=sharing"",""ชุมพร!J515"")"),0)</f>
        <v>0</v>
      </c>
      <c r="K620" s="169">
        <f t="shared" ref="K620:K626" ca="1" si="128">IF(I$620&gt;0,J620*100/I$620,0)</f>
        <v>0</v>
      </c>
      <c r="L620" s="189"/>
      <c r="M620" s="189"/>
      <c r="N620" s="189"/>
      <c r="O620" s="189"/>
      <c r="P620" s="189"/>
    </row>
    <row r="621" spans="1:16" ht="21.75" customHeight="1" x14ac:dyDescent="0.35">
      <c r="A621" s="183"/>
      <c r="B621" s="184"/>
      <c r="C621" s="184"/>
      <c r="D621" s="201"/>
      <c r="E621" s="206"/>
      <c r="F621" s="203"/>
      <c r="G621" s="233" t="s">
        <v>225</v>
      </c>
      <c r="H621" s="188" t="s">
        <v>122</v>
      </c>
      <c r="I621" s="210">
        <f ca="1">IFERROR(__xludf.DUMMYFUNCTION("IMPORTRANGE(""https://docs.google.com/spreadsheets/d/1IYY_tgx_IHuhSq3AJ5eI5OnqOPBNLWSHKh2a30DoXe8/edit?usp=sharing"",""ชุมพร!I516"")"),0)</f>
        <v>0</v>
      </c>
      <c r="J621" s="210">
        <f ca="1">IFERROR(__xludf.DUMMYFUNCTION("IMPORTRANGE(""https://docs.google.com/spreadsheets/d/1IYY_tgx_IHuhSq3AJ5eI5OnqOPBNLWSHKh2a30DoXe8/edit?usp=sharing"",""ชุมพร!J516"")"),0)</f>
        <v>0</v>
      </c>
      <c r="K621" s="169">
        <f t="shared" ca="1" si="128"/>
        <v>0</v>
      </c>
      <c r="L621" s="189"/>
      <c r="M621" s="189"/>
      <c r="N621" s="189"/>
      <c r="O621" s="189"/>
      <c r="P621" s="189"/>
    </row>
    <row r="622" spans="1:16" ht="21.75" customHeight="1" x14ac:dyDescent="0.35">
      <c r="A622" s="183"/>
      <c r="B622" s="184"/>
      <c r="C622" s="184"/>
      <c r="D622" s="201"/>
      <c r="E622" s="206"/>
      <c r="F622" s="203"/>
      <c r="G622" s="504" t="s">
        <v>226</v>
      </c>
      <c r="H622" s="188" t="s">
        <v>122</v>
      </c>
      <c r="I622" s="211">
        <f ca="1">IFERROR(__xludf.DUMMYFUNCTION("IMPORTRANGE(""https://docs.google.com/spreadsheets/d/1IYY_tgx_IHuhSq3AJ5eI5OnqOPBNLWSHKh2a30DoXe8/edit?usp=sharing"",""ชุมพร!I517"")"),0)</f>
        <v>0</v>
      </c>
      <c r="J622" s="196">
        <f ca="1">IFERROR(__xludf.DUMMYFUNCTION("IMPORTRANGE(""https://docs.google.com/spreadsheets/d/1IYY_tgx_IHuhSq3AJ5eI5OnqOPBNLWSHKh2a30DoXe8/edit?usp=sharing"",""ชุมพร!J517"")"),0)</f>
        <v>0</v>
      </c>
      <c r="K622" s="169">
        <f t="shared" ca="1" si="128"/>
        <v>0</v>
      </c>
      <c r="L622" s="189"/>
      <c r="M622" s="189"/>
      <c r="N622" s="189"/>
      <c r="O622" s="189"/>
      <c r="P622" s="189"/>
    </row>
    <row r="623" spans="1:16" ht="21.75" customHeight="1" x14ac:dyDescent="0.35">
      <c r="A623" s="183"/>
      <c r="B623" s="184"/>
      <c r="C623" s="184"/>
      <c r="D623" s="201"/>
      <c r="E623" s="206"/>
      <c r="F623" s="203"/>
      <c r="G623" s="504" t="s">
        <v>227</v>
      </c>
      <c r="H623" s="188" t="s">
        <v>122</v>
      </c>
      <c r="I623" s="211">
        <f ca="1">IFERROR(__xludf.DUMMYFUNCTION("IMPORTRANGE(""https://docs.google.com/spreadsheets/d/1IYY_tgx_IHuhSq3AJ5eI5OnqOPBNLWSHKh2a30DoXe8/edit?usp=sharing"",""ชุมพร!I518"")"),0)</f>
        <v>0</v>
      </c>
      <c r="J623" s="196">
        <f ca="1">IFERROR(__xludf.DUMMYFUNCTION("IMPORTRANGE(""https://docs.google.com/spreadsheets/d/1IYY_tgx_IHuhSq3AJ5eI5OnqOPBNLWSHKh2a30DoXe8/edit?usp=sharing"",""ชุมพร!J518"")"),0)</f>
        <v>0</v>
      </c>
      <c r="K623" s="169">
        <f t="shared" ca="1" si="128"/>
        <v>0</v>
      </c>
      <c r="L623" s="189"/>
      <c r="M623" s="189"/>
      <c r="N623" s="189"/>
      <c r="O623" s="189"/>
      <c r="P623" s="189"/>
    </row>
    <row r="624" spans="1:16" ht="21.75" customHeight="1" x14ac:dyDescent="0.35">
      <c r="A624" s="183"/>
      <c r="B624" s="184"/>
      <c r="C624" s="184"/>
      <c r="D624" s="201"/>
      <c r="E624" s="206"/>
      <c r="F624" s="203"/>
      <c r="G624" s="233" t="s">
        <v>229</v>
      </c>
      <c r="H624" s="188" t="s">
        <v>122</v>
      </c>
      <c r="I624" s="195">
        <f ca="1">IFERROR(__xludf.DUMMYFUNCTION("IMPORTRANGE(""https://docs.google.com/spreadsheets/d/1IYY_tgx_IHuhSq3AJ5eI5OnqOPBNLWSHKh2a30DoXe8/edit?usp=sharing"",""ชุมพร!I519"")"),0)</f>
        <v>0</v>
      </c>
      <c r="J624" s="195">
        <f ca="1">IFERROR(__xludf.DUMMYFUNCTION("IMPORTRANGE(""https://docs.google.com/spreadsheets/d/1IYY_tgx_IHuhSq3AJ5eI5OnqOPBNLWSHKh2a30DoXe8/edit?usp=sharing"",""ชุมพร!J519"")"),0)</f>
        <v>0</v>
      </c>
      <c r="K624" s="169">
        <f t="shared" ca="1" si="128"/>
        <v>0</v>
      </c>
      <c r="L624" s="189"/>
      <c r="M624" s="189"/>
      <c r="N624" s="189"/>
      <c r="O624" s="189"/>
      <c r="P624" s="189"/>
    </row>
    <row r="625" spans="1:16" ht="21.75" customHeight="1" x14ac:dyDescent="0.35">
      <c r="A625" s="183"/>
      <c r="B625" s="184"/>
      <c r="C625" s="184"/>
      <c r="D625" s="201"/>
      <c r="E625" s="206"/>
      <c r="F625" s="203"/>
      <c r="G625" s="504" t="s">
        <v>230</v>
      </c>
      <c r="H625" s="188" t="s">
        <v>122</v>
      </c>
      <c r="I625" s="211">
        <f ca="1">IFERROR(__xludf.DUMMYFUNCTION("IMPORTRANGE(""https://docs.google.com/spreadsheets/d/1IYY_tgx_IHuhSq3AJ5eI5OnqOPBNLWSHKh2a30DoXe8/edit?usp=sharing"",""ชุมพร!I520"")"),0)</f>
        <v>0</v>
      </c>
      <c r="J625" s="196">
        <f ca="1">IFERROR(__xludf.DUMMYFUNCTION("IMPORTRANGE(""https://docs.google.com/spreadsheets/d/1IYY_tgx_IHuhSq3AJ5eI5OnqOPBNLWSHKh2a30DoXe8/edit?usp=sharing"",""ชุมพร!J520"")"),0)</f>
        <v>0</v>
      </c>
      <c r="K625" s="169">
        <f t="shared" ca="1" si="128"/>
        <v>0</v>
      </c>
      <c r="L625" s="189"/>
      <c r="M625" s="189"/>
      <c r="N625" s="189"/>
      <c r="O625" s="189"/>
      <c r="P625" s="189"/>
    </row>
    <row r="626" spans="1:16" ht="21.75" customHeight="1" x14ac:dyDescent="0.35">
      <c r="A626" s="183"/>
      <c r="B626" s="184"/>
      <c r="C626" s="184"/>
      <c r="D626" s="201"/>
      <c r="E626" s="206"/>
      <c r="F626" s="203"/>
      <c r="G626" s="504" t="s">
        <v>231</v>
      </c>
      <c r="H626" s="188" t="s">
        <v>122</v>
      </c>
      <c r="I626" s="211">
        <f ca="1">IFERROR(__xludf.DUMMYFUNCTION("IMPORTRANGE(""https://docs.google.com/spreadsheets/d/1IYY_tgx_IHuhSq3AJ5eI5OnqOPBNLWSHKh2a30DoXe8/edit?usp=sharing"",""ชุมพร!I521"")"),0)</f>
        <v>0</v>
      </c>
      <c r="J626" s="196">
        <f ca="1">IFERROR(__xludf.DUMMYFUNCTION("IMPORTRANGE(""https://docs.google.com/spreadsheets/d/1IYY_tgx_IHuhSq3AJ5eI5OnqOPBNLWSHKh2a30DoXe8/edit?usp=sharing"",""ชุมพร!J521"")"),0)</f>
        <v>0</v>
      </c>
      <c r="K626" s="169">
        <f t="shared" ca="1" si="128"/>
        <v>0</v>
      </c>
      <c r="L626" s="189"/>
      <c r="M626" s="189"/>
      <c r="N626" s="189"/>
      <c r="O626" s="189"/>
      <c r="P626" s="189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2"/>
      <c r="E628" s="165"/>
      <c r="F628" s="165"/>
      <c r="G628" s="166"/>
      <c r="H628" s="513" t="s">
        <v>12</v>
      </c>
      <c r="I628" s="347">
        <f ca="1">IFERROR(__xludf.DUMMYFUNCTION("IMPORTRANGE(""https://docs.google.com/spreadsheets/d/1IYY_tgx_IHuhSq3AJ5eI5OnqOPBNLWSHKh2a30DoXe8/edit?usp=sharing"",""ชุมพร!I523"")"),996730.61)</f>
        <v>996730.61</v>
      </c>
      <c r="J628" s="347">
        <f ca="1">IFERROR(__xludf.DUMMYFUNCTION("IMPORTRANGE(""https://docs.google.com/spreadsheets/d/1IYY_tgx_IHuhSq3AJ5eI5OnqOPBNLWSHKh2a30DoXe8/edit?usp=sharing"",""ชุมพร!J523"")"),0)</f>
        <v>0</v>
      </c>
      <c r="K628" s="348">
        <f t="shared" ref="K628:K635" ca="1" si="129">IF(I628&gt;0,J628*100/I628,0)</f>
        <v>0</v>
      </c>
      <c r="L628" s="348"/>
      <c r="M628" s="348"/>
      <c r="N628" s="348"/>
      <c r="O628" s="176"/>
      <c r="P628" s="176"/>
    </row>
    <row r="629" spans="1:16" ht="21.75" customHeight="1" x14ac:dyDescent="0.35">
      <c r="A629" s="484"/>
      <c r="B629" s="163"/>
      <c r="C629" s="163"/>
      <c r="D629" s="172"/>
      <c r="E629" s="165"/>
      <c r="F629" s="165"/>
      <c r="G629" s="166"/>
      <c r="H629" s="513" t="s">
        <v>37</v>
      </c>
      <c r="I629" s="347">
        <f ca="1">IFERROR(__xludf.DUMMYFUNCTION("IMPORTRANGE(""https://docs.google.com/spreadsheets/d/1IYY_tgx_IHuhSq3AJ5eI5OnqOPBNLWSHKh2a30DoXe8/edit?usp=sharing"",""ชุมพร!I524"")"),100)</f>
        <v>100</v>
      </c>
      <c r="J629" s="347">
        <f ca="1">IFERROR(__xludf.DUMMYFUNCTION("IMPORTRANGE(""https://docs.google.com/spreadsheets/d/1IYY_tgx_IHuhSq3AJ5eI5OnqOPBNLWSHKh2a30DoXe8/edit?usp=sharing"",""ชุมพร!J524"")"),0)</f>
        <v>0</v>
      </c>
      <c r="K629" s="348">
        <f t="shared" ca="1" si="129"/>
        <v>0</v>
      </c>
      <c r="L629" s="348"/>
      <c r="M629" s="348"/>
      <c r="N629" s="348"/>
      <c r="O629" s="176"/>
      <c r="P629" s="176"/>
    </row>
    <row r="630" spans="1:16" ht="21.75" customHeight="1" x14ac:dyDescent="0.35">
      <c r="A630" s="484"/>
      <c r="B630" s="512" t="s">
        <v>234</v>
      </c>
      <c r="C630" s="163"/>
      <c r="D630" s="172"/>
      <c r="E630" s="165"/>
      <c r="F630" s="165"/>
      <c r="G630" s="166"/>
      <c r="H630" s="513" t="s">
        <v>12</v>
      </c>
      <c r="I630" s="347">
        <f ca="1">IFERROR(__xludf.DUMMYFUNCTION("IMPORTRANGE(""https://docs.google.com/spreadsheets/d/1IYY_tgx_IHuhSq3AJ5eI5OnqOPBNLWSHKh2a30DoXe8/edit?usp=sharing"",""ชุมพร!I525"")"),670056.96)</f>
        <v>670056.95999999996</v>
      </c>
      <c r="J630" s="347">
        <f ca="1">IFERROR(__xludf.DUMMYFUNCTION("IMPORTRANGE(""https://docs.google.com/spreadsheets/d/1IYY_tgx_IHuhSq3AJ5eI5OnqOPBNLWSHKh2a30DoXe8/edit?usp=sharing"",""ชุมพร!J525"")"),428305.22)</f>
        <v>428305.22</v>
      </c>
      <c r="K630" s="348">
        <f t="shared" ca="1" si="129"/>
        <v>63.920718023733386</v>
      </c>
      <c r="L630" s="348"/>
      <c r="M630" s="348"/>
      <c r="N630" s="348"/>
      <c r="O630" s="176"/>
      <c r="P630" s="176"/>
    </row>
    <row r="631" spans="1:16" ht="21.75" customHeight="1" x14ac:dyDescent="0.35">
      <c r="A631" s="484"/>
      <c r="B631" s="163"/>
      <c r="C631" s="163"/>
      <c r="D631" s="172"/>
      <c r="E631" s="165"/>
      <c r="F631" s="165"/>
      <c r="G631" s="166"/>
      <c r="H631" s="513" t="s">
        <v>37</v>
      </c>
      <c r="I631" s="347">
        <f ca="1">IFERROR(__xludf.DUMMYFUNCTION("IMPORTRANGE(""https://docs.google.com/spreadsheets/d/1IYY_tgx_IHuhSq3AJ5eI5OnqOPBNLWSHKh2a30DoXe8/edit?usp=sharing"",""ชุมพร!I526"")"),27)</f>
        <v>27</v>
      </c>
      <c r="J631" s="347">
        <f ca="1">IFERROR(__xludf.DUMMYFUNCTION("IMPORTRANGE(""https://docs.google.com/spreadsheets/d/1IYY_tgx_IHuhSq3AJ5eI5OnqOPBNLWSHKh2a30DoXe8/edit?usp=sharing"",""ชุมพร!J526"")"),19)</f>
        <v>19</v>
      </c>
      <c r="K631" s="348">
        <f t="shared" ca="1" si="129"/>
        <v>70.370370370370367</v>
      </c>
      <c r="L631" s="348"/>
      <c r="M631" s="348"/>
      <c r="N631" s="348"/>
      <c r="O631" s="176"/>
      <c r="P631" s="176"/>
    </row>
    <row r="632" spans="1:16" ht="21.75" customHeight="1" x14ac:dyDescent="0.35">
      <c r="A632" s="484"/>
      <c r="B632" s="512" t="s">
        <v>235</v>
      </c>
      <c r="C632" s="163"/>
      <c r="D632" s="172"/>
      <c r="E632" s="165"/>
      <c r="F632" s="165"/>
      <c r="G632" s="166"/>
      <c r="H632" s="513" t="s">
        <v>12</v>
      </c>
      <c r="I632" s="347">
        <f ca="1">IFERROR(__xludf.DUMMYFUNCTION("IMPORTRANGE(""https://docs.google.com/spreadsheets/d/1IYY_tgx_IHuhSq3AJ5eI5OnqOPBNLWSHKh2a30DoXe8/edit?usp=sharing"",""ชุมพร!I527"")"),0)</f>
        <v>0</v>
      </c>
      <c r="J632" s="347">
        <f ca="1">IFERROR(__xludf.DUMMYFUNCTION("IMPORTRANGE(""https://docs.google.com/spreadsheets/d/1IYY_tgx_IHuhSq3AJ5eI5OnqOPBNLWSHKh2a30DoXe8/edit?usp=sharing"",""ชุมพร!J527"")"),0)</f>
        <v>0</v>
      </c>
      <c r="K632" s="348">
        <f t="shared" ca="1" si="129"/>
        <v>0</v>
      </c>
      <c r="L632" s="348"/>
      <c r="M632" s="348"/>
      <c r="N632" s="348"/>
      <c r="O632" s="176"/>
      <c r="P632" s="176"/>
    </row>
    <row r="633" spans="1:16" ht="21.75" customHeight="1" x14ac:dyDescent="0.35">
      <c r="A633" s="484"/>
      <c r="B633" s="512"/>
      <c r="C633" s="163"/>
      <c r="D633" s="172"/>
      <c r="E633" s="165"/>
      <c r="F633" s="165"/>
      <c r="G633" s="166"/>
      <c r="H633" s="513" t="s">
        <v>37</v>
      </c>
      <c r="I633" s="347">
        <f ca="1">IFERROR(__xludf.DUMMYFUNCTION("IMPORTRANGE(""https://docs.google.com/spreadsheets/d/1IYY_tgx_IHuhSq3AJ5eI5OnqOPBNLWSHKh2a30DoXe8/edit?usp=sharing"",""ชุมพร!I528"")"),0)</f>
        <v>0</v>
      </c>
      <c r="J633" s="347">
        <f ca="1">IFERROR(__xludf.DUMMYFUNCTION("IMPORTRANGE(""https://docs.google.com/spreadsheets/d/1IYY_tgx_IHuhSq3AJ5eI5OnqOPBNLWSHKh2a30DoXe8/edit?usp=sharing"",""ชุมพร!J528"")"),0)</f>
        <v>0</v>
      </c>
      <c r="K633" s="348">
        <f t="shared" ca="1" si="129"/>
        <v>0</v>
      </c>
      <c r="L633" s="348"/>
      <c r="M633" s="348"/>
      <c r="N633" s="348"/>
      <c r="O633" s="176"/>
      <c r="P633" s="176"/>
    </row>
    <row r="634" spans="1:16" ht="21.75" customHeight="1" x14ac:dyDescent="0.35">
      <c r="A634" s="484"/>
      <c r="B634" s="512" t="s">
        <v>236</v>
      </c>
      <c r="C634" s="163"/>
      <c r="D634" s="172"/>
      <c r="E634" s="165"/>
      <c r="F634" s="165"/>
      <c r="G634" s="166"/>
      <c r="H634" s="513" t="s">
        <v>12</v>
      </c>
      <c r="I634" s="347">
        <f ca="1">IFERROR(__xludf.DUMMYFUNCTION("IMPORTRANGE(""https://docs.google.com/spreadsheets/d/1IYY_tgx_IHuhSq3AJ5eI5OnqOPBNLWSHKh2a30DoXe8/edit?usp=sharing"",""ชุมพร!I529"")"),450000)</f>
        <v>450000</v>
      </c>
      <c r="J634" s="347">
        <f ca="1">IFERROR(__xludf.DUMMYFUNCTION("IMPORTRANGE(""https://docs.google.com/spreadsheets/d/1IYY_tgx_IHuhSq3AJ5eI5OnqOPBNLWSHKh2a30DoXe8/edit?usp=sharing"",""ชุมพร!J529"")"),0)</f>
        <v>0</v>
      </c>
      <c r="K634" s="348">
        <f t="shared" ca="1" si="129"/>
        <v>0</v>
      </c>
      <c r="L634" s="348"/>
      <c r="M634" s="348"/>
      <c r="N634" s="348"/>
      <c r="O634" s="176"/>
      <c r="P634" s="176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IFERROR(__xludf.DUMMYFUNCTION("IMPORTRANGE(""https://docs.google.com/spreadsheets/d/1IYY_tgx_IHuhSq3AJ5eI5OnqOPBNLWSHKh2a30DoXe8/edit?usp=sharing"",""ชุมพร!I530"")"),15)</f>
        <v>15</v>
      </c>
      <c r="J635" s="517">
        <f ca="1">IFERROR(__xludf.DUMMYFUNCTION("IMPORTRANGE(""https://docs.google.com/spreadsheets/d/1IYY_tgx_IHuhSq3AJ5eI5OnqOPBNLWSHKh2a30DoXe8/edit?usp=sharing"",""ชุมพร!J530"")"),0)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3" sqref="G23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1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27" t="s">
        <v>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</row>
    <row r="2" spans="1:16" ht="18" customHeight="1" x14ac:dyDescent="0.35">
      <c r="A2" s="527" t="s">
        <v>242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</row>
    <row r="3" spans="1:16" ht="18" customHeight="1" x14ac:dyDescent="0.35">
      <c r="A3" s="527" t="s">
        <v>268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5" t="s">
        <v>2</v>
      </c>
      <c r="B5" s="536"/>
      <c r="C5" s="536"/>
      <c r="D5" s="536"/>
      <c r="E5" s="536"/>
      <c r="F5" s="536"/>
      <c r="G5" s="537"/>
      <c r="H5" s="528" t="s">
        <v>3</v>
      </c>
      <c r="I5" s="530" t="s">
        <v>4</v>
      </c>
      <c r="J5" s="531"/>
      <c r="K5" s="532"/>
      <c r="L5" s="533" t="s">
        <v>5</v>
      </c>
      <c r="M5" s="532"/>
      <c r="N5" s="534" t="s">
        <v>6</v>
      </c>
      <c r="O5" s="531"/>
      <c r="P5" s="532"/>
    </row>
    <row r="6" spans="1:16" ht="21.75" customHeight="1" x14ac:dyDescent="0.35">
      <c r="A6" s="538"/>
      <c r="B6" s="539"/>
      <c r="C6" s="539"/>
      <c r="D6" s="539"/>
      <c r="E6" s="539"/>
      <c r="F6" s="539"/>
      <c r="G6" s="540"/>
      <c r="H6" s="52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1" t="s">
        <v>15</v>
      </c>
      <c r="B7" s="531"/>
      <c r="C7" s="531"/>
      <c r="D7" s="531"/>
      <c r="E7" s="531"/>
      <c r="F7" s="531"/>
      <c r="G7" s="53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2" t="s">
        <v>17</v>
      </c>
      <c r="E8" s="543"/>
      <c r="F8" s="543"/>
      <c r="G8" s="543"/>
      <c r="H8" s="20" t="s">
        <v>12</v>
      </c>
      <c r="I8" s="21"/>
      <c r="J8" s="21"/>
      <c r="K8" s="22"/>
      <c r="L8" s="23">
        <f t="shared" ref="L8:N8" ca="1" si="0">L9+L10</f>
        <v>3845373</v>
      </c>
      <c r="M8" s="23">
        <f t="shared" ca="1" si="0"/>
        <v>1532711</v>
      </c>
      <c r="N8" s="23">
        <f t="shared" ca="1" si="0"/>
        <v>1561852.19</v>
      </c>
      <c r="O8" s="22">
        <f t="shared" ref="O8:O16" ca="1" si="1">IF(L8&gt;0,N8*100/L8,0)</f>
        <v>40.616402882113128</v>
      </c>
      <c r="P8" s="22">
        <f t="shared" ref="P8:P16" ca="1" si="2">IF(M8&gt;0,N8*100/M8,0)</f>
        <v>101.90128406464102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3845373</v>
      </c>
      <c r="M10" s="30">
        <f t="shared" ca="1" si="4"/>
        <v>1532711</v>
      </c>
      <c r="N10" s="30">
        <f t="shared" ca="1" si="4"/>
        <v>1561852.19</v>
      </c>
      <c r="O10" s="29">
        <f t="shared" ca="1" si="1"/>
        <v>40.616402882113128</v>
      </c>
      <c r="P10" s="29">
        <f t="shared" ca="1" si="2"/>
        <v>101.90128406464102</v>
      </c>
    </row>
    <row r="11" spans="1:16" ht="21.75" customHeight="1" x14ac:dyDescent="0.45">
      <c r="A11" s="31"/>
      <c r="B11" s="32"/>
      <c r="C11" s="33" t="s">
        <v>16</v>
      </c>
      <c r="D11" s="544" t="s">
        <v>20</v>
      </c>
      <c r="E11" s="545"/>
      <c r="F11" s="54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3601773</v>
      </c>
      <c r="M12" s="38">
        <f t="shared" ca="1" si="6"/>
        <v>1289111</v>
      </c>
      <c r="N12" s="38">
        <f t="shared" ca="1" si="6"/>
        <v>1318252.19</v>
      </c>
      <c r="O12" s="38">
        <f t="shared" ca="1" si="1"/>
        <v>36.600090844148149</v>
      </c>
      <c r="P12" s="38">
        <f t="shared" ca="1" si="2"/>
        <v>102.26056483886958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1786300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1815473</v>
      </c>
      <c r="M14" s="38">
        <f t="shared" si="8"/>
        <v>0</v>
      </c>
      <c r="N14" s="38">
        <f t="shared" ca="1" si="8"/>
        <v>297087.19</v>
      </c>
      <c r="O14" s="41">
        <f t="shared" ca="1" si="1"/>
        <v>16.364175617043053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44" t="s">
        <v>23</v>
      </c>
      <c r="E15" s="54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243600</v>
      </c>
      <c r="M16" s="38">
        <f t="shared" ca="1" si="10"/>
        <v>243600</v>
      </c>
      <c r="N16" s="38">
        <f t="shared" ca="1" si="10"/>
        <v>243600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1" t="s">
        <v>24</v>
      </c>
      <c r="B17" s="531"/>
      <c r="C17" s="531"/>
      <c r="D17" s="531"/>
      <c r="E17" s="531"/>
      <c r="F17" s="531"/>
      <c r="G17" s="53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2" t="s">
        <v>17</v>
      </c>
      <c r="E18" s="543"/>
      <c r="F18" s="543"/>
      <c r="G18" s="543"/>
      <c r="H18" s="20" t="s">
        <v>12</v>
      </c>
      <c r="I18" s="21"/>
      <c r="J18" s="21"/>
      <c r="K18" s="22"/>
      <c r="L18" s="23">
        <f t="shared" ref="L18:N18" ca="1" si="11">L19+L20</f>
        <v>2653275</v>
      </c>
      <c r="M18" s="23">
        <f t="shared" ca="1" si="11"/>
        <v>1532711</v>
      </c>
      <c r="N18" s="23">
        <f t="shared" ca="1" si="11"/>
        <v>1264765</v>
      </c>
      <c r="O18" s="22">
        <f t="shared" ref="O18:O20" ca="1" si="12">IF(L18&gt;0,N18*100/L18,0)</f>
        <v>47.66807059200422</v>
      </c>
      <c r="P18" s="22">
        <f t="shared" ref="P18:P26" ca="1" si="13">IF(M18&gt;0,N18*100/M18,0)</f>
        <v>82.518165525007646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2653275</v>
      </c>
      <c r="M20" s="30">
        <f t="shared" ca="1" si="15"/>
        <v>1532711</v>
      </c>
      <c r="N20" s="30">
        <f t="shared" ca="1" si="15"/>
        <v>1264765</v>
      </c>
      <c r="O20" s="29">
        <f t="shared" ca="1" si="12"/>
        <v>47.66807059200422</v>
      </c>
      <c r="P20" s="29">
        <f t="shared" ca="1" si="13"/>
        <v>82.518165525007646</v>
      </c>
    </row>
    <row r="21" spans="1:16" ht="21.75" customHeight="1" x14ac:dyDescent="0.45">
      <c r="A21" s="31"/>
      <c r="B21" s="32"/>
      <c r="C21" s="33" t="s">
        <v>16</v>
      </c>
      <c r="D21" s="544" t="s">
        <v>20</v>
      </c>
      <c r="E21" s="545"/>
      <c r="F21" s="54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2409675</v>
      </c>
      <c r="M22" s="42">
        <f t="shared" ca="1" si="18"/>
        <v>1289111</v>
      </c>
      <c r="N22" s="41">
        <f t="shared" ca="1" si="18"/>
        <v>1021165</v>
      </c>
      <c r="O22" s="41">
        <f t="shared" ca="1" si="17"/>
        <v>42.377706537188622</v>
      </c>
      <c r="P22" s="41">
        <f t="shared" ca="1" si="13"/>
        <v>79.214668092972602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1786300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623375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44" t="s">
        <v>23</v>
      </c>
      <c r="E25" s="54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243600</v>
      </c>
      <c r="M26" s="50">
        <f t="shared" ca="1" si="22"/>
        <v>243600</v>
      </c>
      <c r="N26" s="50">
        <f t="shared" ca="1" si="22"/>
        <v>243600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1" t="s">
        <v>25</v>
      </c>
      <c r="B27" s="531"/>
      <c r="C27" s="531"/>
      <c r="D27" s="531"/>
      <c r="E27" s="531"/>
      <c r="F27" s="531"/>
      <c r="G27" s="53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2" t="s">
        <v>17</v>
      </c>
      <c r="E28" s="543"/>
      <c r="F28" s="543"/>
      <c r="G28" s="543"/>
      <c r="H28" s="20" t="s">
        <v>12</v>
      </c>
      <c r="I28" s="21"/>
      <c r="J28" s="21"/>
      <c r="K28" s="22"/>
      <c r="L28" s="23">
        <f t="shared" ref="L28:N28" ca="1" si="23">L29+L30</f>
        <v>1192098</v>
      </c>
      <c r="M28" s="23">
        <f t="shared" si="23"/>
        <v>0</v>
      </c>
      <c r="N28" s="23">
        <f t="shared" ca="1" si="23"/>
        <v>297087.19</v>
      </c>
      <c r="O28" s="22">
        <f t="shared" ref="O28:O30" ca="1" si="24">IF(L28&gt;0,N28*100/L28,0)</f>
        <v>24.92137307503242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1192098</v>
      </c>
      <c r="M30" s="30">
        <f t="shared" si="27"/>
        <v>0</v>
      </c>
      <c r="N30" s="30">
        <f t="shared" ca="1" si="27"/>
        <v>297087.19</v>
      </c>
      <c r="O30" s="29">
        <f t="shared" ca="1" si="24"/>
        <v>24.92137307503242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44" t="s">
        <v>20</v>
      </c>
      <c r="E31" s="545"/>
      <c r="F31" s="54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1192098</v>
      </c>
      <c r="M32" s="41">
        <f t="shared" si="30"/>
        <v>0</v>
      </c>
      <c r="N32" s="41">
        <f t="shared" ca="1" si="30"/>
        <v>297087.19</v>
      </c>
      <c r="O32" s="41">
        <f t="shared" ca="1" si="29"/>
        <v>24.92137307503242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1192098</v>
      </c>
      <c r="M34" s="41">
        <f t="shared" si="32"/>
        <v>0</v>
      </c>
      <c r="N34" s="41">
        <f t="shared" ca="1" si="32"/>
        <v>297087.19</v>
      </c>
      <c r="O34" s="41">
        <f t="shared" ca="1" si="29"/>
        <v>24.92137307503242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44" t="s">
        <v>23</v>
      </c>
      <c r="E35" s="54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2653275</v>
      </c>
      <c r="M37" s="55">
        <f t="shared" ca="1" si="33"/>
        <v>1532711</v>
      </c>
      <c r="N37" s="55">
        <f t="shared" ca="1" si="33"/>
        <v>1264765</v>
      </c>
      <c r="O37" s="56">
        <f t="shared" ca="1" si="29"/>
        <v>47.66807059200422</v>
      </c>
      <c r="P37" s="56">
        <f t="shared" ca="1" si="25"/>
        <v>82.518165525007646</v>
      </c>
    </row>
    <row r="38" spans="1:16" ht="21.75" customHeight="1" x14ac:dyDescent="0.45">
      <c r="A38" s="546" t="s">
        <v>27</v>
      </c>
      <c r="B38" s="531"/>
      <c r="C38" s="531"/>
      <c r="D38" s="531"/>
      <c r="E38" s="531"/>
      <c r="F38" s="531"/>
      <c r="G38" s="53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7" t="s">
        <v>28</v>
      </c>
      <c r="C39" s="543"/>
      <c r="D39" s="543"/>
      <c r="E39" s="543"/>
      <c r="F39" s="543"/>
      <c r="G39" s="54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48" t="s">
        <v>17</v>
      </c>
      <c r="E41" s="545"/>
      <c r="F41" s="545"/>
      <c r="G41" s="545"/>
      <c r="H41" s="76" t="s">
        <v>12</v>
      </c>
      <c r="I41" s="77"/>
      <c r="J41" s="77"/>
      <c r="K41" s="78"/>
      <c r="L41" s="79">
        <f t="shared" ref="L41:N41" ca="1" si="34">L42+L43</f>
        <v>726100</v>
      </c>
      <c r="M41" s="79">
        <f t="shared" ca="1" si="34"/>
        <v>363000</v>
      </c>
      <c r="N41" s="79">
        <f t="shared" ca="1" si="34"/>
        <v>334955</v>
      </c>
      <c r="O41" s="78">
        <f t="shared" ref="O41:O43" ca="1" si="35">IF(L41&gt;0,N41*100/L41,0)</f>
        <v>46.130698250929626</v>
      </c>
      <c r="P41" s="78">
        <f t="shared" ref="P41:P43" ca="1" si="36">IF(M41&gt;0,N41*100/M41,0)</f>
        <v>92.274104683195588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726100</v>
      </c>
      <c r="M43" s="79">
        <f t="shared" ca="1" si="38"/>
        <v>363000</v>
      </c>
      <c r="N43" s="79">
        <f t="shared" ca="1" si="38"/>
        <v>334955</v>
      </c>
      <c r="O43" s="78">
        <f t="shared" ca="1" si="35"/>
        <v>46.130698250929626</v>
      </c>
      <c r="P43" s="78">
        <f t="shared" ca="1" si="36"/>
        <v>92.274104683195588</v>
      </c>
    </row>
    <row r="44" spans="1:16" ht="21.75" customHeight="1" x14ac:dyDescent="0.45">
      <c r="A44" s="80"/>
      <c r="B44" s="81"/>
      <c r="C44" s="82" t="s">
        <v>16</v>
      </c>
      <c r="D44" s="549" t="s">
        <v>20</v>
      </c>
      <c r="E44" s="545"/>
      <c r="F44" s="54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726100</v>
      </c>
      <c r="M45" s="91">
        <f ca="1">IFERROR(__xludf.DUMMYFUNCTION("IMPORTRANGE(""https://docs.google.com/spreadsheets/d/1Yj_ptqi66GCucihVvJfMjLAmec39IyEx_6qawtMGysU/edit?usp=sharing"",""สบก!Q83"")"),363000)</f>
        <v>363000</v>
      </c>
      <c r="N45" s="91">
        <f ca="1">IFERROR(__xludf.DUMMYFUNCTION("IMPORTRANGE(""https://docs.google.com/spreadsheets/d/1Yj_ptqi66GCucihVvJfMjLAmec39IyEx_6qawtMGysU/edit?usp=sharing"",""สบก!R83"")"),334955)</f>
        <v>334955</v>
      </c>
      <c r="O45" s="92">
        <f ca="1">IF(L45&gt;0,N45*100/L45,0)</f>
        <v>46.130698250929626</v>
      </c>
      <c r="P45" s="92">
        <f ca="1">IF(M45&gt;0,N45*100/M45,0)</f>
        <v>92.274104683195588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IFERROR(__xludf.DUMMYFUNCTION("IMPORTRANGE(""https://docs.google.com/spreadsheets/d/1Yj_ptqi66GCucihVvJfMjLAmec39IyEx_6qawtMGysU/edit?usp=sharing"",""สบก!M83"")"),726100)</f>
        <v>726100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IFERROR(__xludf.DUMMYFUNCTION("IMPORTRANGE(""https://docs.google.com/spreadsheets/d/1Yj_ptqi66GCucihVvJfMjLAmec39IyEx_6qawtMGysU/edit?usp=sharing"",""สบก!N83"")"),0)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49" t="s">
        <v>23</v>
      </c>
      <c r="E48" s="54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IFERROR(__xludf.DUMMYFUNCTION("IMPORTRANGE(""https://docs.google.com/spreadsheets/d/1Yj_ptqi66GCucihVvJfMjLAmec39IyEx_6qawtMGysU/edit?usp=sharing"",""สบก!O83"")"),0)</f>
        <v>0</v>
      </c>
      <c r="M49" s="101"/>
      <c r="N49" s="91">
        <f ca="1">IFERROR(__xludf.DUMMYFUNCTION("IMPORTRANGE(""https://docs.google.com/spreadsheets/d/1Yj_ptqi66GCucihVvJfMjLAmec39IyEx_6qawtMGysU/edit?usp=sharing"",""สบก!S83"")"),0)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0" t="s">
        <v>32</v>
      </c>
      <c r="C52" s="545"/>
      <c r="D52" s="545"/>
      <c r="E52" s="545"/>
      <c r="F52" s="545"/>
      <c r="G52" s="54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1" t="s">
        <v>17</v>
      </c>
      <c r="E53" s="545"/>
      <c r="F53" s="545"/>
      <c r="G53" s="545"/>
      <c r="H53" s="122" t="s">
        <v>12</v>
      </c>
      <c r="I53" s="123"/>
      <c r="J53" s="123"/>
      <c r="K53" s="124"/>
      <c r="L53" s="125">
        <f t="shared" ref="L53:N53" ca="1" si="39">L54+L55</f>
        <v>340000</v>
      </c>
      <c r="M53" s="125">
        <f t="shared" ca="1" si="39"/>
        <v>180006</v>
      </c>
      <c r="N53" s="125">
        <f t="shared" ca="1" si="39"/>
        <v>151961</v>
      </c>
      <c r="O53" s="124">
        <f t="shared" ref="O53:O55" ca="1" si="40">IF(L53&gt;0,N53*100/L53,0)</f>
        <v>44.694411764705883</v>
      </c>
      <c r="P53" s="124">
        <f t="shared" ref="P53:P55" ca="1" si="41">IF(M53&gt;0,N53*100/M53,0)</f>
        <v>84.419963778985149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340000</v>
      </c>
      <c r="M55" s="125">
        <f t="shared" ca="1" si="43"/>
        <v>180006</v>
      </c>
      <c r="N55" s="125">
        <f t="shared" ca="1" si="43"/>
        <v>151961</v>
      </c>
      <c r="O55" s="124">
        <f t="shared" ca="1" si="40"/>
        <v>44.694411764705883</v>
      </c>
      <c r="P55" s="124">
        <f t="shared" ca="1" si="41"/>
        <v>84.419963778985149</v>
      </c>
    </row>
    <row r="56" spans="1:16" ht="21.75" customHeight="1" x14ac:dyDescent="0.45">
      <c r="A56" s="80"/>
      <c r="B56" s="81"/>
      <c r="C56" s="82" t="s">
        <v>16</v>
      </c>
      <c r="D56" s="549" t="s">
        <v>20</v>
      </c>
      <c r="E56" s="545"/>
      <c r="F56" s="54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340000</v>
      </c>
      <c r="M57" s="91">
        <f ca="1">IFERROR(__xludf.DUMMYFUNCTION("IMPORTRANGE(""https://docs.google.com/spreadsheets/d/1Yj_ptqi66GCucihVvJfMjLAmec39IyEx_6qawtMGysU/edit?usp=sharing"",""สบก!Z83"")"),180006)</f>
        <v>180006</v>
      </c>
      <c r="N57" s="91">
        <f ca="1">IFERROR(__xludf.DUMMYFUNCTION("IMPORTRANGE(""https://docs.google.com/spreadsheets/d/1Yj_ptqi66GCucihVvJfMjLAmec39IyEx_6qawtMGysU/edit?usp=sharing"",""สบก!AA83"")"),151961)</f>
        <v>151961</v>
      </c>
      <c r="O57" s="92">
        <f ca="1">IF(L57&gt;0,N57*100/L57,0)</f>
        <v>44.694411764705883</v>
      </c>
      <c r="P57" s="92">
        <f ca="1">IF(M57&gt;0,N57*100/M57,0)</f>
        <v>84.419963778985149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IFERROR(__xludf.DUMMYFUNCTION("IMPORTRANGE(""https://docs.google.com/spreadsheets/d/1Yj_ptqi66GCucihVvJfMjLAmec39IyEx_6qawtMGysU/edit?usp=sharing"",""สบก!V83"")"),340000)</f>
        <v>340000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IFERROR(__xludf.DUMMYFUNCTION("IMPORTRANGE(""https://docs.google.com/spreadsheets/d/1Yj_ptqi66GCucihVvJfMjLAmec39IyEx_6qawtMGysU/edit?usp=sharing"",""สบก!W83"")"),0)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49" t="s">
        <v>23</v>
      </c>
      <c r="E60" s="54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IFERROR(__xludf.DUMMYFUNCTION("IMPORTRANGE(""https://docs.google.com/spreadsheets/d/1Yj_ptqi66GCucihVvJfMjLAmec39IyEx_6qawtMGysU/edit?usp=sharing"",""สบก!X83"")"),0)</f>
        <v>0</v>
      </c>
      <c r="M61" s="101"/>
      <c r="N61" s="91">
        <f ca="1">IFERROR(__xludf.DUMMYFUNCTION("IMPORTRANGE(""https://docs.google.com/spreadsheets/d/1Yj_ptqi66GCucihVvJfMjLAmec39IyEx_6qawtMGysU/edit?usp=sharing"",""สบก!AB83"")"),0)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IFERROR(__xludf.DUMMYFUNCTION("IMPORTRANGE(""https://docs.google.com/spreadsheets/d/1IYY_tgx_IHuhSq3AJ5eI5OnqOPBNLWSHKh2a30DoXe8/edit?usp=sharing"",""ตรัง!I9"")"),0)</f>
        <v>0</v>
      </c>
      <c r="J64" s="146">
        <f ca="1">IFERROR(__xludf.DUMMYFUNCTION("IMPORTRANGE(""https://docs.google.com/spreadsheets/d/1IYY_tgx_IHuhSq3AJ5eI5OnqOPBNLWSHKh2a30DoXe8/edit?usp=sharing"",""ตรัง!J9"")"),0)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IFERROR(__xludf.DUMMYFUNCTION("IMPORTRANGE(""https://docs.google.com/spreadsheets/d/1IYY_tgx_IHuhSq3AJ5eI5OnqOPBNLWSHKh2a30DoXe8/edit?usp=sharing"",""ตรัง!I10"")"),0)</f>
        <v>0</v>
      </c>
      <c r="J65" s="146">
        <f ca="1">IFERROR(__xludf.DUMMYFUNCTION("IMPORTRANGE(""https://docs.google.com/spreadsheets/d/1IYY_tgx_IHuhSq3AJ5eI5OnqOPBNLWSHKh2a30DoXe8/edit?usp=sharing"",""ตรัง!J10"")"),0)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52" t="s">
        <v>17</v>
      </c>
      <c r="E66" s="543"/>
      <c r="F66" s="543"/>
      <c r="G66" s="54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5">
      <c r="A69" s="162"/>
      <c r="B69" s="163"/>
      <c r="C69" s="163" t="s">
        <v>16</v>
      </c>
      <c r="D69" s="164" t="s">
        <v>38</v>
      </c>
      <c r="E69" s="165"/>
      <c r="F69" s="165"/>
      <c r="G69" s="166" t="s">
        <v>39</v>
      </c>
      <c r="H69" s="167" t="s">
        <v>12</v>
      </c>
      <c r="I69" s="168" t="s">
        <v>40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 x14ac:dyDescent="0.35">
      <c r="A70" s="162"/>
      <c r="B70" s="163"/>
      <c r="C70" s="163"/>
      <c r="D70" s="172"/>
      <c r="E70" s="165"/>
      <c r="F70" s="165" t="s">
        <v>40</v>
      </c>
      <c r="G70" s="166" t="s">
        <v>41</v>
      </c>
      <c r="H70" s="167" t="s">
        <v>12</v>
      </c>
      <c r="I70" s="168"/>
      <c r="J70" s="168"/>
      <c r="K70" s="169"/>
      <c r="L70" s="173">
        <f ca="1">L71+L72</f>
        <v>0</v>
      </c>
      <c r="M70" s="174">
        <f ca="1">IFERROR(__xludf.DUMMYFUNCTION("IMPORTRANGE(""https://docs.google.com/spreadsheets/d/1Yj_ptqi66GCucihVvJfMjLAmec39IyEx_6qawtMGysU/edit?usp=sharing"",""สบก!AI83"")"),0)</f>
        <v>0</v>
      </c>
      <c r="N70" s="175">
        <f ca="1">IFERROR(__xludf.DUMMYFUNCTION("IMPORTRANGE(""https://docs.google.com/spreadsheets/d/1Yj_ptqi66GCucihVvJfMjLAmec39IyEx_6qawtMGysU/edit?usp=sharing"",""สบก!AJ83"")"),0)</f>
        <v>0</v>
      </c>
      <c r="O70" s="176">
        <f ca="1">IF(L70&gt;0,N70*100/L70,0)</f>
        <v>0</v>
      </c>
      <c r="P70" s="176">
        <f ca="1">IF(M70&gt;0,N70*100/M70,0)</f>
        <v>0</v>
      </c>
    </row>
    <row r="71" spans="1:16" ht="21.75" customHeight="1" x14ac:dyDescent="0.35">
      <c r="A71" s="162"/>
      <c r="B71" s="163"/>
      <c r="C71" s="163"/>
      <c r="D71" s="172"/>
      <c r="E71" s="165"/>
      <c r="F71" s="165"/>
      <c r="G71" s="177" t="s">
        <v>42</v>
      </c>
      <c r="H71" s="167" t="s">
        <v>12</v>
      </c>
      <c r="I71" s="168"/>
      <c r="J71" s="168"/>
      <c r="K71" s="169"/>
      <c r="L71" s="174">
        <f ca="1">IFERROR(__xludf.DUMMYFUNCTION("IMPORTRANGE(""https://docs.google.com/spreadsheets/d/1Yj_ptqi66GCucihVvJfMjLAmec39IyEx_6qawtMGysU/edit?usp=sharing"",""สบก!AE83"")"),0)</f>
        <v>0</v>
      </c>
      <c r="M71" s="173"/>
      <c r="N71" s="173"/>
      <c r="O71" s="176"/>
      <c r="P71" s="176"/>
    </row>
    <row r="72" spans="1:16" ht="21.75" customHeight="1" x14ac:dyDescent="0.35">
      <c r="A72" s="162"/>
      <c r="B72" s="163"/>
      <c r="C72" s="163"/>
      <c r="D72" s="172"/>
      <c r="E72" s="165"/>
      <c r="F72" s="165"/>
      <c r="G72" s="177" t="s">
        <v>43</v>
      </c>
      <c r="H72" s="167" t="s">
        <v>12</v>
      </c>
      <c r="I72" s="168"/>
      <c r="J72" s="168"/>
      <c r="K72" s="169"/>
      <c r="L72" s="174">
        <f ca="1">IFERROR(__xludf.DUMMYFUNCTION("IMPORTRANGE(""https://docs.google.com/spreadsheets/d/1Yj_ptqi66GCucihVvJfMjLAmec39IyEx_6qawtMGysU/edit?usp=sharing"",""สบก!AF83"")"),0)</f>
        <v>0</v>
      </c>
      <c r="M72" s="173"/>
      <c r="N72" s="173"/>
      <c r="O72" s="176"/>
      <c r="P72" s="176"/>
    </row>
    <row r="73" spans="1:16" ht="21.75" customHeight="1" x14ac:dyDescent="0.45">
      <c r="A73" s="178"/>
      <c r="B73" s="81"/>
      <c r="C73" s="82" t="s">
        <v>16</v>
      </c>
      <c r="D73" s="549" t="s">
        <v>23</v>
      </c>
      <c r="E73" s="545"/>
      <c r="F73" s="89"/>
      <c r="G73" s="83" t="s">
        <v>18</v>
      </c>
      <c r="H73" s="179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80"/>
      <c r="B74" s="95"/>
      <c r="C74" s="95"/>
      <c r="D74" s="181"/>
      <c r="E74" s="96"/>
      <c r="F74" s="96"/>
      <c r="G74" s="97" t="s">
        <v>19</v>
      </c>
      <c r="H74" s="182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IFERROR(__xludf.DUMMYFUNCTION("IMPORTRANGE(""https://docs.google.com/spreadsheets/d/1Yj_ptqi66GCucihVvJfMjLAmec39IyEx_6qawtMGysU/edit?usp=sharing"",""สบก!AG83"")"),0)</f>
        <v>0</v>
      </c>
      <c r="M74" s="101"/>
      <c r="N74" s="91">
        <f ca="1">IFERROR(__xludf.DUMMYFUNCTION("IMPORTRANGE(""https://docs.google.com/spreadsheets/d/1Yj_ptqi66GCucihVvJfMjLAmec39IyEx_6qawtMGysU/edit?usp=sharing"",""สบก!AK83"")"),0)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3"/>
      <c r="B75" s="184"/>
      <c r="C75" s="163" t="s">
        <v>16</v>
      </c>
      <c r="D75" s="185" t="s">
        <v>44</v>
      </c>
      <c r="E75" s="186"/>
      <c r="F75" s="186"/>
      <c r="G75" s="187"/>
      <c r="H75" s="188"/>
      <c r="I75" s="168"/>
      <c r="J75" s="168"/>
      <c r="K75" s="169"/>
      <c r="L75" s="189"/>
      <c r="M75" s="189"/>
      <c r="N75" s="189"/>
      <c r="O75" s="189"/>
      <c r="P75" s="189"/>
    </row>
    <row r="76" spans="1:16" ht="21.75" customHeight="1" x14ac:dyDescent="0.35">
      <c r="A76" s="183"/>
      <c r="B76" s="184"/>
      <c r="C76" s="184"/>
      <c r="D76" s="190">
        <v>1</v>
      </c>
      <c r="E76" s="191" t="s">
        <v>45</v>
      </c>
      <c r="F76" s="192"/>
      <c r="G76" s="193"/>
      <c r="H76" s="194"/>
      <c r="I76" s="195"/>
      <c r="J76" s="196">
        <f ca="1">IFERROR(__xludf.DUMMYFUNCTION("IMPORTRANGE(""https://docs.google.com/spreadsheets/d/1IYY_tgx_IHuhSq3AJ5eI5OnqOPBNLWSHKh2a30DoXe8/edit?usp=sharing"",""ตรัง!J16"")"),0)</f>
        <v>0</v>
      </c>
      <c r="K76" s="169"/>
      <c r="L76" s="189"/>
      <c r="M76" s="189"/>
      <c r="N76" s="189"/>
      <c r="O76" s="189"/>
      <c r="P76" s="189"/>
    </row>
    <row r="77" spans="1:16" ht="21.75" customHeight="1" x14ac:dyDescent="0.35">
      <c r="A77" s="183"/>
      <c r="B77" s="184"/>
      <c r="C77" s="184"/>
      <c r="D77" s="197">
        <v>2</v>
      </c>
      <c r="E77" s="198" t="s">
        <v>46</v>
      </c>
      <c r="F77" s="199"/>
      <c r="G77" s="200"/>
      <c r="H77" s="194"/>
      <c r="I77" s="195"/>
      <c r="J77" s="196">
        <f ca="1">IFERROR(__xludf.DUMMYFUNCTION("IMPORTRANGE(""https://docs.google.com/spreadsheets/d/1IYY_tgx_IHuhSq3AJ5eI5OnqOPBNLWSHKh2a30DoXe8/edit?usp=sharing"",""ตรัง!J17"")"),0)</f>
        <v>0</v>
      </c>
      <c r="K77" s="169"/>
      <c r="L77" s="189" t="s">
        <v>40</v>
      </c>
      <c r="M77" s="189"/>
      <c r="N77" s="189" t="s">
        <v>40</v>
      </c>
      <c r="O77" s="189"/>
      <c r="P77" s="189"/>
    </row>
    <row r="78" spans="1:16" ht="21.75" customHeight="1" x14ac:dyDescent="0.35">
      <c r="A78" s="183"/>
      <c r="B78" s="184"/>
      <c r="C78" s="184"/>
      <c r="D78" s="201"/>
      <c r="E78" s="202" t="s">
        <v>47</v>
      </c>
      <c r="F78" s="203"/>
      <c r="G78" s="204"/>
      <c r="H78" s="194"/>
      <c r="I78" s="195"/>
      <c r="J78" s="196">
        <f ca="1">IFERROR(__xludf.DUMMYFUNCTION("IMPORTRANGE(""https://docs.google.com/spreadsheets/d/1IYY_tgx_IHuhSq3AJ5eI5OnqOPBNLWSHKh2a30DoXe8/edit?usp=sharing"",""ตรัง!J18"")"),0)</f>
        <v>0</v>
      </c>
      <c r="K78" s="169"/>
      <c r="L78" s="189"/>
      <c r="M78" s="189"/>
      <c r="N78" s="189"/>
      <c r="O78" s="189"/>
      <c r="P78" s="189"/>
    </row>
    <row r="79" spans="1:16" ht="21.75" customHeight="1" x14ac:dyDescent="0.35">
      <c r="A79" s="183"/>
      <c r="B79" s="184"/>
      <c r="C79" s="184"/>
      <c r="D79" s="201"/>
      <c r="E79" s="202" t="s">
        <v>48</v>
      </c>
      <c r="F79" s="203"/>
      <c r="G79" s="204"/>
      <c r="H79" s="194"/>
      <c r="I79" s="195"/>
      <c r="J79" s="205">
        <f ca="1">IFERROR(__xludf.DUMMYFUNCTION("IMPORTRANGE(""https://docs.google.com/spreadsheets/d/1IYY_tgx_IHuhSq3AJ5eI5OnqOPBNLWSHKh2a30DoXe8/edit?usp=sharing"",""ตรัง!J19"")"),0)</f>
        <v>0</v>
      </c>
      <c r="K79" s="169"/>
      <c r="L79" s="189"/>
      <c r="M79" s="189"/>
      <c r="N79" s="189"/>
      <c r="O79" s="189"/>
      <c r="P79" s="189"/>
    </row>
    <row r="80" spans="1:16" ht="21.75" customHeight="1" x14ac:dyDescent="0.35">
      <c r="A80" s="183"/>
      <c r="B80" s="184"/>
      <c r="C80" s="184"/>
      <c r="D80" s="201"/>
      <c r="E80" s="206"/>
      <c r="F80" s="202" t="s">
        <v>49</v>
      </c>
      <c r="G80" s="203"/>
      <c r="H80" s="207" t="s">
        <v>36</v>
      </c>
      <c r="I80" s="208">
        <f ca="1">IFERROR(__xludf.DUMMYFUNCTION("IMPORTRANGE(""https://docs.google.com/spreadsheets/d/1IYY_tgx_IHuhSq3AJ5eI5OnqOPBNLWSHKh2a30DoXe8/edit?usp=sharing"",""ตรัง!I20"")"),0)</f>
        <v>0</v>
      </c>
      <c r="J80" s="208">
        <f ca="1">IFERROR(__xludf.DUMMYFUNCTION("IMPORTRANGE(""https://docs.google.com/spreadsheets/d/1IYY_tgx_IHuhSq3AJ5eI5OnqOPBNLWSHKh2a30DoXe8/edit?usp=sharing"",""ตรัง!J20"")"),0)</f>
        <v>0</v>
      </c>
      <c r="K80" s="209">
        <f t="shared" ref="K80:K88" ca="1" si="50">IF(I80&gt;0,J80*100/I80,0)</f>
        <v>0</v>
      </c>
      <c r="L80" s="189"/>
      <c r="M80" s="189"/>
      <c r="N80" s="189"/>
      <c r="O80" s="189"/>
      <c r="P80" s="189"/>
    </row>
    <row r="81" spans="1:16" ht="21.75" customHeight="1" x14ac:dyDescent="0.35">
      <c r="A81" s="183"/>
      <c r="B81" s="184"/>
      <c r="C81" s="184"/>
      <c r="D81" s="201"/>
      <c r="E81" s="206"/>
      <c r="F81" s="203"/>
      <c r="G81" s="204"/>
      <c r="H81" s="207" t="s">
        <v>37</v>
      </c>
      <c r="I81" s="208">
        <f ca="1">IFERROR(__xludf.DUMMYFUNCTION("IMPORTRANGE(""https://docs.google.com/spreadsheets/d/1IYY_tgx_IHuhSq3AJ5eI5OnqOPBNLWSHKh2a30DoXe8/edit?usp=sharing"",""ตรัง!I21"")"),0)</f>
        <v>0</v>
      </c>
      <c r="J81" s="208">
        <f ca="1">IFERROR(__xludf.DUMMYFUNCTION("IMPORTRANGE(""https://docs.google.com/spreadsheets/d/1IYY_tgx_IHuhSq3AJ5eI5OnqOPBNLWSHKh2a30DoXe8/edit?usp=sharing"",""ตรัง!J21"")"),0)</f>
        <v>0</v>
      </c>
      <c r="K81" s="209">
        <f t="shared" ca="1" si="50"/>
        <v>0</v>
      </c>
      <c r="L81" s="189"/>
      <c r="M81" s="189"/>
      <c r="N81" s="189"/>
      <c r="O81" s="189"/>
      <c r="P81" s="189"/>
    </row>
    <row r="82" spans="1:16" ht="21.75" customHeight="1" x14ac:dyDescent="0.35">
      <c r="A82" s="183"/>
      <c r="B82" s="184"/>
      <c r="C82" s="184"/>
      <c r="D82" s="201"/>
      <c r="E82" s="206"/>
      <c r="F82" s="203"/>
      <c r="G82" s="203" t="s">
        <v>50</v>
      </c>
      <c r="H82" s="188" t="s">
        <v>36</v>
      </c>
      <c r="I82" s="210">
        <f ca="1">IFERROR(__xludf.DUMMYFUNCTION("IMPORTRANGE(""https://docs.google.com/spreadsheets/d/1IYY_tgx_IHuhSq3AJ5eI5OnqOPBNLWSHKh2a30DoXe8/edit?usp=sharing"",""ตรัง!I22"")"),0)</f>
        <v>0</v>
      </c>
      <c r="J82" s="211">
        <f ca="1">IFERROR(__xludf.DUMMYFUNCTION("IMPORTRANGE(""https://docs.google.com/spreadsheets/d/1IYY_tgx_IHuhSq3AJ5eI5OnqOPBNLWSHKh2a30DoXe8/edit?usp=sharing"",""ตรัง!J22"")"),0)</f>
        <v>0</v>
      </c>
      <c r="K82" s="169">
        <f t="shared" ca="1" si="50"/>
        <v>0</v>
      </c>
      <c r="L82" s="189"/>
      <c r="M82" s="189"/>
      <c r="N82" s="189"/>
      <c r="O82" s="189"/>
      <c r="P82" s="189"/>
    </row>
    <row r="83" spans="1:16" ht="21.75" customHeight="1" x14ac:dyDescent="0.35">
      <c r="A83" s="183"/>
      <c r="B83" s="184"/>
      <c r="C83" s="184"/>
      <c r="D83" s="201"/>
      <c r="E83" s="206"/>
      <c r="F83" s="203"/>
      <c r="G83" s="204"/>
      <c r="H83" s="188" t="s">
        <v>37</v>
      </c>
      <c r="I83" s="210">
        <f ca="1">IFERROR(__xludf.DUMMYFUNCTION("IMPORTRANGE(""https://docs.google.com/spreadsheets/d/1IYY_tgx_IHuhSq3AJ5eI5OnqOPBNLWSHKh2a30DoXe8/edit?usp=sharing"",""ตรัง!I23"")"),0)</f>
        <v>0</v>
      </c>
      <c r="J83" s="211">
        <f ca="1">IFERROR(__xludf.DUMMYFUNCTION("IMPORTRANGE(""https://docs.google.com/spreadsheets/d/1IYY_tgx_IHuhSq3AJ5eI5OnqOPBNLWSHKh2a30DoXe8/edit?usp=sharing"",""ตรัง!J23"")"),0)</f>
        <v>0</v>
      </c>
      <c r="K83" s="169">
        <f t="shared" ca="1" si="50"/>
        <v>0</v>
      </c>
      <c r="L83" s="189"/>
      <c r="M83" s="189"/>
      <c r="N83" s="189"/>
      <c r="O83" s="189"/>
      <c r="P83" s="189"/>
    </row>
    <row r="84" spans="1:16" ht="21.75" customHeight="1" x14ac:dyDescent="0.35">
      <c r="A84" s="183"/>
      <c r="B84" s="184"/>
      <c r="C84" s="184"/>
      <c r="D84" s="201"/>
      <c r="E84" s="206"/>
      <c r="F84" s="203"/>
      <c r="G84" s="203" t="s">
        <v>51</v>
      </c>
      <c r="H84" s="188" t="s">
        <v>36</v>
      </c>
      <c r="I84" s="210">
        <f ca="1">IFERROR(__xludf.DUMMYFUNCTION("IMPORTRANGE(""https://docs.google.com/spreadsheets/d/1IYY_tgx_IHuhSq3AJ5eI5OnqOPBNLWSHKh2a30DoXe8/edit?usp=sharing"",""ตรัง!I24"")"),0)</f>
        <v>0</v>
      </c>
      <c r="J84" s="196">
        <f ca="1">IFERROR(__xludf.DUMMYFUNCTION("IMPORTRANGE(""https://docs.google.com/spreadsheets/d/1IYY_tgx_IHuhSq3AJ5eI5OnqOPBNLWSHKh2a30DoXe8/edit?usp=sharing"",""ตรัง!J24"")"),0)</f>
        <v>0</v>
      </c>
      <c r="K84" s="169">
        <f t="shared" ca="1" si="50"/>
        <v>0</v>
      </c>
      <c r="L84" s="189"/>
      <c r="M84" s="189"/>
      <c r="N84" s="189"/>
      <c r="O84" s="189"/>
      <c r="P84" s="189"/>
    </row>
    <row r="85" spans="1:16" ht="21.75" customHeight="1" x14ac:dyDescent="0.35">
      <c r="A85" s="183"/>
      <c r="B85" s="184"/>
      <c r="C85" s="184"/>
      <c r="D85" s="201"/>
      <c r="E85" s="206"/>
      <c r="F85" s="203"/>
      <c r="G85" s="204"/>
      <c r="H85" s="188" t="s">
        <v>37</v>
      </c>
      <c r="I85" s="210">
        <f ca="1">IFERROR(__xludf.DUMMYFUNCTION("IMPORTRANGE(""https://docs.google.com/spreadsheets/d/1IYY_tgx_IHuhSq3AJ5eI5OnqOPBNLWSHKh2a30DoXe8/edit?usp=sharing"",""ตรัง!I25"")"),0)</f>
        <v>0</v>
      </c>
      <c r="J85" s="196">
        <f ca="1">IFERROR(__xludf.DUMMYFUNCTION("IMPORTRANGE(""https://docs.google.com/spreadsheets/d/1IYY_tgx_IHuhSq3AJ5eI5OnqOPBNLWSHKh2a30DoXe8/edit?usp=sharing"",""ตรัง!J25"")"),0)</f>
        <v>0</v>
      </c>
      <c r="K85" s="169">
        <f t="shared" ca="1" si="50"/>
        <v>0</v>
      </c>
      <c r="L85" s="189"/>
      <c r="M85" s="189"/>
      <c r="N85" s="189"/>
      <c r="O85" s="189"/>
      <c r="P85" s="189"/>
    </row>
    <row r="86" spans="1:16" ht="21.75" customHeight="1" x14ac:dyDescent="0.35">
      <c r="A86" s="183"/>
      <c r="B86" s="184"/>
      <c r="C86" s="184"/>
      <c r="D86" s="201"/>
      <c r="E86" s="206"/>
      <c r="F86" s="203"/>
      <c r="G86" s="203" t="s">
        <v>52</v>
      </c>
      <c r="H86" s="188" t="s">
        <v>36</v>
      </c>
      <c r="I86" s="210">
        <f ca="1">IFERROR(__xludf.DUMMYFUNCTION("IMPORTRANGE(""https://docs.google.com/spreadsheets/d/1IYY_tgx_IHuhSq3AJ5eI5OnqOPBNLWSHKh2a30DoXe8/edit?usp=sharing"",""ตรัง!I26"")"),0)</f>
        <v>0</v>
      </c>
      <c r="J86" s="211">
        <f ca="1">IFERROR(__xludf.DUMMYFUNCTION("IMPORTRANGE(""https://docs.google.com/spreadsheets/d/1IYY_tgx_IHuhSq3AJ5eI5OnqOPBNLWSHKh2a30DoXe8/edit?usp=sharing"",""ตรัง!J26"")"),0)</f>
        <v>0</v>
      </c>
      <c r="K86" s="169">
        <f t="shared" ca="1" si="50"/>
        <v>0</v>
      </c>
      <c r="L86" s="189"/>
      <c r="M86" s="189"/>
      <c r="N86" s="189"/>
      <c r="O86" s="189"/>
      <c r="P86" s="189"/>
    </row>
    <row r="87" spans="1:16" ht="21.75" customHeight="1" x14ac:dyDescent="0.35">
      <c r="A87" s="183"/>
      <c r="B87" s="184"/>
      <c r="C87" s="184"/>
      <c r="D87" s="201"/>
      <c r="E87" s="206"/>
      <c r="F87" s="203"/>
      <c r="G87" s="204"/>
      <c r="H87" s="188" t="s">
        <v>37</v>
      </c>
      <c r="I87" s="210">
        <f ca="1">IFERROR(__xludf.DUMMYFUNCTION("IMPORTRANGE(""https://docs.google.com/spreadsheets/d/1IYY_tgx_IHuhSq3AJ5eI5OnqOPBNLWSHKh2a30DoXe8/edit?usp=sharing"",""ตรัง!I27"")"),0)</f>
        <v>0</v>
      </c>
      <c r="J87" s="211">
        <f ca="1">IFERROR(__xludf.DUMMYFUNCTION("IMPORTRANGE(""https://docs.google.com/spreadsheets/d/1IYY_tgx_IHuhSq3AJ5eI5OnqOPBNLWSHKh2a30DoXe8/edit?usp=sharing"",""ตรัง!J27"")"),0)</f>
        <v>0</v>
      </c>
      <c r="K87" s="169">
        <f t="shared" ca="1" si="50"/>
        <v>0</v>
      </c>
      <c r="L87" s="189"/>
      <c r="M87" s="189"/>
      <c r="N87" s="189"/>
      <c r="O87" s="189"/>
      <c r="P87" s="189"/>
    </row>
    <row r="88" spans="1:16" ht="21.75" customHeight="1" x14ac:dyDescent="0.35">
      <c r="A88" s="183"/>
      <c r="B88" s="184"/>
      <c r="C88" s="184"/>
      <c r="D88" s="201"/>
      <c r="E88" s="206"/>
      <c r="F88" s="212" t="s">
        <v>53</v>
      </c>
      <c r="G88" s="203"/>
      <c r="H88" s="188" t="s">
        <v>37</v>
      </c>
      <c r="I88" s="210">
        <f ca="1">IFERROR(__xludf.DUMMYFUNCTION("IMPORTRANGE(""https://docs.google.com/spreadsheets/d/1IYY_tgx_IHuhSq3AJ5eI5OnqOPBNLWSHKh2a30DoXe8/edit?usp=sharing"",""ตรัง!I28"")"),0)</f>
        <v>0</v>
      </c>
      <c r="J88" s="211">
        <f ca="1">IFERROR(__xludf.DUMMYFUNCTION("IMPORTRANGE(""https://docs.google.com/spreadsheets/d/1IYY_tgx_IHuhSq3AJ5eI5OnqOPBNLWSHKh2a30DoXe8/edit?usp=sharing"",""ตรัง!J28"")"),0)</f>
        <v>0</v>
      </c>
      <c r="K88" s="169">
        <f t="shared" ca="1" si="50"/>
        <v>0</v>
      </c>
      <c r="L88" s="189"/>
      <c r="M88" s="189"/>
      <c r="N88" s="189"/>
      <c r="O88" s="189"/>
      <c r="P88" s="189"/>
    </row>
    <row r="89" spans="1:16" ht="21.75" customHeight="1" x14ac:dyDescent="0.35">
      <c r="A89" s="183"/>
      <c r="B89" s="184"/>
      <c r="C89" s="184"/>
      <c r="D89" s="201"/>
      <c r="E89" s="202" t="s">
        <v>54</v>
      </c>
      <c r="F89" s="203"/>
      <c r="G89" s="204"/>
      <c r="H89" s="194"/>
      <c r="I89" s="195"/>
      <c r="J89" s="205">
        <f ca="1">IFERROR(__xludf.DUMMYFUNCTION("IMPORTRANGE(""https://docs.google.com/spreadsheets/d/1IYY_tgx_IHuhSq3AJ5eI5OnqOPBNLWSHKh2a30DoXe8/edit?usp=sharing"",""ตรัง!J29"")"),0)</f>
        <v>0</v>
      </c>
      <c r="K89" s="169"/>
      <c r="L89" s="189"/>
      <c r="M89" s="189"/>
      <c r="N89" s="189"/>
      <c r="O89" s="189"/>
      <c r="P89" s="189"/>
    </row>
    <row r="90" spans="1:16" ht="21.75" customHeight="1" x14ac:dyDescent="0.35">
      <c r="A90" s="183"/>
      <c r="B90" s="184"/>
      <c r="C90" s="184"/>
      <c r="D90" s="213">
        <v>3</v>
      </c>
      <c r="E90" s="214" t="s">
        <v>55</v>
      </c>
      <c r="F90" s="215"/>
      <c r="G90" s="216"/>
      <c r="H90" s="194"/>
      <c r="I90" s="195"/>
      <c r="J90" s="217">
        <f ca="1">IFERROR(__xludf.DUMMYFUNCTION("IMPORTRANGE(""https://docs.google.com/spreadsheets/d/1IYY_tgx_IHuhSq3AJ5eI5OnqOPBNLWSHKh2a30DoXe8/edit?usp=sharing"",""ตรัง!J30"")"),0)</f>
        <v>0</v>
      </c>
      <c r="K90" s="169"/>
      <c r="L90" s="189"/>
      <c r="M90" s="189"/>
      <c r="N90" s="189"/>
      <c r="O90" s="189"/>
      <c r="P90" s="189"/>
    </row>
    <row r="91" spans="1:16" ht="21.75" customHeight="1" x14ac:dyDescent="0.35">
      <c r="A91" s="218" t="s">
        <v>56</v>
      </c>
      <c r="B91" s="219"/>
      <c r="C91" s="220"/>
      <c r="D91" s="219"/>
      <c r="E91" s="221"/>
      <c r="F91" s="221"/>
      <c r="G91" s="222"/>
      <c r="H91" s="223"/>
      <c r="I91" s="224"/>
      <c r="J91" s="224"/>
      <c r="K91" s="225"/>
      <c r="L91" s="226"/>
      <c r="M91" s="226"/>
      <c r="N91" s="226"/>
      <c r="O91" s="227"/>
      <c r="P91" s="227"/>
    </row>
    <row r="92" spans="1:16" ht="21.75" customHeight="1" x14ac:dyDescent="0.35">
      <c r="A92" s="142"/>
      <c r="B92" s="143" t="s">
        <v>57</v>
      </c>
      <c r="C92" s="143"/>
      <c r="D92" s="144"/>
      <c r="E92" s="143"/>
      <c r="F92" s="143"/>
      <c r="G92" s="228"/>
      <c r="H92" s="145" t="s">
        <v>37</v>
      </c>
      <c r="I92" s="146">
        <f ca="1">IFERROR(__xludf.DUMMYFUNCTION("IMPORTRANGE(""https://docs.google.com/spreadsheets/d/1IYY_tgx_IHuhSq3AJ5eI5OnqOPBNLWSHKh2a30DoXe8/edit?usp=sharing"",""ตรัง!I32"")"),4)</f>
        <v>4</v>
      </c>
      <c r="J92" s="146">
        <f ca="1">IFERROR(__xludf.DUMMYFUNCTION("IMPORTRANGE(""https://docs.google.com/spreadsheets/d/1IYY_tgx_IHuhSq3AJ5eI5OnqOPBNLWSHKh2a30DoXe8/edit?usp=sharing"",""ตรัง!J32"")"),0)</f>
        <v>0</v>
      </c>
      <c r="K92" s="147">
        <f t="shared" ref="K92:K93" ca="1" si="51">IF(I92&gt;0,J92*100/I92,0)</f>
        <v>0</v>
      </c>
      <c r="L92" s="229"/>
      <c r="M92" s="229"/>
      <c r="N92" s="230"/>
      <c r="O92" s="147"/>
      <c r="P92" s="147"/>
    </row>
    <row r="93" spans="1:16" ht="21.75" customHeight="1" x14ac:dyDescent="0.35">
      <c r="A93" s="142"/>
      <c r="B93" s="143"/>
      <c r="C93" s="143"/>
      <c r="D93" s="144" t="s">
        <v>58</v>
      </c>
      <c r="E93" s="143"/>
      <c r="F93" s="143"/>
      <c r="G93" s="228"/>
      <c r="H93" s="145" t="s">
        <v>59</v>
      </c>
      <c r="I93" s="146">
        <f ca="1">IFERROR(__xludf.DUMMYFUNCTION("IMPORTRANGE(""https://docs.google.com/spreadsheets/d/1IYY_tgx_IHuhSq3AJ5eI5OnqOPBNLWSHKh2a30DoXe8/edit?usp=sharing"",""ตรัง!I33"")"),1)</f>
        <v>1</v>
      </c>
      <c r="J93" s="146">
        <f ca="1">IFERROR(__xludf.DUMMYFUNCTION("IMPORTRANGE(""https://docs.google.com/spreadsheets/d/1IYY_tgx_IHuhSq3AJ5eI5OnqOPBNLWSHKh2a30DoXe8/edit?usp=sharing"",""ตรัง!J33"")"),1)</f>
        <v>1</v>
      </c>
      <c r="K93" s="147">
        <f t="shared" ca="1" si="51"/>
        <v>100</v>
      </c>
      <c r="L93" s="230"/>
      <c r="M93" s="230"/>
      <c r="N93" s="230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52" t="s">
        <v>17</v>
      </c>
      <c r="E94" s="543"/>
      <c r="F94" s="543"/>
      <c r="G94" s="543"/>
      <c r="H94" s="153" t="s">
        <v>12</v>
      </c>
      <c r="I94" s="168"/>
      <c r="J94" s="168"/>
      <c r="K94" s="169"/>
      <c r="L94" s="156">
        <f t="shared" ref="L94:N94" ca="1" si="52">L95+L96</f>
        <v>214500</v>
      </c>
      <c r="M94" s="156">
        <f t="shared" ca="1" si="52"/>
        <v>161130</v>
      </c>
      <c r="N94" s="156">
        <f t="shared" ca="1" si="52"/>
        <v>100175</v>
      </c>
      <c r="O94" s="155">
        <f t="shared" ref="O94:O96" ca="1" si="53">IF(L94&gt;0,N94*100/L94,0)</f>
        <v>46.701631701631705</v>
      </c>
      <c r="P94" s="155">
        <f t="shared" ref="P94:P96" ca="1" si="54">IF(M94&gt;0,N94*100/M94,0)</f>
        <v>62.170297275491841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8"/>
      <c r="J95" s="168"/>
      <c r="K95" s="169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8"/>
      <c r="J96" s="168"/>
      <c r="K96" s="169"/>
      <c r="L96" s="161">
        <f t="shared" ref="L96:N96" ca="1" si="56">L98+L102</f>
        <v>214500</v>
      </c>
      <c r="M96" s="161">
        <f t="shared" ca="1" si="56"/>
        <v>161130</v>
      </c>
      <c r="N96" s="161">
        <f t="shared" ca="1" si="56"/>
        <v>100175</v>
      </c>
      <c r="O96" s="160">
        <f t="shared" ca="1" si="53"/>
        <v>46.701631701631705</v>
      </c>
      <c r="P96" s="160">
        <f t="shared" ca="1" si="54"/>
        <v>62.170297275491841</v>
      </c>
    </row>
    <row r="97" spans="1:16" ht="21.75" customHeight="1" x14ac:dyDescent="0.35">
      <c r="A97" s="162"/>
      <c r="B97" s="163"/>
      <c r="C97" s="163" t="s">
        <v>16</v>
      </c>
      <c r="D97" s="164" t="s">
        <v>38</v>
      </c>
      <c r="E97" s="165"/>
      <c r="F97" s="165"/>
      <c r="G97" s="166" t="s">
        <v>39</v>
      </c>
      <c r="H97" s="167" t="s">
        <v>12</v>
      </c>
      <c r="I97" s="168" t="s">
        <v>40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 x14ac:dyDescent="0.35">
      <c r="A98" s="162"/>
      <c r="B98" s="163"/>
      <c r="C98" s="163"/>
      <c r="D98" s="172"/>
      <c r="E98" s="165"/>
      <c r="F98" s="165" t="s">
        <v>40</v>
      </c>
      <c r="G98" s="166" t="s">
        <v>41</v>
      </c>
      <c r="H98" s="167" t="s">
        <v>12</v>
      </c>
      <c r="I98" s="168"/>
      <c r="J98" s="168"/>
      <c r="K98" s="169"/>
      <c r="L98" s="173">
        <f ca="1">L99+L100</f>
        <v>122100</v>
      </c>
      <c r="M98" s="174">
        <f ca="1">IFERROR(__xludf.DUMMYFUNCTION("IMPORTRANGE(""https://docs.google.com/spreadsheets/d/1Yj_ptqi66GCucihVvJfMjLAmec39IyEx_6qawtMGysU/edit?usp=sharing"",""สบก!AR83"")"),68730)</f>
        <v>68730</v>
      </c>
      <c r="N98" s="175">
        <f ca="1">IFERROR(__xludf.DUMMYFUNCTION("IMPORTRANGE(""https://docs.google.com/spreadsheets/d/1Yj_ptqi66GCucihVvJfMjLAmec39IyEx_6qawtMGysU/edit?usp=sharing"",""สบก!AS83"")"),7775)</f>
        <v>7775</v>
      </c>
      <c r="O98" s="176">
        <f ca="1">IF(L98&gt;0,N98*100/L98,0)</f>
        <v>6.3677313677313681</v>
      </c>
      <c r="P98" s="176">
        <f ca="1">IF(M98&gt;0,N98*100/M98,0)</f>
        <v>11.312381783791649</v>
      </c>
    </row>
    <row r="99" spans="1:16" ht="21.75" customHeight="1" x14ac:dyDescent="0.35">
      <c r="A99" s="162"/>
      <c r="B99" s="163"/>
      <c r="C99" s="163"/>
      <c r="D99" s="172"/>
      <c r="E99" s="165"/>
      <c r="F99" s="165"/>
      <c r="G99" s="177" t="s">
        <v>42</v>
      </c>
      <c r="H99" s="167" t="s">
        <v>12</v>
      </c>
      <c r="I99" s="168"/>
      <c r="J99" s="168"/>
      <c r="K99" s="169"/>
      <c r="L99" s="174">
        <f ca="1">IFERROR(__xludf.DUMMYFUNCTION("IMPORTRANGE(""https://docs.google.com/spreadsheets/d/1Yj_ptqi66GCucihVvJfMjLAmec39IyEx_6qawtMGysU/edit?usp=sharing"",""สบก!AN83"")"),0)</f>
        <v>0</v>
      </c>
      <c r="M99" s="173"/>
      <c r="N99" s="173"/>
      <c r="O99" s="176"/>
      <c r="P99" s="176"/>
    </row>
    <row r="100" spans="1:16" ht="21.75" customHeight="1" x14ac:dyDescent="0.35">
      <c r="A100" s="162"/>
      <c r="B100" s="163"/>
      <c r="C100" s="163"/>
      <c r="D100" s="172"/>
      <c r="E100" s="165"/>
      <c r="F100" s="165"/>
      <c r="G100" s="177" t="s">
        <v>43</v>
      </c>
      <c r="H100" s="167" t="s">
        <v>12</v>
      </c>
      <c r="I100" s="168"/>
      <c r="J100" s="195"/>
      <c r="K100" s="231"/>
      <c r="L100" s="174">
        <f ca="1">IFERROR(__xludf.DUMMYFUNCTION("IMPORTRANGE(""https://docs.google.com/spreadsheets/d/1Yj_ptqi66GCucihVvJfMjLAmec39IyEx_6qawtMGysU/edit?usp=sharing"",""สบก!AO83"")"),122100)</f>
        <v>122100</v>
      </c>
      <c r="M100" s="173"/>
      <c r="N100" s="173"/>
      <c r="O100" s="176"/>
      <c r="P100" s="176"/>
    </row>
    <row r="101" spans="1:16" ht="21.75" customHeight="1" x14ac:dyDescent="0.45">
      <c r="A101" s="178"/>
      <c r="B101" s="81"/>
      <c r="C101" s="82" t="s">
        <v>16</v>
      </c>
      <c r="D101" s="549" t="s">
        <v>23</v>
      </c>
      <c r="E101" s="545"/>
      <c r="F101" s="89"/>
      <c r="G101" s="83" t="s">
        <v>18</v>
      </c>
      <c r="H101" s="179" t="s">
        <v>12</v>
      </c>
      <c r="I101" s="195"/>
      <c r="J101" s="195"/>
      <c r="K101" s="231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80"/>
      <c r="B102" s="95"/>
      <c r="C102" s="95"/>
      <c r="D102" s="181"/>
      <c r="E102" s="96"/>
      <c r="F102" s="96"/>
      <c r="G102" s="97" t="s">
        <v>19</v>
      </c>
      <c r="H102" s="182" t="s">
        <v>12</v>
      </c>
      <c r="I102" s="195"/>
      <c r="J102" s="195"/>
      <c r="K102" s="231"/>
      <c r="L102" s="91">
        <f ca="1">IFERROR(__xludf.DUMMYFUNCTION("IMPORTRANGE(""https://docs.google.com/spreadsheets/d/1Yj_ptqi66GCucihVvJfMjLAmec39IyEx_6qawtMGysU/edit?usp=sharing"",""สบก!AP83"")"),92400)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IFERROR(__xludf.DUMMYFUNCTION("IMPORTRANGE(""https://docs.google.com/spreadsheets/d/1Yj_ptqi66GCucihVvJfMjLAmec39IyEx_6qawtMGysU/edit?usp=sharing"",""สบก!AT83"")"),92400)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3"/>
      <c r="B103" s="184"/>
      <c r="C103" s="163" t="s">
        <v>16</v>
      </c>
      <c r="D103" s="185" t="s">
        <v>44</v>
      </c>
      <c r="E103" s="186"/>
      <c r="F103" s="186"/>
      <c r="G103" s="187"/>
      <c r="H103" s="188"/>
      <c r="I103" s="168"/>
      <c r="J103" s="195"/>
      <c r="K103" s="231"/>
      <c r="L103" s="176"/>
      <c r="M103" s="176"/>
      <c r="N103" s="176"/>
      <c r="O103" s="189"/>
      <c r="P103" s="189"/>
    </row>
    <row r="104" spans="1:16" ht="21.75" customHeight="1" x14ac:dyDescent="0.35">
      <c r="A104" s="183"/>
      <c r="B104" s="184"/>
      <c r="C104" s="184"/>
      <c r="D104" s="190">
        <v>1</v>
      </c>
      <c r="E104" s="191" t="s">
        <v>45</v>
      </c>
      <c r="F104" s="192"/>
      <c r="G104" s="193"/>
      <c r="H104" s="194"/>
      <c r="I104" s="195"/>
      <c r="J104" s="195">
        <f ca="1">IFERROR(__xludf.DUMMYFUNCTION("IMPORTRANGE(""https://docs.google.com/spreadsheets/d/1IYY_tgx_IHuhSq3AJ5eI5OnqOPBNLWSHKh2a30DoXe8/edit?usp=sharing"",""ตรัง!J39"")"),0)</f>
        <v>0</v>
      </c>
      <c r="K104" s="231"/>
      <c r="L104" s="176"/>
      <c r="M104" s="176"/>
      <c r="N104" s="176"/>
      <c r="O104" s="189"/>
      <c r="P104" s="189"/>
    </row>
    <row r="105" spans="1:16" ht="21.75" customHeight="1" x14ac:dyDescent="0.35">
      <c r="A105" s="183"/>
      <c r="B105" s="184"/>
      <c r="C105" s="184"/>
      <c r="D105" s="197">
        <v>2</v>
      </c>
      <c r="E105" s="198" t="s">
        <v>46</v>
      </c>
      <c r="F105" s="199"/>
      <c r="G105" s="200"/>
      <c r="H105" s="194"/>
      <c r="I105" s="195"/>
      <c r="J105" s="195">
        <f ca="1">IFERROR(__xludf.DUMMYFUNCTION("IMPORTRANGE(""https://docs.google.com/spreadsheets/d/1IYY_tgx_IHuhSq3AJ5eI5OnqOPBNLWSHKh2a30DoXe8/edit?usp=sharing"",""ตรัง!J40"")"),1)</f>
        <v>1</v>
      </c>
      <c r="K105" s="231"/>
      <c r="L105" s="176" t="s">
        <v>40</v>
      </c>
      <c r="M105" s="176"/>
      <c r="N105" s="176" t="s">
        <v>40</v>
      </c>
      <c r="O105" s="189"/>
      <c r="P105" s="189"/>
    </row>
    <row r="106" spans="1:16" ht="21.75" customHeight="1" x14ac:dyDescent="0.35">
      <c r="A106" s="183"/>
      <c r="B106" s="184"/>
      <c r="C106" s="184"/>
      <c r="D106" s="201"/>
      <c r="E106" s="202" t="s">
        <v>47</v>
      </c>
      <c r="F106" s="203"/>
      <c r="G106" s="204"/>
      <c r="H106" s="194"/>
      <c r="I106" s="195"/>
      <c r="J106" s="195">
        <f ca="1">IFERROR(__xludf.DUMMYFUNCTION("IMPORTRANGE(""https://docs.google.com/spreadsheets/d/1IYY_tgx_IHuhSq3AJ5eI5OnqOPBNLWSHKh2a30DoXe8/edit?usp=sharing"",""ตรัง!J41"")"),1)</f>
        <v>1</v>
      </c>
      <c r="K106" s="231"/>
      <c r="L106" s="176"/>
      <c r="M106" s="176"/>
      <c r="N106" s="176"/>
      <c r="O106" s="189"/>
      <c r="P106" s="189"/>
    </row>
    <row r="107" spans="1:16" ht="21.75" customHeight="1" x14ac:dyDescent="0.35">
      <c r="A107" s="183"/>
      <c r="B107" s="184"/>
      <c r="C107" s="184"/>
      <c r="D107" s="201"/>
      <c r="E107" s="202" t="s">
        <v>48</v>
      </c>
      <c r="F107" s="203"/>
      <c r="G107" s="204"/>
      <c r="H107" s="194"/>
      <c r="I107" s="195"/>
      <c r="J107" s="195">
        <f ca="1">IFERROR(__xludf.DUMMYFUNCTION("IMPORTRANGE(""https://docs.google.com/spreadsheets/d/1IYY_tgx_IHuhSq3AJ5eI5OnqOPBNLWSHKh2a30DoXe8/edit?usp=sharing"",""ตรัง!J42"")"),1)</f>
        <v>1</v>
      </c>
      <c r="K107" s="231"/>
      <c r="L107" s="176"/>
      <c r="M107" s="176"/>
      <c r="N107" s="176"/>
      <c r="O107" s="189"/>
      <c r="P107" s="189"/>
    </row>
    <row r="108" spans="1:16" ht="21.75" customHeight="1" x14ac:dyDescent="0.35">
      <c r="A108" s="183"/>
      <c r="B108" s="184"/>
      <c r="C108" s="184"/>
      <c r="D108" s="201"/>
      <c r="E108" s="203"/>
      <c r="F108" s="203" t="s">
        <v>60</v>
      </c>
      <c r="G108" s="203"/>
      <c r="H108" s="188" t="s">
        <v>61</v>
      </c>
      <c r="I108" s="210">
        <f ca="1">IFERROR(__xludf.DUMMYFUNCTION("IMPORTRANGE(""https://docs.google.com/spreadsheets/d/1IYY_tgx_IHuhSq3AJ5eI5OnqOPBNLWSHKh2a30DoXe8/edit?usp=sharing"",""ตรัง!I43"")"),1)</f>
        <v>1</v>
      </c>
      <c r="J108" s="211">
        <f ca="1">IFERROR(__xludf.DUMMYFUNCTION("IMPORTRANGE(""https://docs.google.com/spreadsheets/d/1IYY_tgx_IHuhSq3AJ5eI5OnqOPBNLWSHKh2a30DoXe8/edit?usp=sharing"",""ตรัง!J43"")"),0)</f>
        <v>0</v>
      </c>
      <c r="K108" s="231">
        <f t="shared" ref="K108:K113" ca="1" si="57">IF(I108&gt;0,J108*100/I108,0)</f>
        <v>0</v>
      </c>
      <c r="L108" s="176"/>
      <c r="M108" s="176"/>
      <c r="N108" s="176"/>
      <c r="O108" s="189"/>
      <c r="P108" s="189"/>
    </row>
    <row r="109" spans="1:16" ht="21.75" customHeight="1" x14ac:dyDescent="0.35">
      <c r="A109" s="183"/>
      <c r="B109" s="184"/>
      <c r="C109" s="184"/>
      <c r="D109" s="201"/>
      <c r="E109" s="206"/>
      <c r="F109" s="202" t="s">
        <v>62</v>
      </c>
      <c r="G109" s="203"/>
      <c r="H109" s="188" t="s">
        <v>37</v>
      </c>
      <c r="I109" s="210">
        <f ca="1">IFERROR(__xludf.DUMMYFUNCTION("IMPORTRANGE(""https://docs.google.com/spreadsheets/d/1IYY_tgx_IHuhSq3AJ5eI5OnqOPBNLWSHKh2a30DoXe8/edit?usp=sharing"",""ตรัง!I44"")"),4)</f>
        <v>4</v>
      </c>
      <c r="J109" s="211">
        <f ca="1">IFERROR(__xludf.DUMMYFUNCTION("IMPORTRANGE(""https://docs.google.com/spreadsheets/d/1IYY_tgx_IHuhSq3AJ5eI5OnqOPBNLWSHKh2a30DoXe8/edit?usp=sharing"",""ตรัง!J44"")"),0)</f>
        <v>0</v>
      </c>
      <c r="K109" s="231">
        <f t="shared" ca="1" si="57"/>
        <v>0</v>
      </c>
      <c r="L109" s="176"/>
      <c r="M109" s="176"/>
      <c r="N109" s="176"/>
      <c r="O109" s="189"/>
      <c r="P109" s="189"/>
    </row>
    <row r="110" spans="1:16" ht="21.75" customHeight="1" x14ac:dyDescent="0.35">
      <c r="A110" s="183"/>
      <c r="B110" s="184"/>
      <c r="C110" s="184"/>
      <c r="D110" s="201"/>
      <c r="E110" s="206"/>
      <c r="F110" s="203"/>
      <c r="G110" s="232" t="s">
        <v>63</v>
      </c>
      <c r="H110" s="188" t="s">
        <v>37</v>
      </c>
      <c r="I110" s="210">
        <f ca="1">IFERROR(__xludf.DUMMYFUNCTION("IMPORTRANGE(""https://docs.google.com/spreadsheets/d/1IYY_tgx_IHuhSq3AJ5eI5OnqOPBNLWSHKh2a30DoXe8/edit?usp=sharing"",""ตรัง!I45"")"),4)</f>
        <v>4</v>
      </c>
      <c r="J110" s="211">
        <f ca="1">IFERROR(__xludf.DUMMYFUNCTION("IMPORTRANGE(""https://docs.google.com/spreadsheets/d/1IYY_tgx_IHuhSq3AJ5eI5OnqOPBNLWSHKh2a30DoXe8/edit?usp=sharing"",""ตรัง!J45"")"),4)</f>
        <v>4</v>
      </c>
      <c r="K110" s="231">
        <f t="shared" ca="1" si="57"/>
        <v>100</v>
      </c>
      <c r="L110" s="176"/>
      <c r="M110" s="176"/>
      <c r="N110" s="176"/>
      <c r="O110" s="189"/>
      <c r="P110" s="189"/>
    </row>
    <row r="111" spans="1:16" ht="21.75" customHeight="1" x14ac:dyDescent="0.35">
      <c r="A111" s="183"/>
      <c r="B111" s="184"/>
      <c r="C111" s="184"/>
      <c r="D111" s="201"/>
      <c r="E111" s="206"/>
      <c r="F111" s="203"/>
      <c r="G111" s="232" t="s">
        <v>64</v>
      </c>
      <c r="H111" s="188" t="s">
        <v>37</v>
      </c>
      <c r="I111" s="210">
        <f ca="1">IFERROR(__xludf.DUMMYFUNCTION("IMPORTRANGE(""https://docs.google.com/spreadsheets/d/1IYY_tgx_IHuhSq3AJ5eI5OnqOPBNLWSHKh2a30DoXe8/edit?usp=sharing"",""ตรัง!I46"")"),4)</f>
        <v>4</v>
      </c>
      <c r="J111" s="211">
        <f ca="1">IFERROR(__xludf.DUMMYFUNCTION("IMPORTRANGE(""https://docs.google.com/spreadsheets/d/1IYY_tgx_IHuhSq3AJ5eI5OnqOPBNLWSHKh2a30DoXe8/edit?usp=sharing"",""ตรัง!J46"")"),0)</f>
        <v>0</v>
      </c>
      <c r="K111" s="231">
        <f t="shared" ca="1" si="57"/>
        <v>0</v>
      </c>
      <c r="L111" s="176"/>
      <c r="M111" s="176"/>
      <c r="N111" s="176"/>
      <c r="O111" s="189"/>
      <c r="P111" s="189"/>
    </row>
    <row r="112" spans="1:16" ht="21.75" customHeight="1" x14ac:dyDescent="0.35">
      <c r="A112" s="183"/>
      <c r="B112" s="184"/>
      <c r="C112" s="184"/>
      <c r="D112" s="201"/>
      <c r="E112" s="206"/>
      <c r="F112" s="203"/>
      <c r="G112" s="233" t="s">
        <v>65</v>
      </c>
      <c r="H112" s="188" t="s">
        <v>37</v>
      </c>
      <c r="I112" s="210">
        <f ca="1">IFERROR(__xludf.DUMMYFUNCTION("IMPORTRANGE(""https://docs.google.com/spreadsheets/d/1IYY_tgx_IHuhSq3AJ5eI5OnqOPBNLWSHKh2a30DoXe8/edit?usp=sharing"",""ตรัง!I47"")"),4)</f>
        <v>4</v>
      </c>
      <c r="J112" s="211">
        <f ca="1">IFERROR(__xludf.DUMMYFUNCTION("IMPORTRANGE(""https://docs.google.com/spreadsheets/d/1IYY_tgx_IHuhSq3AJ5eI5OnqOPBNLWSHKh2a30DoXe8/edit?usp=sharing"",""ตรัง!J47"")"),0)</f>
        <v>0</v>
      </c>
      <c r="K112" s="231">
        <f t="shared" ca="1" si="57"/>
        <v>0</v>
      </c>
      <c r="L112" s="176"/>
      <c r="M112" s="176"/>
      <c r="N112" s="176"/>
      <c r="O112" s="189"/>
      <c r="P112" s="189"/>
    </row>
    <row r="113" spans="1:16" ht="21.75" customHeight="1" x14ac:dyDescent="0.35">
      <c r="A113" s="183"/>
      <c r="B113" s="184"/>
      <c r="C113" s="184"/>
      <c r="D113" s="201"/>
      <c r="E113" s="206"/>
      <c r="F113" s="203" t="s">
        <v>66</v>
      </c>
      <c r="G113" s="203"/>
      <c r="H113" s="188" t="s">
        <v>59</v>
      </c>
      <c r="I113" s="210">
        <f ca="1">IFERROR(__xludf.DUMMYFUNCTION("IMPORTRANGE(""https://docs.google.com/spreadsheets/d/1IYY_tgx_IHuhSq3AJ5eI5OnqOPBNLWSHKh2a30DoXe8/edit?usp=sharing"",""ตรัง!I48"")"),1)</f>
        <v>1</v>
      </c>
      <c r="J113" s="211">
        <f ca="1">IFERROR(__xludf.DUMMYFUNCTION("IMPORTRANGE(""https://docs.google.com/spreadsheets/d/1IYY_tgx_IHuhSq3AJ5eI5OnqOPBNLWSHKh2a30DoXe8/edit?usp=sharing"",""ตรัง!J48"")"),1)</f>
        <v>1</v>
      </c>
      <c r="K113" s="231">
        <f t="shared" ca="1" si="57"/>
        <v>100</v>
      </c>
      <c r="L113" s="176"/>
      <c r="M113" s="176"/>
      <c r="N113" s="176"/>
      <c r="O113" s="189"/>
      <c r="P113" s="189"/>
    </row>
    <row r="114" spans="1:16" ht="21.75" customHeight="1" x14ac:dyDescent="0.35">
      <c r="A114" s="183"/>
      <c r="B114" s="184"/>
      <c r="C114" s="184"/>
      <c r="D114" s="201"/>
      <c r="E114" s="202" t="s">
        <v>54</v>
      </c>
      <c r="F114" s="203"/>
      <c r="G114" s="204"/>
      <c r="H114" s="194"/>
      <c r="I114" s="195"/>
      <c r="J114" s="195">
        <f ca="1">IFERROR(__xludf.DUMMYFUNCTION("IMPORTRANGE(""https://docs.google.com/spreadsheets/d/1IYY_tgx_IHuhSq3AJ5eI5OnqOPBNLWSHKh2a30DoXe8/edit?usp=sharing"",""ตรัง!J49"")"),0)</f>
        <v>0</v>
      </c>
      <c r="K114" s="231"/>
      <c r="L114" s="176"/>
      <c r="M114" s="176"/>
      <c r="N114" s="176"/>
      <c r="O114" s="189"/>
      <c r="P114" s="189"/>
    </row>
    <row r="115" spans="1:16" ht="21.75" customHeight="1" x14ac:dyDescent="0.35">
      <c r="A115" s="183"/>
      <c r="B115" s="184"/>
      <c r="C115" s="184"/>
      <c r="D115" s="213">
        <v>3</v>
      </c>
      <c r="E115" s="214" t="s">
        <v>55</v>
      </c>
      <c r="F115" s="215"/>
      <c r="G115" s="216"/>
      <c r="H115" s="194"/>
      <c r="I115" s="195"/>
      <c r="J115" s="234">
        <f ca="1">IFERROR(__xludf.DUMMYFUNCTION("IMPORTRANGE(""https://docs.google.com/spreadsheets/d/1IYY_tgx_IHuhSq3AJ5eI5OnqOPBNLWSHKh2a30DoXe8/edit?usp=sharing"",""ตรัง!J50"")"),0)</f>
        <v>0</v>
      </c>
      <c r="K115" s="231"/>
      <c r="L115" s="176"/>
      <c r="M115" s="176"/>
      <c r="N115" s="176"/>
      <c r="O115" s="189"/>
      <c r="P115" s="189"/>
    </row>
    <row r="116" spans="1:16" ht="21.75" customHeight="1" x14ac:dyDescent="0.35">
      <c r="A116" s="218" t="s">
        <v>67</v>
      </c>
      <c r="B116" s="235"/>
      <c r="C116" s="236"/>
      <c r="D116" s="235"/>
      <c r="E116" s="237"/>
      <c r="F116" s="237"/>
      <c r="G116" s="238"/>
      <c r="H116" s="223"/>
      <c r="I116" s="224"/>
      <c r="J116" s="224"/>
      <c r="K116" s="225"/>
      <c r="L116" s="226"/>
      <c r="M116" s="226"/>
      <c r="N116" s="226"/>
      <c r="O116" s="227"/>
      <c r="P116" s="227"/>
    </row>
    <row r="117" spans="1:16" ht="21.75" customHeight="1" x14ac:dyDescent="0.35">
      <c r="A117" s="142"/>
      <c r="B117" s="143" t="s">
        <v>68</v>
      </c>
      <c r="C117" s="239"/>
      <c r="D117" s="144"/>
      <c r="E117" s="143"/>
      <c r="F117" s="143"/>
      <c r="G117" s="228"/>
      <c r="H117" s="145" t="s">
        <v>37</v>
      </c>
      <c r="I117" s="146">
        <f ca="1">IFERROR(__xludf.DUMMYFUNCTION("IMPORTRANGE(""https://docs.google.com/spreadsheets/d/1IYY_tgx_IHuhSq3AJ5eI5OnqOPBNLWSHKh2a30DoXe8/edit?usp=sharing"",""ตรัง!I52"")"),0)</f>
        <v>0</v>
      </c>
      <c r="J117" s="146">
        <f ca="1">IFERROR(__xludf.DUMMYFUNCTION("IMPORTRANGE(""https://docs.google.com/spreadsheets/d/1IYY_tgx_IHuhSq3AJ5eI5OnqOPBNLWSHKh2a30DoXe8/edit?usp=sharing"",""ตรัง!J52"")"),0)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52" t="s">
        <v>17</v>
      </c>
      <c r="E118" s="543"/>
      <c r="F118" s="543"/>
      <c r="G118" s="543"/>
      <c r="H118" s="153" t="s">
        <v>12</v>
      </c>
      <c r="I118" s="168"/>
      <c r="J118" s="168"/>
      <c r="K118" s="169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8"/>
      <c r="J119" s="168"/>
      <c r="K119" s="169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8"/>
      <c r="J120" s="168"/>
      <c r="K120" s="169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5">
      <c r="A121" s="162"/>
      <c r="B121" s="163"/>
      <c r="C121" s="163" t="s">
        <v>16</v>
      </c>
      <c r="D121" s="164" t="s">
        <v>38</v>
      </c>
      <c r="E121" s="165"/>
      <c r="F121" s="165"/>
      <c r="G121" s="166" t="s">
        <v>39</v>
      </c>
      <c r="H121" s="167" t="s">
        <v>12</v>
      </c>
      <c r="I121" s="168" t="s">
        <v>40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 x14ac:dyDescent="0.35">
      <c r="A122" s="162"/>
      <c r="B122" s="163"/>
      <c r="C122" s="163"/>
      <c r="D122" s="172"/>
      <c r="E122" s="165"/>
      <c r="F122" s="165" t="s">
        <v>40</v>
      </c>
      <c r="G122" s="166" t="s">
        <v>41</v>
      </c>
      <c r="H122" s="167" t="s">
        <v>12</v>
      </c>
      <c r="I122" s="168"/>
      <c r="J122" s="168"/>
      <c r="K122" s="169"/>
      <c r="L122" s="173">
        <f ca="1">L123+L124</f>
        <v>0</v>
      </c>
      <c r="M122" s="174">
        <f ca="1">IFERROR(__xludf.DUMMYFUNCTION("IMPORTRANGE(""https://docs.google.com/spreadsheets/d/1Yj_ptqi66GCucihVvJfMjLAmec39IyEx_6qawtMGysU/edit?usp=sharing"",""สบก!BA83"")"),0)</f>
        <v>0</v>
      </c>
      <c r="N122" s="175">
        <f ca="1">IFERROR(__xludf.DUMMYFUNCTION("IMPORTRANGE(""https://docs.google.com/spreadsheets/d/1Yj_ptqi66GCucihVvJfMjLAmec39IyEx_6qawtMGysU/edit?usp=sharing"",""สบก!BB83"")"),0)</f>
        <v>0</v>
      </c>
      <c r="O122" s="176">
        <f ca="1">IF(L122&gt;0,N122*100/L122,0)</f>
        <v>0</v>
      </c>
      <c r="P122" s="176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2"/>
      <c r="E123" s="165"/>
      <c r="F123" s="165"/>
      <c r="G123" s="177" t="s">
        <v>42</v>
      </c>
      <c r="H123" s="167" t="s">
        <v>12</v>
      </c>
      <c r="I123" s="168"/>
      <c r="J123" s="168"/>
      <c r="K123" s="169"/>
      <c r="L123" s="174">
        <f ca="1">IFERROR(__xludf.DUMMYFUNCTION("IMPORTRANGE(""https://docs.google.com/spreadsheets/d/1Yj_ptqi66GCucihVvJfMjLAmec39IyEx_6qawtMGysU/edit?usp=sharing"",""สบก!AW83"")"),0)</f>
        <v>0</v>
      </c>
      <c r="M123" s="173"/>
      <c r="N123" s="173"/>
      <c r="O123" s="176"/>
      <c r="P123" s="176"/>
    </row>
    <row r="124" spans="1:16" ht="21.75" customHeight="1" x14ac:dyDescent="0.35">
      <c r="A124" s="162"/>
      <c r="B124" s="163"/>
      <c r="C124" s="163"/>
      <c r="D124" s="172"/>
      <c r="E124" s="165"/>
      <c r="F124" s="165"/>
      <c r="G124" s="177" t="s">
        <v>43</v>
      </c>
      <c r="H124" s="167" t="s">
        <v>12</v>
      </c>
      <c r="I124" s="168"/>
      <c r="J124" s="195"/>
      <c r="K124" s="231"/>
      <c r="L124" s="174">
        <f ca="1">IFERROR(__xludf.DUMMYFUNCTION("IMPORTRANGE(""https://docs.google.com/spreadsheets/d/1Yj_ptqi66GCucihVvJfMjLAmec39IyEx_6qawtMGysU/edit?usp=sharing"",""สบก!AX83"")"),0)</f>
        <v>0</v>
      </c>
      <c r="M124" s="173"/>
      <c r="N124" s="173"/>
      <c r="O124" s="176"/>
      <c r="P124" s="176"/>
    </row>
    <row r="125" spans="1:16" ht="21.75" customHeight="1" x14ac:dyDescent="0.45">
      <c r="A125" s="178"/>
      <c r="B125" s="81"/>
      <c r="C125" s="82" t="s">
        <v>16</v>
      </c>
      <c r="D125" s="549" t="s">
        <v>23</v>
      </c>
      <c r="E125" s="545"/>
      <c r="F125" s="89"/>
      <c r="G125" s="83" t="s">
        <v>18</v>
      </c>
      <c r="H125" s="179" t="s">
        <v>12</v>
      </c>
      <c r="I125" s="195"/>
      <c r="J125" s="195"/>
      <c r="K125" s="231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80"/>
      <c r="B126" s="95"/>
      <c r="C126" s="95"/>
      <c r="D126" s="181"/>
      <c r="E126" s="96"/>
      <c r="F126" s="96"/>
      <c r="G126" s="97" t="s">
        <v>19</v>
      </c>
      <c r="H126" s="182" t="s">
        <v>12</v>
      </c>
      <c r="I126" s="195"/>
      <c r="J126" s="195"/>
      <c r="K126" s="231"/>
      <c r="L126" s="91">
        <f ca="1">IFERROR(__xludf.DUMMYFUNCTION("IMPORTRANGE(""https://docs.google.com/spreadsheets/d/1Yj_ptqi66GCucihVvJfMjLAmec39IyEx_6qawtMGysU/edit?usp=sharing"",""สบก!AY83"")"),0)</f>
        <v>0</v>
      </c>
      <c r="M126" s="101"/>
      <c r="N126" s="91">
        <f ca="1">IFERROR(__xludf.DUMMYFUNCTION("IMPORTRANGE(""https://docs.google.com/spreadsheets/d/1Yj_ptqi66GCucihVvJfMjLAmec39IyEx_6qawtMGysU/edit?usp=sharing"",""สบก!BC83"")"),0)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3"/>
      <c r="B127" s="184"/>
      <c r="C127" s="163" t="s">
        <v>16</v>
      </c>
      <c r="D127" s="240" t="s">
        <v>243</v>
      </c>
      <c r="E127" s="186"/>
      <c r="F127" s="186"/>
      <c r="G127" s="187"/>
      <c r="H127" s="188"/>
      <c r="I127" s="168"/>
      <c r="J127" s="195"/>
      <c r="K127" s="231"/>
      <c r="L127" s="176"/>
      <c r="M127" s="176"/>
      <c r="N127" s="176"/>
      <c r="O127" s="189"/>
      <c r="P127" s="189"/>
    </row>
    <row r="128" spans="1:16" ht="21.75" customHeight="1" x14ac:dyDescent="0.35">
      <c r="A128" s="183"/>
      <c r="B128" s="184"/>
      <c r="C128" s="184"/>
      <c r="D128" s="190">
        <v>1</v>
      </c>
      <c r="E128" s="191" t="s">
        <v>45</v>
      </c>
      <c r="F128" s="192"/>
      <c r="G128" s="193"/>
      <c r="H128" s="194"/>
      <c r="I128" s="195"/>
      <c r="J128" s="211">
        <f ca="1">IFERROR(__xludf.DUMMYFUNCTION("IMPORTRANGE(""https://docs.google.com/spreadsheets/d/1IYY_tgx_IHuhSq3AJ5eI5OnqOPBNLWSHKh2a30DoXe8/edit?usp=sharing"",""ตรัง!J58"")"),0)</f>
        <v>0</v>
      </c>
      <c r="K128" s="231"/>
      <c r="L128" s="176"/>
      <c r="M128" s="176"/>
      <c r="N128" s="176"/>
      <c r="O128" s="189"/>
      <c r="P128" s="189"/>
    </row>
    <row r="129" spans="1:16" ht="21.75" customHeight="1" x14ac:dyDescent="0.35">
      <c r="A129" s="183"/>
      <c r="B129" s="184"/>
      <c r="C129" s="184"/>
      <c r="D129" s="197">
        <v>2</v>
      </c>
      <c r="E129" s="198" t="s">
        <v>46</v>
      </c>
      <c r="F129" s="199"/>
      <c r="G129" s="200"/>
      <c r="H129" s="194"/>
      <c r="I129" s="195"/>
      <c r="J129" s="195">
        <f ca="1">IFERROR(__xludf.DUMMYFUNCTION("IMPORTRANGE(""https://docs.google.com/spreadsheets/d/1IYY_tgx_IHuhSq3AJ5eI5OnqOPBNLWSHKh2a30DoXe8/edit?usp=sharing"",""ตรัง!J59"")"),0)</f>
        <v>0</v>
      </c>
      <c r="K129" s="231"/>
      <c r="L129" s="176" t="s">
        <v>40</v>
      </c>
      <c r="M129" s="176"/>
      <c r="N129" s="176" t="s">
        <v>40</v>
      </c>
      <c r="O129" s="189"/>
      <c r="P129" s="189"/>
    </row>
    <row r="130" spans="1:16" ht="21.75" customHeight="1" x14ac:dyDescent="0.35">
      <c r="A130" s="183"/>
      <c r="B130" s="184"/>
      <c r="C130" s="184"/>
      <c r="D130" s="201"/>
      <c r="E130" s="202" t="s">
        <v>47</v>
      </c>
      <c r="F130" s="203"/>
      <c r="G130" s="204"/>
      <c r="H130" s="194"/>
      <c r="I130" s="195"/>
      <c r="J130" s="195">
        <f ca="1">IFERROR(__xludf.DUMMYFUNCTION("IMPORTRANGE(""https://docs.google.com/spreadsheets/d/1IYY_tgx_IHuhSq3AJ5eI5OnqOPBNLWSHKh2a30DoXe8/edit?usp=sharing"",""ตรัง!J60"")"),0)</f>
        <v>0</v>
      </c>
      <c r="K130" s="231"/>
      <c r="L130" s="176"/>
      <c r="M130" s="176"/>
      <c r="N130" s="176"/>
      <c r="O130" s="189"/>
      <c r="P130" s="189"/>
    </row>
    <row r="131" spans="1:16" ht="21.75" customHeight="1" x14ac:dyDescent="0.35">
      <c r="A131" s="183"/>
      <c r="B131" s="184"/>
      <c r="C131" s="184"/>
      <c r="D131" s="201"/>
      <c r="E131" s="202" t="s">
        <v>48</v>
      </c>
      <c r="F131" s="203"/>
      <c r="G131" s="204"/>
      <c r="H131" s="194"/>
      <c r="I131" s="195"/>
      <c r="J131" s="195">
        <f ca="1">IFERROR(__xludf.DUMMYFUNCTION("IMPORTRANGE(""https://docs.google.com/spreadsheets/d/1IYY_tgx_IHuhSq3AJ5eI5OnqOPBNLWSHKh2a30DoXe8/edit?usp=sharing"",""ตรัง!J61"")"),0)</f>
        <v>0</v>
      </c>
      <c r="K131" s="231"/>
      <c r="L131" s="176"/>
      <c r="M131" s="176"/>
      <c r="N131" s="176"/>
      <c r="O131" s="189"/>
      <c r="P131" s="189"/>
    </row>
    <row r="132" spans="1:16" ht="21.75" customHeight="1" x14ac:dyDescent="0.35">
      <c r="A132" s="183"/>
      <c r="B132" s="184"/>
      <c r="C132" s="184"/>
      <c r="D132" s="201"/>
      <c r="E132" s="206"/>
      <c r="F132" s="202" t="s">
        <v>70</v>
      </c>
      <c r="G132" s="204"/>
      <c r="H132" s="188" t="s">
        <v>37</v>
      </c>
      <c r="I132" s="195">
        <f ca="1">IFERROR(__xludf.DUMMYFUNCTION("IMPORTRANGE(""https://docs.google.com/spreadsheets/d/1IYY_tgx_IHuhSq3AJ5eI5OnqOPBNLWSHKh2a30DoXe8/edit?usp=sharing"",""ตรัง!I62"")"),0)</f>
        <v>0</v>
      </c>
      <c r="J132" s="211">
        <f ca="1">IFERROR(__xludf.DUMMYFUNCTION("IMPORTRANGE(""https://docs.google.com/spreadsheets/d/1IYY_tgx_IHuhSq3AJ5eI5OnqOPBNLWSHKh2a30DoXe8/edit?usp=sharing"",""ตรัง!J62"")"),0)</f>
        <v>0</v>
      </c>
      <c r="K132" s="231">
        <f t="shared" ref="K132:K133" ca="1" si="63">IF(I132&gt;0,J132*100/I132,0)</f>
        <v>0</v>
      </c>
      <c r="L132" s="176"/>
      <c r="M132" s="176"/>
      <c r="N132" s="176"/>
      <c r="O132" s="189"/>
      <c r="P132" s="189"/>
    </row>
    <row r="133" spans="1:16" ht="21.75" customHeight="1" x14ac:dyDescent="0.35">
      <c r="A133" s="183"/>
      <c r="B133" s="184"/>
      <c r="C133" s="184"/>
      <c r="D133" s="201"/>
      <c r="E133" s="206"/>
      <c r="F133" s="202" t="s">
        <v>71</v>
      </c>
      <c r="G133" s="204"/>
      <c r="H133" s="188" t="s">
        <v>37</v>
      </c>
      <c r="I133" s="195">
        <f ca="1">IFERROR(__xludf.DUMMYFUNCTION("IMPORTRANGE(""https://docs.google.com/spreadsheets/d/1IYY_tgx_IHuhSq3AJ5eI5OnqOPBNLWSHKh2a30DoXe8/edit?usp=sharing"",""ตรัง!I63"")"),0)</f>
        <v>0</v>
      </c>
      <c r="J133" s="211">
        <f ca="1">IFERROR(__xludf.DUMMYFUNCTION("IMPORTRANGE(""https://docs.google.com/spreadsheets/d/1IYY_tgx_IHuhSq3AJ5eI5OnqOPBNLWSHKh2a30DoXe8/edit?usp=sharing"",""ตรัง!J63"")"),0)</f>
        <v>0</v>
      </c>
      <c r="K133" s="231">
        <f t="shared" ca="1" si="63"/>
        <v>0</v>
      </c>
      <c r="L133" s="176"/>
      <c r="M133" s="176"/>
      <c r="N133" s="176"/>
      <c r="O133" s="189"/>
      <c r="P133" s="189"/>
    </row>
    <row r="134" spans="1:16" ht="21.75" customHeight="1" x14ac:dyDescent="0.35">
      <c r="A134" s="183"/>
      <c r="B134" s="184"/>
      <c r="C134" s="184"/>
      <c r="D134" s="201"/>
      <c r="E134" s="202" t="s">
        <v>54</v>
      </c>
      <c r="F134" s="203"/>
      <c r="G134" s="204"/>
      <c r="H134" s="194"/>
      <c r="I134" s="195"/>
      <c r="J134" s="195">
        <f ca="1">IFERROR(__xludf.DUMMYFUNCTION("IMPORTRANGE(""https://docs.google.com/spreadsheets/d/1IYY_tgx_IHuhSq3AJ5eI5OnqOPBNLWSHKh2a30DoXe8/edit?usp=sharing"",""ตรัง!J64"")"),0)</f>
        <v>0</v>
      </c>
      <c r="K134" s="231"/>
      <c r="L134" s="176"/>
      <c r="M134" s="176"/>
      <c r="N134" s="176"/>
      <c r="O134" s="189"/>
      <c r="P134" s="189"/>
    </row>
    <row r="135" spans="1:16" ht="21.75" customHeight="1" x14ac:dyDescent="0.35">
      <c r="A135" s="241"/>
      <c r="B135" s="242"/>
      <c r="C135" s="242"/>
      <c r="D135" s="243">
        <v>3</v>
      </c>
      <c r="E135" s="244" t="s">
        <v>55</v>
      </c>
      <c r="F135" s="245"/>
      <c r="G135" s="246"/>
      <c r="H135" s="247"/>
      <c r="I135" s="248"/>
      <c r="J135" s="249">
        <f ca="1">IFERROR(__xludf.DUMMYFUNCTION("IMPORTRANGE(""https://docs.google.com/spreadsheets/d/1IYY_tgx_IHuhSq3AJ5eI5OnqOPBNLWSHKh2a30DoXe8/edit?usp=sharing"",""ตรัง!J65"")"),0)</f>
        <v>0</v>
      </c>
      <c r="K135" s="250"/>
      <c r="L135" s="251"/>
      <c r="M135" s="251"/>
      <c r="N135" s="251"/>
      <c r="O135" s="252"/>
      <c r="P135" s="252"/>
    </row>
    <row r="136" spans="1:16" ht="21.75" customHeight="1" x14ac:dyDescent="0.35">
      <c r="A136" s="253" t="s">
        <v>72</v>
      </c>
      <c r="B136" s="254"/>
      <c r="C136" s="254"/>
      <c r="D136" s="254"/>
      <c r="E136" s="255"/>
      <c r="F136" s="255"/>
      <c r="G136" s="256"/>
      <c r="H136" s="257"/>
      <c r="I136" s="258"/>
      <c r="J136" s="258"/>
      <c r="K136" s="259"/>
      <c r="L136" s="260"/>
      <c r="M136" s="260"/>
      <c r="N136" s="260"/>
      <c r="O136" s="260"/>
      <c r="P136" s="260"/>
    </row>
    <row r="137" spans="1:16" ht="21.75" customHeight="1" x14ac:dyDescent="0.35">
      <c r="A137" s="261" t="s">
        <v>73</v>
      </c>
      <c r="B137" s="262"/>
      <c r="C137" s="262"/>
      <c r="D137" s="263"/>
      <c r="E137" s="263"/>
      <c r="F137" s="263"/>
      <c r="G137" s="264"/>
      <c r="H137" s="265"/>
      <c r="I137" s="266"/>
      <c r="J137" s="266"/>
      <c r="K137" s="267"/>
      <c r="L137" s="267"/>
      <c r="M137" s="267"/>
      <c r="N137" s="267"/>
      <c r="O137" s="268"/>
      <c r="P137" s="268"/>
    </row>
    <row r="138" spans="1:16" ht="21.75" customHeight="1" x14ac:dyDescent="0.35">
      <c r="A138" s="269"/>
      <c r="B138" s="270" t="s">
        <v>74</v>
      </c>
      <c r="C138" s="271"/>
      <c r="D138" s="270"/>
      <c r="E138" s="270"/>
      <c r="F138" s="270"/>
      <c r="G138" s="272"/>
      <c r="H138" s="273" t="s">
        <v>37</v>
      </c>
      <c r="I138" s="274">
        <f ca="1">IFERROR(__xludf.DUMMYFUNCTION("IMPORTRANGE(""https://docs.google.com/spreadsheets/d/1IYY_tgx_IHuhSq3AJ5eI5OnqOPBNLWSHKh2a30DoXe8/edit?usp=sharing"",""ตรัง!I68"")"),15)</f>
        <v>15</v>
      </c>
      <c r="J138" s="274">
        <f ca="1">IFERROR(__xludf.DUMMYFUNCTION("IMPORTRANGE(""https://docs.google.com/spreadsheets/d/1IYY_tgx_IHuhSq3AJ5eI5OnqOPBNLWSHKh2a30DoXe8/edit?usp=sharing"",""ตรัง!J68"")"),15)</f>
        <v>15</v>
      </c>
      <c r="K138" s="275">
        <f ca="1">IF(I138&gt;0,J138*100/I138,0)</f>
        <v>100</v>
      </c>
      <c r="L138" s="276"/>
      <c r="M138" s="276"/>
      <c r="N138" s="276"/>
      <c r="O138" s="275"/>
      <c r="P138" s="275"/>
    </row>
    <row r="139" spans="1:16" ht="21.75" customHeight="1" x14ac:dyDescent="0.35">
      <c r="A139" s="269"/>
      <c r="B139" s="270" t="s">
        <v>75</v>
      </c>
      <c r="C139" s="271"/>
      <c r="D139" s="270"/>
      <c r="E139" s="270"/>
      <c r="F139" s="270"/>
      <c r="G139" s="272"/>
      <c r="H139" s="273"/>
      <c r="I139" s="274"/>
      <c r="J139" s="274"/>
      <c r="K139" s="275"/>
      <c r="L139" s="276"/>
      <c r="M139" s="276"/>
      <c r="N139" s="276"/>
      <c r="O139" s="275"/>
      <c r="P139" s="275"/>
    </row>
    <row r="140" spans="1:16" ht="21.75" customHeight="1" x14ac:dyDescent="0.45">
      <c r="A140" s="150"/>
      <c r="B140" s="151"/>
      <c r="C140" s="152" t="s">
        <v>16</v>
      </c>
      <c r="D140" s="552" t="s">
        <v>17</v>
      </c>
      <c r="E140" s="543"/>
      <c r="F140" s="543"/>
      <c r="G140" s="543"/>
      <c r="H140" s="153" t="s">
        <v>12</v>
      </c>
      <c r="I140" s="168"/>
      <c r="J140" s="168"/>
      <c r="K140" s="169"/>
      <c r="L140" s="156">
        <f t="shared" ref="L140:N140" ca="1" si="64">L141+L142</f>
        <v>389400</v>
      </c>
      <c r="M140" s="156">
        <f t="shared" ca="1" si="64"/>
        <v>220450</v>
      </c>
      <c r="N140" s="156">
        <f t="shared" ca="1" si="64"/>
        <v>189138</v>
      </c>
      <c r="O140" s="155">
        <f t="shared" ref="O140:O142" ca="1" si="65">IF(L140&gt;0,N140*100/L140,0)</f>
        <v>48.571648690292761</v>
      </c>
      <c r="P140" s="155">
        <f t="shared" ref="P140:P142" ca="1" si="66">IF(M140&gt;0,N140*100/M140,0)</f>
        <v>85.796325697437055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8"/>
      <c r="J141" s="168"/>
      <c r="K141" s="169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8"/>
      <c r="J142" s="168"/>
      <c r="K142" s="169"/>
      <c r="L142" s="161">
        <f t="shared" ref="L142:N142" ca="1" si="68">L144+L148</f>
        <v>389400</v>
      </c>
      <c r="M142" s="161">
        <f t="shared" ca="1" si="68"/>
        <v>220450</v>
      </c>
      <c r="N142" s="161">
        <f t="shared" ca="1" si="68"/>
        <v>189138</v>
      </c>
      <c r="O142" s="160">
        <f t="shared" ca="1" si="65"/>
        <v>48.571648690292761</v>
      </c>
      <c r="P142" s="160">
        <f t="shared" ca="1" si="66"/>
        <v>85.796325697437055</v>
      </c>
    </row>
    <row r="143" spans="1:16" ht="21.75" customHeight="1" x14ac:dyDescent="0.35">
      <c r="A143" s="162"/>
      <c r="B143" s="163"/>
      <c r="C143" s="163" t="s">
        <v>16</v>
      </c>
      <c r="D143" s="164" t="s">
        <v>38</v>
      </c>
      <c r="E143" s="165"/>
      <c r="F143" s="165"/>
      <c r="G143" s="166" t="s">
        <v>39</v>
      </c>
      <c r="H143" s="167" t="s">
        <v>12</v>
      </c>
      <c r="I143" s="168" t="s">
        <v>40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 x14ac:dyDescent="0.35">
      <c r="A144" s="162"/>
      <c r="B144" s="163"/>
      <c r="C144" s="163"/>
      <c r="D144" s="172"/>
      <c r="E144" s="165"/>
      <c r="F144" s="165" t="s">
        <v>40</v>
      </c>
      <c r="G144" s="166" t="s">
        <v>41</v>
      </c>
      <c r="H144" s="167" t="s">
        <v>12</v>
      </c>
      <c r="I144" s="168"/>
      <c r="J144" s="168"/>
      <c r="K144" s="169"/>
      <c r="L144" s="173">
        <f ca="1">L145+L146</f>
        <v>389400</v>
      </c>
      <c r="M144" s="174">
        <f ca="1">IFERROR(__xludf.DUMMYFUNCTION("IMPORTRANGE(""https://docs.google.com/spreadsheets/d/1Yj_ptqi66GCucihVvJfMjLAmec39IyEx_6qawtMGysU/edit?usp=sharing"",""สบก!BJ83"")"),220450)</f>
        <v>220450</v>
      </c>
      <c r="N144" s="175">
        <f ca="1">IFERROR(__xludf.DUMMYFUNCTION("IMPORTRANGE(""https://docs.google.com/spreadsheets/d/1Yj_ptqi66GCucihVvJfMjLAmec39IyEx_6qawtMGysU/edit?usp=sharing"",""สบก!BK83"")"),189138)</f>
        <v>189138</v>
      </c>
      <c r="O144" s="176">
        <f ca="1">IF(L144&gt;0,N144*100/L144,0)</f>
        <v>48.571648690292761</v>
      </c>
      <c r="P144" s="176">
        <f ca="1">IF(M144&gt;0,N144*100/M144,0)</f>
        <v>85.796325697437055</v>
      </c>
    </row>
    <row r="145" spans="1:16" ht="21.75" customHeight="1" x14ac:dyDescent="0.35">
      <c r="A145" s="162"/>
      <c r="B145" s="163"/>
      <c r="C145" s="163"/>
      <c r="D145" s="172"/>
      <c r="E145" s="165"/>
      <c r="F145" s="165"/>
      <c r="G145" s="177" t="s">
        <v>42</v>
      </c>
      <c r="H145" s="167" t="s">
        <v>12</v>
      </c>
      <c r="I145" s="168"/>
      <c r="J145" s="168"/>
      <c r="K145" s="169"/>
      <c r="L145" s="174">
        <f ca="1">IFERROR(__xludf.DUMMYFUNCTION("IMPORTRANGE(""https://docs.google.com/spreadsheets/d/1Yj_ptqi66GCucihVvJfMjLAmec39IyEx_6qawtMGysU/edit?usp=sharing"",""สบก!BF83"")"),331400)</f>
        <v>331400</v>
      </c>
      <c r="M145" s="173"/>
      <c r="N145" s="173"/>
      <c r="O145" s="176"/>
      <c r="P145" s="176"/>
    </row>
    <row r="146" spans="1:16" ht="21.75" customHeight="1" x14ac:dyDescent="0.35">
      <c r="A146" s="162"/>
      <c r="B146" s="163"/>
      <c r="C146" s="163"/>
      <c r="D146" s="172"/>
      <c r="E146" s="165"/>
      <c r="F146" s="165"/>
      <c r="G146" s="177" t="s">
        <v>43</v>
      </c>
      <c r="H146" s="167" t="s">
        <v>12</v>
      </c>
      <c r="I146" s="168"/>
      <c r="J146" s="168"/>
      <c r="K146" s="169"/>
      <c r="L146" s="174">
        <f ca="1">IFERROR(__xludf.DUMMYFUNCTION("IMPORTRANGE(""https://docs.google.com/spreadsheets/d/1Yj_ptqi66GCucihVvJfMjLAmec39IyEx_6qawtMGysU/edit?usp=sharing"",""สบก!BG83"")"),58000)</f>
        <v>58000</v>
      </c>
      <c r="M146" s="173"/>
      <c r="N146" s="173"/>
      <c r="O146" s="176"/>
      <c r="P146" s="176"/>
    </row>
    <row r="147" spans="1:16" ht="21.75" customHeight="1" x14ac:dyDescent="0.45">
      <c r="A147" s="178"/>
      <c r="B147" s="81"/>
      <c r="C147" s="82" t="s">
        <v>16</v>
      </c>
      <c r="D147" s="549" t="s">
        <v>23</v>
      </c>
      <c r="E147" s="545"/>
      <c r="F147" s="89"/>
      <c r="G147" s="83" t="s">
        <v>18</v>
      </c>
      <c r="H147" s="179" t="s">
        <v>12</v>
      </c>
      <c r="I147" s="195"/>
      <c r="J147" s="195"/>
      <c r="K147" s="231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80"/>
      <c r="B148" s="95"/>
      <c r="C148" s="95"/>
      <c r="D148" s="181"/>
      <c r="E148" s="96"/>
      <c r="F148" s="96"/>
      <c r="G148" s="97" t="s">
        <v>19</v>
      </c>
      <c r="H148" s="182" t="s">
        <v>12</v>
      </c>
      <c r="I148" s="195"/>
      <c r="J148" s="195"/>
      <c r="K148" s="231"/>
      <c r="L148" s="91">
        <f ca="1">IFERROR(__xludf.DUMMYFUNCTION("IMPORTRANGE(""https://docs.google.com/spreadsheets/d/1Yj_ptqi66GCucihVvJfMjLAmec39IyEx_6qawtMGysU/edit?usp=sharing"",""สบก!BH83"")"),0)</f>
        <v>0</v>
      </c>
      <c r="M148" s="101"/>
      <c r="N148" s="91">
        <f ca="1">IFERROR(__xludf.DUMMYFUNCTION("IMPORTRANGE(""https://docs.google.com/spreadsheets/d/1Yj_ptqi66GCucihVvJfMjLAmec39IyEx_6qawtMGysU/edit?usp=sharing"",""สบก!BL83"")"),0)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7"/>
      <c r="B149" s="278"/>
      <c r="C149" s="279" t="s">
        <v>76</v>
      </c>
      <c r="D149" s="279"/>
      <c r="E149" s="279"/>
      <c r="F149" s="279"/>
      <c r="G149" s="280"/>
      <c r="H149" s="281" t="s">
        <v>77</v>
      </c>
      <c r="I149" s="282">
        <f ca="1">IFERROR(__xludf.DUMMYFUNCTION("IMPORTRANGE(""https://docs.google.com/spreadsheets/d/1IYY_tgx_IHuhSq3AJ5eI5OnqOPBNLWSHKh2a30DoXe8/edit?usp=sharing"",""ตรัง!I74"")"),4)</f>
        <v>4</v>
      </c>
      <c r="J149" s="282">
        <f ca="1">IFERROR(__xludf.DUMMYFUNCTION("IMPORTRANGE(""https://docs.google.com/spreadsheets/d/1IYY_tgx_IHuhSq3AJ5eI5OnqOPBNLWSHKh2a30DoXe8/edit?usp=sharing"",""ตรัง!J74"")"),2)</f>
        <v>2</v>
      </c>
      <c r="K149" s="283">
        <f ca="1">IF(I149&gt;0,J149*100/I149,0)</f>
        <v>50</v>
      </c>
      <c r="L149" s="284"/>
      <c r="M149" s="284"/>
      <c r="N149" s="284"/>
      <c r="O149" s="284"/>
      <c r="P149" s="284"/>
    </row>
    <row r="150" spans="1:16" ht="21.75" customHeight="1" x14ac:dyDescent="0.35">
      <c r="A150" s="162"/>
      <c r="B150" s="163"/>
      <c r="C150" s="163" t="s">
        <v>16</v>
      </c>
      <c r="D150" s="164" t="s">
        <v>38</v>
      </c>
      <c r="E150" s="165"/>
      <c r="F150" s="165"/>
      <c r="G150" s="166" t="s">
        <v>39</v>
      </c>
      <c r="H150" s="167" t="s">
        <v>12</v>
      </c>
      <c r="I150" s="168" t="s">
        <v>40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 x14ac:dyDescent="0.35">
      <c r="A151" s="162"/>
      <c r="B151" s="163"/>
      <c r="C151" s="163"/>
      <c r="D151" s="172"/>
      <c r="E151" s="165"/>
      <c r="F151" s="165" t="s">
        <v>40</v>
      </c>
      <c r="G151" s="166" t="s">
        <v>41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 x14ac:dyDescent="0.35">
      <c r="A152" s="162"/>
      <c r="B152" s="163"/>
      <c r="C152" s="163"/>
      <c r="D152" s="172"/>
      <c r="E152" s="165"/>
      <c r="F152" s="165"/>
      <c r="G152" s="177" t="s">
        <v>43</v>
      </c>
      <c r="H152" s="167" t="s">
        <v>12</v>
      </c>
      <c r="I152" s="168"/>
      <c r="J152" s="168"/>
      <c r="K152" s="169"/>
      <c r="L152" s="176"/>
      <c r="M152" s="176"/>
      <c r="N152" s="173"/>
      <c r="O152" s="176"/>
      <c r="P152" s="176"/>
    </row>
    <row r="153" spans="1:16" ht="21.75" customHeight="1" x14ac:dyDescent="0.35">
      <c r="A153" s="183"/>
      <c r="B153" s="184"/>
      <c r="C153" s="163" t="s">
        <v>16</v>
      </c>
      <c r="D153" s="185" t="s">
        <v>44</v>
      </c>
      <c r="E153" s="186"/>
      <c r="F153" s="186"/>
      <c r="G153" s="187"/>
      <c r="H153" s="188"/>
      <c r="I153" s="168"/>
      <c r="J153" s="168"/>
      <c r="K153" s="169"/>
      <c r="L153" s="189"/>
      <c r="M153" s="189"/>
      <c r="N153" s="189"/>
      <c r="O153" s="189"/>
      <c r="P153" s="189"/>
    </row>
    <row r="154" spans="1:16" ht="21.75" customHeight="1" x14ac:dyDescent="0.35">
      <c r="A154" s="183"/>
      <c r="B154" s="184"/>
      <c r="C154" s="184"/>
      <c r="D154" s="190">
        <v>1</v>
      </c>
      <c r="E154" s="191" t="s">
        <v>45</v>
      </c>
      <c r="F154" s="192"/>
      <c r="G154" s="193"/>
      <c r="H154" s="194"/>
      <c r="I154" s="195"/>
      <c r="J154" s="196">
        <f ca="1">IFERROR(__xludf.DUMMYFUNCTION("IMPORTRANGE(""https://docs.google.com/spreadsheets/d/1IYY_tgx_IHuhSq3AJ5eI5OnqOPBNLWSHKh2a30DoXe8/edit?usp=sharing"",""ตรัง!J79"")"),0)</f>
        <v>0</v>
      </c>
      <c r="K154" s="169"/>
      <c r="L154" s="189"/>
      <c r="M154" s="189"/>
      <c r="N154" s="189"/>
      <c r="O154" s="189"/>
      <c r="P154" s="189"/>
    </row>
    <row r="155" spans="1:16" ht="21.75" customHeight="1" x14ac:dyDescent="0.35">
      <c r="A155" s="183"/>
      <c r="B155" s="184"/>
      <c r="C155" s="184"/>
      <c r="D155" s="197">
        <v>2</v>
      </c>
      <c r="E155" s="198" t="s">
        <v>46</v>
      </c>
      <c r="F155" s="199"/>
      <c r="G155" s="200"/>
      <c r="H155" s="194"/>
      <c r="I155" s="195"/>
      <c r="J155" s="205">
        <f ca="1">IFERROR(__xludf.DUMMYFUNCTION("IMPORTRANGE(""https://docs.google.com/spreadsheets/d/1IYY_tgx_IHuhSq3AJ5eI5OnqOPBNLWSHKh2a30DoXe8/edit?usp=sharing"",""ตรัง!J80"")"),1)</f>
        <v>1</v>
      </c>
      <c r="K155" s="169"/>
      <c r="L155" s="189"/>
      <c r="M155" s="189"/>
      <c r="N155" s="189"/>
      <c r="O155" s="189"/>
      <c r="P155" s="189"/>
    </row>
    <row r="156" spans="1:16" ht="21.75" customHeight="1" x14ac:dyDescent="0.35">
      <c r="A156" s="183"/>
      <c r="B156" s="184"/>
      <c r="C156" s="184"/>
      <c r="D156" s="201"/>
      <c r="E156" s="202" t="s">
        <v>47</v>
      </c>
      <c r="F156" s="203"/>
      <c r="G156" s="204"/>
      <c r="H156" s="194"/>
      <c r="I156" s="195"/>
      <c r="J156" s="205">
        <f ca="1">IFERROR(__xludf.DUMMYFUNCTION("IMPORTRANGE(""https://docs.google.com/spreadsheets/d/1IYY_tgx_IHuhSq3AJ5eI5OnqOPBNLWSHKh2a30DoXe8/edit?usp=sharing"",""ตรัง!J81"")"),1)</f>
        <v>1</v>
      </c>
      <c r="K156" s="169"/>
      <c r="L156" s="189"/>
      <c r="M156" s="189"/>
      <c r="N156" s="189"/>
      <c r="O156" s="189"/>
      <c r="P156" s="189"/>
    </row>
    <row r="157" spans="1:16" ht="21.75" customHeight="1" x14ac:dyDescent="0.35">
      <c r="A157" s="183"/>
      <c r="B157" s="184"/>
      <c r="C157" s="184"/>
      <c r="D157" s="201"/>
      <c r="E157" s="202" t="s">
        <v>48</v>
      </c>
      <c r="F157" s="203"/>
      <c r="G157" s="204"/>
      <c r="H157" s="194"/>
      <c r="I157" s="195"/>
      <c r="J157" s="205">
        <f ca="1">IFERROR(__xludf.DUMMYFUNCTION("IMPORTRANGE(""https://docs.google.com/spreadsheets/d/1IYY_tgx_IHuhSq3AJ5eI5OnqOPBNLWSHKh2a30DoXe8/edit?usp=sharing"",""ตรัง!J82"")"),1)</f>
        <v>1</v>
      </c>
      <c r="K157" s="169"/>
      <c r="L157" s="189"/>
      <c r="M157" s="189"/>
      <c r="N157" s="189"/>
      <c r="O157" s="189"/>
      <c r="P157" s="189"/>
    </row>
    <row r="158" spans="1:16" ht="21.75" customHeight="1" x14ac:dyDescent="0.35">
      <c r="A158" s="183"/>
      <c r="B158" s="184"/>
      <c r="C158" s="184"/>
      <c r="D158" s="201"/>
      <c r="E158" s="206"/>
      <c r="F158" s="202" t="s">
        <v>78</v>
      </c>
      <c r="G158" s="204"/>
      <c r="H158" s="188" t="s">
        <v>77</v>
      </c>
      <c r="I158" s="195">
        <f ca="1">IFERROR(__xludf.DUMMYFUNCTION("IMPORTRANGE(""https://docs.google.com/spreadsheets/d/1IYY_tgx_IHuhSq3AJ5eI5OnqOPBNLWSHKh2a30DoXe8/edit?usp=sharing"",""ตรัง!I83"")"),4)</f>
        <v>4</v>
      </c>
      <c r="J158" s="196">
        <f ca="1">IFERROR(__xludf.DUMMYFUNCTION("IMPORTRANGE(""https://docs.google.com/spreadsheets/d/1IYY_tgx_IHuhSq3AJ5eI5OnqOPBNLWSHKh2a30DoXe8/edit?usp=sharing"",""ตรัง!J83"")"),2)</f>
        <v>2</v>
      </c>
      <c r="K158" s="169">
        <f ca="1">IF(I158&gt;0,J158*100/I158,0)</f>
        <v>50</v>
      </c>
      <c r="L158" s="189"/>
      <c r="M158" s="189"/>
      <c r="N158" s="189"/>
      <c r="O158" s="189"/>
      <c r="P158" s="189"/>
    </row>
    <row r="159" spans="1:16" ht="21.75" customHeight="1" x14ac:dyDescent="0.35">
      <c r="A159" s="183"/>
      <c r="B159" s="184"/>
      <c r="C159" s="184"/>
      <c r="D159" s="201"/>
      <c r="E159" s="203"/>
      <c r="F159" s="285" t="s">
        <v>79</v>
      </c>
      <c r="G159" s="204"/>
      <c r="H159" s="286" t="s">
        <v>37</v>
      </c>
      <c r="I159" s="195"/>
      <c r="J159" s="211">
        <f ca="1">IFERROR(__xludf.DUMMYFUNCTION("IMPORTRANGE(""https://docs.google.com/spreadsheets/d/1IYY_tgx_IHuhSq3AJ5eI5OnqOPBNLWSHKh2a30DoXe8/edit?usp=sharing"",""ตรัง!J84"")"),52)</f>
        <v>52</v>
      </c>
      <c r="K159" s="169"/>
      <c r="L159" s="189"/>
      <c r="M159" s="189"/>
      <c r="N159" s="189"/>
      <c r="O159" s="189"/>
      <c r="P159" s="189"/>
    </row>
    <row r="160" spans="1:16" ht="21.75" customHeight="1" x14ac:dyDescent="0.45">
      <c r="A160" s="183"/>
      <c r="B160" s="184"/>
      <c r="C160" s="184"/>
      <c r="D160" s="201"/>
      <c r="E160" s="203"/>
      <c r="F160" s="203"/>
      <c r="G160" s="287" t="s">
        <v>80</v>
      </c>
      <c r="H160" s="286" t="s">
        <v>37</v>
      </c>
      <c r="I160" s="195"/>
      <c r="J160" s="288">
        <f ca="1">IFERROR(__xludf.DUMMYFUNCTION("IMPORTRANGE(""https://docs.google.com/spreadsheets/d/1IYY_tgx_IHuhSq3AJ5eI5OnqOPBNLWSHKh2a30DoXe8/edit?usp=sharing"",""ตรัง!J85"")"),52)</f>
        <v>52</v>
      </c>
      <c r="K160" s="169"/>
      <c r="L160" s="189"/>
      <c r="M160" s="189"/>
      <c r="N160" s="189"/>
      <c r="O160" s="189"/>
      <c r="P160" s="189"/>
    </row>
    <row r="161" spans="1:16" ht="21.75" customHeight="1" x14ac:dyDescent="0.45">
      <c r="A161" s="183"/>
      <c r="B161" s="184"/>
      <c r="C161" s="184"/>
      <c r="D161" s="201"/>
      <c r="E161" s="203"/>
      <c r="F161" s="203"/>
      <c r="G161" s="287" t="s">
        <v>81</v>
      </c>
      <c r="H161" s="286" t="s">
        <v>37</v>
      </c>
      <c r="I161" s="195"/>
      <c r="J161" s="288">
        <f ca="1">IFERROR(__xludf.DUMMYFUNCTION("IMPORTRANGE(""https://docs.google.com/spreadsheets/d/1IYY_tgx_IHuhSq3AJ5eI5OnqOPBNLWSHKh2a30DoXe8/edit?usp=sharing"",""ตรัง!J86"")"),0)</f>
        <v>0</v>
      </c>
      <c r="K161" s="169"/>
      <c r="L161" s="189"/>
      <c r="M161" s="189"/>
      <c r="N161" s="189"/>
      <c r="O161" s="189"/>
      <c r="P161" s="189"/>
    </row>
    <row r="162" spans="1:16" ht="21.75" customHeight="1" x14ac:dyDescent="0.35">
      <c r="A162" s="183"/>
      <c r="B162" s="184"/>
      <c r="C162" s="184"/>
      <c r="D162" s="201"/>
      <c r="E162" s="202" t="s">
        <v>54</v>
      </c>
      <c r="F162" s="203"/>
      <c r="G162" s="204"/>
      <c r="H162" s="194"/>
      <c r="I162" s="195"/>
      <c r="J162" s="205">
        <f ca="1">IFERROR(__xludf.DUMMYFUNCTION("IMPORTRANGE(""https://docs.google.com/spreadsheets/d/1IYY_tgx_IHuhSq3AJ5eI5OnqOPBNLWSHKh2a30DoXe8/edit?usp=sharing"",""ตรัง!J87"")"),0)</f>
        <v>0</v>
      </c>
      <c r="K162" s="169"/>
      <c r="L162" s="189"/>
      <c r="M162" s="189"/>
      <c r="N162" s="189"/>
      <c r="O162" s="189"/>
      <c r="P162" s="189"/>
    </row>
    <row r="163" spans="1:16" ht="21.75" customHeight="1" x14ac:dyDescent="0.35">
      <c r="A163" s="183"/>
      <c r="B163" s="184"/>
      <c r="C163" s="184"/>
      <c r="D163" s="213">
        <v>3</v>
      </c>
      <c r="E163" s="214" t="s">
        <v>55</v>
      </c>
      <c r="F163" s="215"/>
      <c r="G163" s="216"/>
      <c r="H163" s="194"/>
      <c r="I163" s="195"/>
      <c r="J163" s="217">
        <f ca="1">IFERROR(__xludf.DUMMYFUNCTION("IMPORTRANGE(""https://docs.google.com/spreadsheets/d/1IYY_tgx_IHuhSq3AJ5eI5OnqOPBNLWSHKh2a30DoXe8/edit?usp=sharing"",""ตรัง!J88"")"),0)</f>
        <v>0</v>
      </c>
      <c r="K163" s="169"/>
      <c r="L163" s="189"/>
      <c r="M163" s="189"/>
      <c r="N163" s="189"/>
      <c r="O163" s="189"/>
      <c r="P163" s="189"/>
    </row>
    <row r="164" spans="1:16" ht="21.75" customHeight="1" x14ac:dyDescent="0.35">
      <c r="A164" s="277"/>
      <c r="B164" s="278"/>
      <c r="C164" s="279" t="s">
        <v>82</v>
      </c>
      <c r="D164" s="279"/>
      <c r="E164" s="279"/>
      <c r="F164" s="279"/>
      <c r="G164" s="280"/>
      <c r="H164" s="289" t="s">
        <v>83</v>
      </c>
      <c r="I164" s="290">
        <f ca="1">IFERROR(__xludf.DUMMYFUNCTION("IMPORTRANGE(""https://docs.google.com/spreadsheets/d/1IYY_tgx_IHuhSq3AJ5eI5OnqOPBNLWSHKh2a30DoXe8/edit?usp=sharing"",""ตรัง!I89"")"),2)</f>
        <v>2</v>
      </c>
      <c r="J164" s="290">
        <f ca="1">IFERROR(__xludf.DUMMYFUNCTION("IMPORTRANGE(""https://docs.google.com/spreadsheets/d/1IYY_tgx_IHuhSq3AJ5eI5OnqOPBNLWSHKh2a30DoXe8/edit?usp=sharing"",""ตรัง!J89"")"),1)</f>
        <v>1</v>
      </c>
      <c r="K164" s="291">
        <f ca="1">IF(I164&gt;0,J164*100/I164,0)</f>
        <v>50</v>
      </c>
      <c r="L164" s="284"/>
      <c r="M164" s="284"/>
      <c r="N164" s="284"/>
      <c r="O164" s="284"/>
      <c r="P164" s="284"/>
    </row>
    <row r="165" spans="1:16" ht="21.75" customHeight="1" x14ac:dyDescent="0.35">
      <c r="A165" s="162"/>
      <c r="B165" s="163"/>
      <c r="C165" s="163" t="s">
        <v>16</v>
      </c>
      <c r="D165" s="164" t="s">
        <v>38</v>
      </c>
      <c r="E165" s="165"/>
      <c r="F165" s="165"/>
      <c r="G165" s="166" t="s">
        <v>39</v>
      </c>
      <c r="H165" s="167" t="s">
        <v>12</v>
      </c>
      <c r="I165" s="168" t="s">
        <v>40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 x14ac:dyDescent="0.35">
      <c r="A166" s="162"/>
      <c r="B166" s="163"/>
      <c r="C166" s="163"/>
      <c r="D166" s="172"/>
      <c r="E166" s="165"/>
      <c r="F166" s="165" t="s">
        <v>40</v>
      </c>
      <c r="G166" s="166" t="s">
        <v>41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 x14ac:dyDescent="0.35">
      <c r="A167" s="162"/>
      <c r="B167" s="163"/>
      <c r="C167" s="163"/>
      <c r="D167" s="172"/>
      <c r="E167" s="165"/>
      <c r="F167" s="165"/>
      <c r="G167" s="177" t="s">
        <v>43</v>
      </c>
      <c r="H167" s="167" t="s">
        <v>12</v>
      </c>
      <c r="I167" s="168"/>
      <c r="J167" s="168"/>
      <c r="K167" s="169"/>
      <c r="L167" s="176"/>
      <c r="M167" s="176"/>
      <c r="N167" s="173"/>
      <c r="O167" s="176"/>
      <c r="P167" s="176"/>
    </row>
    <row r="168" spans="1:16" ht="21.75" customHeight="1" x14ac:dyDescent="0.35">
      <c r="A168" s="183"/>
      <c r="B168" s="184"/>
      <c r="C168" s="163" t="s">
        <v>16</v>
      </c>
      <c r="D168" s="185" t="s">
        <v>44</v>
      </c>
      <c r="E168" s="186"/>
      <c r="F168" s="186"/>
      <c r="G168" s="187"/>
      <c r="H168" s="188"/>
      <c r="I168" s="168"/>
      <c r="J168" s="168"/>
      <c r="K168" s="169"/>
      <c r="L168" s="189"/>
      <c r="M168" s="189"/>
      <c r="N168" s="189"/>
      <c r="O168" s="189"/>
      <c r="P168" s="189"/>
    </row>
    <row r="169" spans="1:16" ht="21.75" customHeight="1" x14ac:dyDescent="0.35">
      <c r="A169" s="183"/>
      <c r="B169" s="184"/>
      <c r="C169" s="184"/>
      <c r="D169" s="190">
        <v>1</v>
      </c>
      <c r="E169" s="191" t="s">
        <v>45</v>
      </c>
      <c r="F169" s="192"/>
      <c r="G169" s="193"/>
      <c r="H169" s="194"/>
      <c r="I169" s="195"/>
      <c r="J169" s="196">
        <f ca="1">IFERROR(__xludf.DUMMYFUNCTION("IMPORTRANGE(""https://docs.google.com/spreadsheets/d/1IYY_tgx_IHuhSq3AJ5eI5OnqOPBNLWSHKh2a30DoXe8/edit?usp=sharing"",""ตรัง!J94"")"),0)</f>
        <v>0</v>
      </c>
      <c r="K169" s="169"/>
      <c r="L169" s="189"/>
      <c r="M169" s="189"/>
      <c r="N169" s="189"/>
      <c r="O169" s="189"/>
      <c r="P169" s="189"/>
    </row>
    <row r="170" spans="1:16" ht="21.75" customHeight="1" x14ac:dyDescent="0.35">
      <c r="A170" s="183"/>
      <c r="B170" s="184"/>
      <c r="C170" s="184"/>
      <c r="D170" s="197">
        <v>2</v>
      </c>
      <c r="E170" s="198" t="s">
        <v>46</v>
      </c>
      <c r="F170" s="199"/>
      <c r="G170" s="200"/>
      <c r="H170" s="194"/>
      <c r="I170" s="195"/>
      <c r="J170" s="205">
        <f ca="1">IFERROR(__xludf.DUMMYFUNCTION("IMPORTRANGE(""https://docs.google.com/spreadsheets/d/1IYY_tgx_IHuhSq3AJ5eI5OnqOPBNLWSHKh2a30DoXe8/edit?usp=sharing"",""ตรัง!J95"")"),1)</f>
        <v>1</v>
      </c>
      <c r="K170" s="169"/>
      <c r="L170" s="189"/>
      <c r="M170" s="189"/>
      <c r="N170" s="189"/>
      <c r="O170" s="189"/>
      <c r="P170" s="189"/>
    </row>
    <row r="171" spans="1:16" ht="21.75" customHeight="1" x14ac:dyDescent="0.35">
      <c r="A171" s="183"/>
      <c r="B171" s="184"/>
      <c r="C171" s="184"/>
      <c r="D171" s="201"/>
      <c r="E171" s="202" t="s">
        <v>47</v>
      </c>
      <c r="F171" s="203"/>
      <c r="G171" s="204"/>
      <c r="H171" s="194"/>
      <c r="I171" s="195"/>
      <c r="J171" s="205">
        <f ca="1">IFERROR(__xludf.DUMMYFUNCTION("IMPORTRANGE(""https://docs.google.com/spreadsheets/d/1IYY_tgx_IHuhSq3AJ5eI5OnqOPBNLWSHKh2a30DoXe8/edit?usp=sharing"",""ตรัง!J96"")"),1)</f>
        <v>1</v>
      </c>
      <c r="K171" s="169"/>
      <c r="L171" s="189"/>
      <c r="M171" s="189"/>
      <c r="N171" s="189"/>
      <c r="O171" s="189"/>
      <c r="P171" s="189"/>
    </row>
    <row r="172" spans="1:16" ht="21.75" customHeight="1" x14ac:dyDescent="0.35">
      <c r="A172" s="183"/>
      <c r="B172" s="184"/>
      <c r="C172" s="184"/>
      <c r="D172" s="201"/>
      <c r="E172" s="202" t="s">
        <v>48</v>
      </c>
      <c r="F172" s="203"/>
      <c r="G172" s="204"/>
      <c r="H172" s="194"/>
      <c r="I172" s="195"/>
      <c r="J172" s="205">
        <f ca="1">IFERROR(__xludf.DUMMYFUNCTION("IMPORTRANGE(""https://docs.google.com/spreadsheets/d/1IYY_tgx_IHuhSq3AJ5eI5OnqOPBNLWSHKh2a30DoXe8/edit?usp=sharing"",""ตรัง!J97"")"),1)</f>
        <v>1</v>
      </c>
      <c r="K172" s="169"/>
      <c r="L172" s="189"/>
      <c r="M172" s="189"/>
      <c r="N172" s="189"/>
      <c r="O172" s="189"/>
      <c r="P172" s="189"/>
    </row>
    <row r="173" spans="1:16" ht="21.75" customHeight="1" x14ac:dyDescent="0.35">
      <c r="A173" s="183"/>
      <c r="B173" s="184"/>
      <c r="C173" s="184"/>
      <c r="D173" s="201"/>
      <c r="E173" s="206"/>
      <c r="F173" s="212" t="s">
        <v>84</v>
      </c>
      <c r="G173" s="204"/>
      <c r="H173" s="188" t="s">
        <v>83</v>
      </c>
      <c r="I173" s="195">
        <f ca="1">IFERROR(__xludf.DUMMYFUNCTION("IMPORTRANGE(""https://docs.google.com/spreadsheets/d/1IYY_tgx_IHuhSq3AJ5eI5OnqOPBNLWSHKh2a30DoXe8/edit?usp=sharing"",""ตรัง!I98"")"),2)</f>
        <v>2</v>
      </c>
      <c r="J173" s="196">
        <f ca="1">IFERROR(__xludf.DUMMYFUNCTION("IMPORTRANGE(""https://docs.google.com/spreadsheets/d/1IYY_tgx_IHuhSq3AJ5eI5OnqOPBNLWSHKh2a30DoXe8/edit?usp=sharing"",""ตรัง!J98"")"),1)</f>
        <v>1</v>
      </c>
      <c r="K173" s="169">
        <f ca="1">IF(I173&gt;0,J173*100/I173,0)</f>
        <v>50</v>
      </c>
      <c r="L173" s="176"/>
      <c r="M173" s="176"/>
      <c r="N173" s="173"/>
      <c r="O173" s="176"/>
      <c r="P173" s="176"/>
    </row>
    <row r="174" spans="1:16" ht="21.75" customHeight="1" x14ac:dyDescent="0.35">
      <c r="A174" s="183"/>
      <c r="B174" s="184"/>
      <c r="C174" s="184"/>
      <c r="D174" s="201"/>
      <c r="E174" s="202" t="s">
        <v>54</v>
      </c>
      <c r="F174" s="203"/>
      <c r="G174" s="204"/>
      <c r="H174" s="194"/>
      <c r="I174" s="195"/>
      <c r="J174" s="205">
        <f ca="1">IFERROR(__xludf.DUMMYFUNCTION("IMPORTRANGE(""https://docs.google.com/spreadsheets/d/1IYY_tgx_IHuhSq3AJ5eI5OnqOPBNLWSHKh2a30DoXe8/edit?usp=sharing"",""ตรัง!J99"")"),0)</f>
        <v>0</v>
      </c>
      <c r="K174" s="169"/>
      <c r="L174" s="189"/>
      <c r="M174" s="189"/>
      <c r="N174" s="189"/>
      <c r="O174" s="189"/>
      <c r="P174" s="189"/>
    </row>
    <row r="175" spans="1:16" ht="21.75" customHeight="1" x14ac:dyDescent="0.35">
      <c r="A175" s="183"/>
      <c r="B175" s="184"/>
      <c r="C175" s="184"/>
      <c r="D175" s="213">
        <v>3</v>
      </c>
      <c r="E175" s="214" t="s">
        <v>55</v>
      </c>
      <c r="F175" s="215"/>
      <c r="G175" s="216"/>
      <c r="H175" s="194"/>
      <c r="I175" s="195"/>
      <c r="J175" s="217">
        <f ca="1">IFERROR(__xludf.DUMMYFUNCTION("IMPORTRANGE(""https://docs.google.com/spreadsheets/d/1IYY_tgx_IHuhSq3AJ5eI5OnqOPBNLWSHKh2a30DoXe8/edit?usp=sharing"",""ตรัง!J100"")"),0)</f>
        <v>0</v>
      </c>
      <c r="K175" s="169"/>
      <c r="L175" s="189"/>
      <c r="M175" s="189"/>
      <c r="N175" s="189"/>
      <c r="O175" s="189"/>
      <c r="P175" s="189"/>
    </row>
    <row r="176" spans="1:16" ht="21.75" customHeight="1" x14ac:dyDescent="0.35">
      <c r="A176" s="277"/>
      <c r="B176" s="278"/>
      <c r="C176" s="279" t="s">
        <v>85</v>
      </c>
      <c r="D176" s="279"/>
      <c r="E176" s="279"/>
      <c r="F176" s="279"/>
      <c r="G176" s="280"/>
      <c r="H176" s="289" t="s">
        <v>83</v>
      </c>
      <c r="I176" s="290">
        <f ca="1">IFERROR(__xludf.DUMMYFUNCTION("IMPORTRANGE(""https://docs.google.com/spreadsheets/d/1IYY_tgx_IHuhSq3AJ5eI5OnqOPBNLWSHKh2a30DoXe8/edit?usp=sharing"",""ตรัง!I101"")"),0)</f>
        <v>0</v>
      </c>
      <c r="J176" s="290">
        <f ca="1">IFERROR(__xludf.DUMMYFUNCTION("IMPORTRANGE(""https://docs.google.com/spreadsheets/d/1IYY_tgx_IHuhSq3AJ5eI5OnqOPBNLWSHKh2a30DoXe8/edit?usp=sharing"",""ตรัง!J101"")"),0)</f>
        <v>0</v>
      </c>
      <c r="K176" s="291">
        <f ca="1">IF(I176&gt;0,J176*100/I176,0)</f>
        <v>0</v>
      </c>
      <c r="L176" s="284"/>
      <c r="M176" s="284"/>
      <c r="N176" s="284"/>
      <c r="O176" s="284"/>
      <c r="P176" s="284"/>
    </row>
    <row r="177" spans="1:16" ht="21.75" customHeight="1" x14ac:dyDescent="0.35">
      <c r="A177" s="162"/>
      <c r="B177" s="163"/>
      <c r="C177" s="163" t="s">
        <v>16</v>
      </c>
      <c r="D177" s="164" t="s">
        <v>38</v>
      </c>
      <c r="E177" s="165"/>
      <c r="F177" s="165"/>
      <c r="G177" s="166" t="s">
        <v>39</v>
      </c>
      <c r="H177" s="167" t="s">
        <v>12</v>
      </c>
      <c r="I177" s="168" t="s">
        <v>40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 x14ac:dyDescent="0.35">
      <c r="A178" s="162"/>
      <c r="B178" s="163"/>
      <c r="C178" s="163"/>
      <c r="D178" s="172"/>
      <c r="E178" s="165"/>
      <c r="F178" s="165" t="s">
        <v>40</v>
      </c>
      <c r="G178" s="166" t="s">
        <v>41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 x14ac:dyDescent="0.35">
      <c r="A179" s="162"/>
      <c r="B179" s="163"/>
      <c r="C179" s="163"/>
      <c r="D179" s="172"/>
      <c r="E179" s="165"/>
      <c r="F179" s="165"/>
      <c r="G179" s="177" t="s">
        <v>43</v>
      </c>
      <c r="H179" s="167" t="s">
        <v>12</v>
      </c>
      <c r="I179" s="168"/>
      <c r="J179" s="195"/>
      <c r="K179" s="231"/>
      <c r="L179" s="176"/>
      <c r="M179" s="176"/>
      <c r="N179" s="173"/>
      <c r="O179" s="176"/>
      <c r="P179" s="176"/>
    </row>
    <row r="180" spans="1:16" ht="21.75" customHeight="1" x14ac:dyDescent="0.35">
      <c r="A180" s="183"/>
      <c r="B180" s="184"/>
      <c r="C180" s="163" t="s">
        <v>16</v>
      </c>
      <c r="D180" s="185" t="s">
        <v>44</v>
      </c>
      <c r="E180" s="186"/>
      <c r="F180" s="186"/>
      <c r="G180" s="187"/>
      <c r="H180" s="188"/>
      <c r="I180" s="168"/>
      <c r="J180" s="195"/>
      <c r="K180" s="231"/>
      <c r="L180" s="176"/>
      <c r="M180" s="176"/>
      <c r="N180" s="176"/>
      <c r="O180" s="189"/>
      <c r="P180" s="189"/>
    </row>
    <row r="181" spans="1:16" ht="21.75" customHeight="1" x14ac:dyDescent="0.35">
      <c r="A181" s="183"/>
      <c r="B181" s="184"/>
      <c r="C181" s="184"/>
      <c r="D181" s="190">
        <v>1</v>
      </c>
      <c r="E181" s="191" t="s">
        <v>45</v>
      </c>
      <c r="F181" s="192"/>
      <c r="G181" s="193"/>
      <c r="H181" s="194"/>
      <c r="I181" s="195"/>
      <c r="J181" s="195">
        <f ca="1">IFERROR(__xludf.DUMMYFUNCTION("IMPORTRANGE(""https://docs.google.com/spreadsheets/d/1IYY_tgx_IHuhSq3AJ5eI5OnqOPBNLWSHKh2a30DoXe8/edit?usp=sharing"",""ตรัง!J106"")"),0)</f>
        <v>0</v>
      </c>
      <c r="K181" s="231"/>
      <c r="L181" s="176"/>
      <c r="M181" s="176"/>
      <c r="N181" s="176"/>
      <c r="O181" s="189"/>
      <c r="P181" s="189"/>
    </row>
    <row r="182" spans="1:16" ht="21.75" customHeight="1" x14ac:dyDescent="0.35">
      <c r="A182" s="183"/>
      <c r="B182" s="184"/>
      <c r="C182" s="184"/>
      <c r="D182" s="197">
        <v>2</v>
      </c>
      <c r="E182" s="198" t="s">
        <v>46</v>
      </c>
      <c r="F182" s="199"/>
      <c r="G182" s="200"/>
      <c r="H182" s="194"/>
      <c r="I182" s="195"/>
      <c r="J182" s="195">
        <f ca="1">IFERROR(__xludf.DUMMYFUNCTION("IMPORTRANGE(""https://docs.google.com/spreadsheets/d/1IYY_tgx_IHuhSq3AJ5eI5OnqOPBNLWSHKh2a30DoXe8/edit?usp=sharing"",""ตรัง!J107"")"),0)</f>
        <v>0</v>
      </c>
      <c r="K182" s="231"/>
      <c r="L182" s="176"/>
      <c r="M182" s="176"/>
      <c r="N182" s="176"/>
      <c r="O182" s="189"/>
      <c r="P182" s="189"/>
    </row>
    <row r="183" spans="1:16" ht="21.75" customHeight="1" x14ac:dyDescent="0.35">
      <c r="A183" s="183"/>
      <c r="B183" s="184"/>
      <c r="C183" s="184"/>
      <c r="D183" s="201"/>
      <c r="E183" s="202" t="s">
        <v>47</v>
      </c>
      <c r="F183" s="203"/>
      <c r="G183" s="204"/>
      <c r="H183" s="194"/>
      <c r="I183" s="195"/>
      <c r="J183" s="195">
        <f ca="1">IFERROR(__xludf.DUMMYFUNCTION("IMPORTRANGE(""https://docs.google.com/spreadsheets/d/1IYY_tgx_IHuhSq3AJ5eI5OnqOPBNLWSHKh2a30DoXe8/edit?usp=sharing"",""ตรัง!J108"")"),0)</f>
        <v>0</v>
      </c>
      <c r="K183" s="231"/>
      <c r="L183" s="176"/>
      <c r="M183" s="176"/>
      <c r="N183" s="176"/>
      <c r="O183" s="189"/>
      <c r="P183" s="189"/>
    </row>
    <row r="184" spans="1:16" ht="21.75" customHeight="1" x14ac:dyDescent="0.35">
      <c r="A184" s="183"/>
      <c r="B184" s="184"/>
      <c r="C184" s="184"/>
      <c r="D184" s="201"/>
      <c r="E184" s="202" t="s">
        <v>48</v>
      </c>
      <c r="F184" s="203"/>
      <c r="G184" s="204"/>
      <c r="H184" s="194"/>
      <c r="I184" s="195"/>
      <c r="J184" s="195">
        <f ca="1">IFERROR(__xludf.DUMMYFUNCTION("IMPORTRANGE(""https://docs.google.com/spreadsheets/d/1IYY_tgx_IHuhSq3AJ5eI5OnqOPBNLWSHKh2a30DoXe8/edit?usp=sharing"",""ตรัง!J109"")"),0)</f>
        <v>0</v>
      </c>
      <c r="K184" s="231"/>
      <c r="L184" s="176"/>
      <c r="M184" s="176"/>
      <c r="N184" s="176"/>
      <c r="O184" s="189"/>
      <c r="P184" s="189"/>
    </row>
    <row r="185" spans="1:16" ht="21.75" customHeight="1" x14ac:dyDescent="0.35">
      <c r="A185" s="183"/>
      <c r="B185" s="184"/>
      <c r="C185" s="184"/>
      <c r="D185" s="201"/>
      <c r="E185" s="206"/>
      <c r="F185" s="202" t="s">
        <v>86</v>
      </c>
      <c r="G185" s="204"/>
      <c r="H185" s="188" t="s">
        <v>83</v>
      </c>
      <c r="I185" s="195">
        <f ca="1">IFERROR(__xludf.DUMMYFUNCTION("IMPORTRANGE(""https://docs.google.com/spreadsheets/d/1IYY_tgx_IHuhSq3AJ5eI5OnqOPBNLWSHKh2a30DoXe8/edit?usp=sharing"",""ตรัง!I110"")"),0)</f>
        <v>0</v>
      </c>
      <c r="J185" s="211">
        <f ca="1">IFERROR(__xludf.DUMMYFUNCTION("IMPORTRANGE(""https://docs.google.com/spreadsheets/d/1IYY_tgx_IHuhSq3AJ5eI5OnqOPBNLWSHKh2a30DoXe8/edit?usp=sharing"",""ตรัง!J110"")"),0)</f>
        <v>0</v>
      </c>
      <c r="K185" s="231">
        <f t="shared" ref="K185:K186" ca="1" si="69">IF(I185&gt;0,J185*100/I185,0)</f>
        <v>0</v>
      </c>
      <c r="L185" s="176"/>
      <c r="M185" s="176"/>
      <c r="N185" s="173"/>
      <c r="O185" s="176"/>
      <c r="P185" s="176"/>
    </row>
    <row r="186" spans="1:16" ht="21.75" customHeight="1" x14ac:dyDescent="0.35">
      <c r="A186" s="183"/>
      <c r="B186" s="184"/>
      <c r="C186" s="184"/>
      <c r="D186" s="201"/>
      <c r="E186" s="206"/>
      <c r="F186" s="202" t="s">
        <v>87</v>
      </c>
      <c r="G186" s="204"/>
      <c r="H186" s="188" t="s">
        <v>83</v>
      </c>
      <c r="I186" s="195">
        <f ca="1">IFERROR(__xludf.DUMMYFUNCTION("IMPORTRANGE(""https://docs.google.com/spreadsheets/d/1IYY_tgx_IHuhSq3AJ5eI5OnqOPBNLWSHKh2a30DoXe8/edit?usp=sharing"",""ตรัง!I111"")"),0)</f>
        <v>0</v>
      </c>
      <c r="J186" s="211">
        <f ca="1">IFERROR(__xludf.DUMMYFUNCTION("IMPORTRANGE(""https://docs.google.com/spreadsheets/d/1IYY_tgx_IHuhSq3AJ5eI5OnqOPBNLWSHKh2a30DoXe8/edit?usp=sharing"",""ตรัง!J111"")"),0)</f>
        <v>0</v>
      </c>
      <c r="K186" s="231">
        <f t="shared" ca="1" si="69"/>
        <v>0</v>
      </c>
      <c r="L186" s="176"/>
      <c r="M186" s="176"/>
      <c r="N186" s="173"/>
      <c r="O186" s="176"/>
      <c r="P186" s="176"/>
    </row>
    <row r="187" spans="1:16" ht="21.75" customHeight="1" x14ac:dyDescent="0.35">
      <c r="A187" s="183"/>
      <c r="B187" s="184"/>
      <c r="C187" s="184"/>
      <c r="D187" s="201"/>
      <c r="E187" s="202" t="s">
        <v>54</v>
      </c>
      <c r="F187" s="203"/>
      <c r="G187" s="204"/>
      <c r="H187" s="194"/>
      <c r="I187" s="195"/>
      <c r="J187" s="195">
        <f ca="1">IFERROR(__xludf.DUMMYFUNCTION("IMPORTRANGE(""https://docs.google.com/spreadsheets/d/1IYY_tgx_IHuhSq3AJ5eI5OnqOPBNLWSHKh2a30DoXe8/edit?usp=sharing"",""ตรัง!J112"")"),0)</f>
        <v>0</v>
      </c>
      <c r="K187" s="231"/>
      <c r="L187" s="176"/>
      <c r="M187" s="176"/>
      <c r="N187" s="176"/>
      <c r="O187" s="189"/>
      <c r="P187" s="189"/>
    </row>
    <row r="188" spans="1:16" ht="21.75" customHeight="1" x14ac:dyDescent="0.35">
      <c r="A188" s="183"/>
      <c r="B188" s="184"/>
      <c r="C188" s="184"/>
      <c r="D188" s="213">
        <v>3</v>
      </c>
      <c r="E188" s="214" t="s">
        <v>55</v>
      </c>
      <c r="F188" s="215"/>
      <c r="G188" s="216"/>
      <c r="H188" s="194"/>
      <c r="I188" s="195"/>
      <c r="J188" s="234">
        <f ca="1">IFERROR(__xludf.DUMMYFUNCTION("IMPORTRANGE(""https://docs.google.com/spreadsheets/d/1IYY_tgx_IHuhSq3AJ5eI5OnqOPBNLWSHKh2a30DoXe8/edit?usp=sharing"",""ตรัง!J113"")"),0)</f>
        <v>0</v>
      </c>
      <c r="K188" s="231"/>
      <c r="L188" s="176"/>
      <c r="M188" s="176"/>
      <c r="N188" s="176"/>
      <c r="O188" s="189"/>
      <c r="P188" s="189"/>
    </row>
    <row r="189" spans="1:16" ht="21.75" customHeight="1" x14ac:dyDescent="0.35">
      <c r="A189" s="277"/>
      <c r="B189" s="278"/>
      <c r="C189" s="279" t="s">
        <v>88</v>
      </c>
      <c r="D189" s="279"/>
      <c r="E189" s="279"/>
      <c r="F189" s="279"/>
      <c r="G189" s="280"/>
      <c r="H189" s="292" t="s">
        <v>89</v>
      </c>
      <c r="I189" s="290">
        <f ca="1">IFERROR(__xludf.DUMMYFUNCTION("IMPORTRANGE(""https://docs.google.com/spreadsheets/d/1IYY_tgx_IHuhSq3AJ5eI5OnqOPBNLWSHKh2a30DoXe8/edit?usp=sharing"",""ตรัง!I114"")"),10000)</f>
        <v>10000</v>
      </c>
      <c r="J189" s="290">
        <f ca="1">IFERROR(__xludf.DUMMYFUNCTION("IMPORTRANGE(""https://docs.google.com/spreadsheets/d/1IYY_tgx_IHuhSq3AJ5eI5OnqOPBNLWSHKh2a30DoXe8/edit?usp=sharing"",""ตรัง!J114"")"),0)</f>
        <v>0</v>
      </c>
      <c r="K189" s="291">
        <f ca="1">IF(I189&gt;0,J189*100/I189,0)</f>
        <v>0</v>
      </c>
      <c r="L189" s="284"/>
      <c r="M189" s="284"/>
      <c r="N189" s="284"/>
      <c r="O189" s="284"/>
      <c r="P189" s="284"/>
    </row>
    <row r="190" spans="1:16" ht="21.75" customHeight="1" x14ac:dyDescent="0.35">
      <c r="A190" s="162"/>
      <c r="B190" s="163"/>
      <c r="C190" s="163" t="s">
        <v>16</v>
      </c>
      <c r="D190" s="164" t="s">
        <v>38</v>
      </c>
      <c r="E190" s="165"/>
      <c r="F190" s="165"/>
      <c r="G190" s="166" t="s">
        <v>39</v>
      </c>
      <c r="H190" s="167" t="s">
        <v>12</v>
      </c>
      <c r="I190" s="168" t="s">
        <v>40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 x14ac:dyDescent="0.35">
      <c r="A191" s="162"/>
      <c r="B191" s="163"/>
      <c r="C191" s="163"/>
      <c r="D191" s="172"/>
      <c r="E191" s="165"/>
      <c r="F191" s="165" t="s">
        <v>40</v>
      </c>
      <c r="G191" s="166" t="s">
        <v>41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 x14ac:dyDescent="0.35">
      <c r="A192" s="162"/>
      <c r="B192" s="163"/>
      <c r="C192" s="163"/>
      <c r="D192" s="172"/>
      <c r="E192" s="165"/>
      <c r="F192" s="165"/>
      <c r="G192" s="177" t="s">
        <v>43</v>
      </c>
      <c r="H192" s="167" t="s">
        <v>12</v>
      </c>
      <c r="I192" s="168"/>
      <c r="J192" s="168"/>
      <c r="K192" s="169"/>
      <c r="L192" s="176"/>
      <c r="M192" s="176"/>
      <c r="N192" s="173"/>
      <c r="O192" s="176"/>
      <c r="P192" s="176"/>
    </row>
    <row r="193" spans="1:16" ht="21.75" customHeight="1" x14ac:dyDescent="0.35">
      <c r="A193" s="183"/>
      <c r="B193" s="184"/>
      <c r="C193" s="163" t="s">
        <v>16</v>
      </c>
      <c r="D193" s="185" t="s">
        <v>44</v>
      </c>
      <c r="E193" s="186"/>
      <c r="F193" s="186"/>
      <c r="G193" s="187"/>
      <c r="H193" s="188"/>
      <c r="I193" s="168"/>
      <c r="J193" s="168"/>
      <c r="K193" s="169"/>
      <c r="L193" s="189"/>
      <c r="M193" s="189"/>
      <c r="N193" s="189"/>
      <c r="O193" s="189"/>
      <c r="P193" s="189"/>
    </row>
    <row r="194" spans="1:16" ht="21.75" customHeight="1" x14ac:dyDescent="0.35">
      <c r="A194" s="183"/>
      <c r="B194" s="184"/>
      <c r="C194" s="184"/>
      <c r="D194" s="190">
        <v>1</v>
      </c>
      <c r="E194" s="191" t="s">
        <v>45</v>
      </c>
      <c r="F194" s="192"/>
      <c r="G194" s="193"/>
      <c r="H194" s="194"/>
      <c r="I194" s="195"/>
      <c r="J194" s="205">
        <f ca="1">IFERROR(__xludf.DUMMYFUNCTION("IMPORTRANGE(""https://docs.google.com/spreadsheets/d/1IYY_tgx_IHuhSq3AJ5eI5OnqOPBNLWSHKh2a30DoXe8/edit?usp=sharing"",""ตรัง!J119"")"),0)</f>
        <v>0</v>
      </c>
      <c r="K194" s="169"/>
      <c r="L194" s="189"/>
      <c r="M194" s="189"/>
      <c r="N194" s="189"/>
      <c r="O194" s="189"/>
      <c r="P194" s="189"/>
    </row>
    <row r="195" spans="1:16" ht="21.75" customHeight="1" x14ac:dyDescent="0.35">
      <c r="A195" s="183"/>
      <c r="B195" s="184"/>
      <c r="C195" s="184"/>
      <c r="D195" s="197">
        <v>2</v>
      </c>
      <c r="E195" s="198" t="s">
        <v>46</v>
      </c>
      <c r="F195" s="199"/>
      <c r="G195" s="200"/>
      <c r="H195" s="194"/>
      <c r="I195" s="195"/>
      <c r="J195" s="196">
        <f ca="1">IFERROR(__xludf.DUMMYFUNCTION("IMPORTRANGE(""https://docs.google.com/spreadsheets/d/1IYY_tgx_IHuhSq3AJ5eI5OnqOPBNLWSHKh2a30DoXe8/edit?usp=sharing"",""ตรัง!J120"")"),1)</f>
        <v>1</v>
      </c>
      <c r="K195" s="169"/>
      <c r="L195" s="189"/>
      <c r="M195" s="189"/>
      <c r="N195" s="189"/>
      <c r="O195" s="189"/>
      <c r="P195" s="189"/>
    </row>
    <row r="196" spans="1:16" ht="21.75" customHeight="1" x14ac:dyDescent="0.35">
      <c r="A196" s="183"/>
      <c r="B196" s="184"/>
      <c r="C196" s="184"/>
      <c r="D196" s="201"/>
      <c r="E196" s="202" t="s">
        <v>47</v>
      </c>
      <c r="F196" s="203"/>
      <c r="G196" s="204"/>
      <c r="H196" s="194"/>
      <c r="I196" s="195"/>
      <c r="J196" s="196">
        <f ca="1">IFERROR(__xludf.DUMMYFUNCTION("IMPORTRANGE(""https://docs.google.com/spreadsheets/d/1IYY_tgx_IHuhSq3AJ5eI5OnqOPBNLWSHKh2a30DoXe8/edit?usp=sharing"",""ตรัง!J121"")"),1)</f>
        <v>1</v>
      </c>
      <c r="K196" s="169"/>
      <c r="L196" s="189"/>
      <c r="M196" s="189"/>
      <c r="N196" s="189"/>
      <c r="O196" s="189"/>
      <c r="P196" s="189"/>
    </row>
    <row r="197" spans="1:16" ht="21.75" customHeight="1" x14ac:dyDescent="0.35">
      <c r="A197" s="183"/>
      <c r="B197" s="184"/>
      <c r="C197" s="184"/>
      <c r="D197" s="201"/>
      <c r="E197" s="202" t="s">
        <v>48</v>
      </c>
      <c r="F197" s="203"/>
      <c r="G197" s="204"/>
      <c r="H197" s="194"/>
      <c r="I197" s="195"/>
      <c r="J197" s="205">
        <f ca="1">IFERROR(__xludf.DUMMYFUNCTION("IMPORTRANGE(""https://docs.google.com/spreadsheets/d/1IYY_tgx_IHuhSq3AJ5eI5OnqOPBNLWSHKh2a30DoXe8/edit?usp=sharing"",""ตรัง!J122"")"),1)</f>
        <v>1</v>
      </c>
      <c r="K197" s="169"/>
      <c r="L197" s="189"/>
      <c r="M197" s="189"/>
      <c r="N197" s="189"/>
      <c r="O197" s="189"/>
      <c r="P197" s="189"/>
    </row>
    <row r="198" spans="1:16" ht="21.75" customHeight="1" x14ac:dyDescent="0.35">
      <c r="A198" s="183"/>
      <c r="B198" s="184"/>
      <c r="C198" s="184"/>
      <c r="D198" s="201"/>
      <c r="E198" s="203"/>
      <c r="F198" s="203" t="s">
        <v>90</v>
      </c>
      <c r="G198" s="204"/>
      <c r="H198" s="188"/>
      <c r="I198" s="195"/>
      <c r="J198" s="195"/>
      <c r="K198" s="169"/>
      <c r="L198" s="189"/>
      <c r="M198" s="189"/>
      <c r="N198" s="189"/>
      <c r="O198" s="189"/>
      <c r="P198" s="189"/>
    </row>
    <row r="199" spans="1:16" ht="21.75" customHeight="1" x14ac:dyDescent="0.35">
      <c r="A199" s="183"/>
      <c r="B199" s="184"/>
      <c r="C199" s="184"/>
      <c r="D199" s="201"/>
      <c r="E199" s="206"/>
      <c r="F199" s="203"/>
      <c r="G199" s="202" t="s">
        <v>91</v>
      </c>
      <c r="H199" s="188" t="s">
        <v>89</v>
      </c>
      <c r="I199" s="195">
        <f ca="1">IFERROR(__xludf.DUMMYFUNCTION("IMPORTRANGE(""https://docs.google.com/spreadsheets/d/1IYY_tgx_IHuhSq3AJ5eI5OnqOPBNLWSHKh2a30DoXe8/edit?usp=sharing"",""ตรัง!I124"")"),10000)</f>
        <v>10000</v>
      </c>
      <c r="J199" s="196">
        <f ca="1">IFERROR(__xludf.DUMMYFUNCTION("IMPORTRANGE(""https://docs.google.com/spreadsheets/d/1IYY_tgx_IHuhSq3AJ5eI5OnqOPBNLWSHKh2a30DoXe8/edit?usp=sharing"",""ตรัง!J124"")"),0)</f>
        <v>0</v>
      </c>
      <c r="K199" s="169">
        <f t="shared" ref="K199:K201" ca="1" si="70">IF(I199&gt;0,J199*100/I199,0)</f>
        <v>0</v>
      </c>
      <c r="L199" s="189"/>
      <c r="M199" s="189"/>
      <c r="N199" s="189"/>
      <c r="O199" s="189"/>
      <c r="P199" s="189"/>
    </row>
    <row r="200" spans="1:16" ht="21.75" customHeight="1" x14ac:dyDescent="0.35">
      <c r="A200" s="183"/>
      <c r="B200" s="184"/>
      <c r="C200" s="184"/>
      <c r="D200" s="201"/>
      <c r="E200" s="206"/>
      <c r="F200" s="203"/>
      <c r="G200" s="202" t="s">
        <v>92</v>
      </c>
      <c r="H200" s="188" t="s">
        <v>89</v>
      </c>
      <c r="I200" s="195">
        <f ca="1">IFERROR(__xludf.DUMMYFUNCTION("IMPORTRANGE(""https://docs.google.com/spreadsheets/d/1IYY_tgx_IHuhSq3AJ5eI5OnqOPBNLWSHKh2a30DoXe8/edit?usp=sharing"",""ตรัง!I125"")"),10000)</f>
        <v>10000</v>
      </c>
      <c r="J200" s="196">
        <f ca="1">IFERROR(__xludf.DUMMYFUNCTION("IMPORTRANGE(""https://docs.google.com/spreadsheets/d/1IYY_tgx_IHuhSq3AJ5eI5OnqOPBNLWSHKh2a30DoXe8/edit?usp=sharing"",""ตรัง!J125"")"),0)</f>
        <v>0</v>
      </c>
      <c r="K200" s="169">
        <f t="shared" ca="1" si="70"/>
        <v>0</v>
      </c>
      <c r="L200" s="176"/>
      <c r="M200" s="176"/>
      <c r="N200" s="173"/>
      <c r="O200" s="176"/>
      <c r="P200" s="176"/>
    </row>
    <row r="201" spans="1:16" ht="21.75" customHeight="1" x14ac:dyDescent="0.35">
      <c r="A201" s="183"/>
      <c r="B201" s="184"/>
      <c r="C201" s="184"/>
      <c r="D201" s="201"/>
      <c r="E201" s="206"/>
      <c r="F201" s="203" t="s">
        <v>93</v>
      </c>
      <c r="G201" s="204"/>
      <c r="H201" s="188" t="s">
        <v>37</v>
      </c>
      <c r="I201" s="195">
        <f ca="1">IFERROR(__xludf.DUMMYFUNCTION("IMPORTRANGE(""https://docs.google.com/spreadsheets/d/1IYY_tgx_IHuhSq3AJ5eI5OnqOPBNLWSHKh2a30DoXe8/edit?usp=sharing"",""ตรัง!I126"")"),15)</f>
        <v>15</v>
      </c>
      <c r="J201" s="196">
        <f ca="1">IFERROR(__xludf.DUMMYFUNCTION("IMPORTRANGE(""https://docs.google.com/spreadsheets/d/1IYY_tgx_IHuhSq3AJ5eI5OnqOPBNLWSHKh2a30DoXe8/edit?usp=sharing"",""ตรัง!J126"")"),15)</f>
        <v>15</v>
      </c>
      <c r="K201" s="169">
        <f t="shared" ca="1" si="70"/>
        <v>100</v>
      </c>
      <c r="L201" s="176"/>
      <c r="M201" s="176"/>
      <c r="N201" s="173"/>
      <c r="O201" s="176"/>
      <c r="P201" s="176"/>
    </row>
    <row r="202" spans="1:16" ht="21.75" customHeight="1" x14ac:dyDescent="0.35">
      <c r="A202" s="183"/>
      <c r="B202" s="184"/>
      <c r="C202" s="184"/>
      <c r="D202" s="201"/>
      <c r="E202" s="202" t="s">
        <v>54</v>
      </c>
      <c r="F202" s="203"/>
      <c r="G202" s="204"/>
      <c r="H202" s="194"/>
      <c r="I202" s="195"/>
      <c r="J202" s="205">
        <f ca="1">IFERROR(__xludf.DUMMYFUNCTION("IMPORTRANGE(""https://docs.google.com/spreadsheets/d/1IYY_tgx_IHuhSq3AJ5eI5OnqOPBNLWSHKh2a30DoXe8/edit?usp=sharing"",""ตรัง!J127"")"),0)</f>
        <v>0</v>
      </c>
      <c r="K202" s="169"/>
      <c r="L202" s="189"/>
      <c r="M202" s="189"/>
      <c r="N202" s="189"/>
      <c r="O202" s="189"/>
      <c r="P202" s="189"/>
    </row>
    <row r="203" spans="1:16" ht="21.75" customHeight="1" x14ac:dyDescent="0.35">
      <c r="A203" s="241"/>
      <c r="B203" s="242"/>
      <c r="C203" s="242"/>
      <c r="D203" s="243">
        <v>3</v>
      </c>
      <c r="E203" s="244" t="s">
        <v>55</v>
      </c>
      <c r="F203" s="245"/>
      <c r="G203" s="246"/>
      <c r="H203" s="247"/>
      <c r="I203" s="248"/>
      <c r="J203" s="293">
        <f ca="1">IFERROR(__xludf.DUMMYFUNCTION("IMPORTRANGE(""https://docs.google.com/spreadsheets/d/1IYY_tgx_IHuhSq3AJ5eI5OnqOPBNLWSHKh2a30DoXe8/edit?usp=sharing"",""ตรัง!J128"")"),0)</f>
        <v>0</v>
      </c>
      <c r="K203" s="294"/>
      <c r="L203" s="252"/>
      <c r="M203" s="252"/>
      <c r="N203" s="252"/>
      <c r="O203" s="252"/>
      <c r="P203" s="252"/>
    </row>
    <row r="204" spans="1:16" ht="21.75" customHeight="1" x14ac:dyDescent="0.35">
      <c r="A204" s="277"/>
      <c r="B204" s="278"/>
      <c r="C204" s="295" t="s">
        <v>94</v>
      </c>
      <c r="D204" s="279"/>
      <c r="E204" s="279"/>
      <c r="F204" s="279"/>
      <c r="G204" s="280"/>
      <c r="H204" s="292" t="s">
        <v>37</v>
      </c>
      <c r="I204" s="290">
        <f ca="1">IFERROR(__xludf.DUMMYFUNCTION("IMPORTRANGE(""https://docs.google.com/spreadsheets/d/1IYY_tgx_IHuhSq3AJ5eI5OnqOPBNLWSHKh2a30DoXe8/edit?usp=sharing"",""ตรัง!I129"")"),0)</f>
        <v>0</v>
      </c>
      <c r="J204" s="290">
        <f ca="1">IFERROR(__xludf.DUMMYFUNCTION("IMPORTRANGE(""https://docs.google.com/spreadsheets/d/1IYY_tgx_IHuhSq3AJ5eI5OnqOPBNLWSHKh2a30DoXe8/edit?usp=sharing"",""ตรัง!J129"")"),0)</f>
        <v>0</v>
      </c>
      <c r="K204" s="291">
        <f ca="1">IF(I204&gt;0,J204*100/I204,0)</f>
        <v>0</v>
      </c>
      <c r="L204" s="284"/>
      <c r="M204" s="284"/>
      <c r="N204" s="284"/>
      <c r="O204" s="284"/>
      <c r="P204" s="284"/>
    </row>
    <row r="205" spans="1:16" ht="21.75" customHeight="1" x14ac:dyDescent="0.35">
      <c r="A205" s="162"/>
      <c r="B205" s="163"/>
      <c r="C205" s="163" t="s">
        <v>16</v>
      </c>
      <c r="D205" s="164" t="s">
        <v>38</v>
      </c>
      <c r="E205" s="165"/>
      <c r="F205" s="165"/>
      <c r="G205" s="166" t="s">
        <v>39</v>
      </c>
      <c r="H205" s="167" t="s">
        <v>12</v>
      </c>
      <c r="I205" s="168" t="s">
        <v>40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 x14ac:dyDescent="0.35">
      <c r="A206" s="162"/>
      <c r="B206" s="163"/>
      <c r="C206" s="163"/>
      <c r="D206" s="172"/>
      <c r="E206" s="165"/>
      <c r="F206" s="165" t="s">
        <v>40</v>
      </c>
      <c r="G206" s="166" t="s">
        <v>41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 x14ac:dyDescent="0.35">
      <c r="A207" s="162"/>
      <c r="B207" s="163"/>
      <c r="C207" s="163"/>
      <c r="D207" s="172"/>
      <c r="E207" s="165"/>
      <c r="F207" s="165"/>
      <c r="G207" s="177" t="s">
        <v>43</v>
      </c>
      <c r="H207" s="167" t="s">
        <v>12</v>
      </c>
      <c r="I207" s="168"/>
      <c r="J207" s="195"/>
      <c r="K207" s="231"/>
      <c r="L207" s="176"/>
      <c r="M207" s="176"/>
      <c r="N207" s="173"/>
      <c r="O207" s="176"/>
      <c r="P207" s="176"/>
    </row>
    <row r="208" spans="1:16" ht="21.75" customHeight="1" x14ac:dyDescent="0.35">
      <c r="A208" s="183"/>
      <c r="B208" s="184"/>
      <c r="C208" s="163" t="s">
        <v>16</v>
      </c>
      <c r="D208" s="185" t="s">
        <v>44</v>
      </c>
      <c r="E208" s="186"/>
      <c r="F208" s="186"/>
      <c r="G208" s="187"/>
      <c r="H208" s="188"/>
      <c r="I208" s="168"/>
      <c r="J208" s="195"/>
      <c r="K208" s="231"/>
      <c r="L208" s="176"/>
      <c r="M208" s="176"/>
      <c r="N208" s="176"/>
      <c r="O208" s="189"/>
      <c r="P208" s="189"/>
    </row>
    <row r="209" spans="1:16" ht="21.75" customHeight="1" x14ac:dyDescent="0.35">
      <c r="A209" s="183"/>
      <c r="B209" s="184"/>
      <c r="C209" s="184"/>
      <c r="D209" s="190">
        <v>1</v>
      </c>
      <c r="E209" s="191" t="s">
        <v>45</v>
      </c>
      <c r="F209" s="192"/>
      <c r="G209" s="193"/>
      <c r="H209" s="194"/>
      <c r="I209" s="195"/>
      <c r="J209" s="195">
        <f ca="1">IFERROR(__xludf.DUMMYFUNCTION("IMPORTRANGE(""https://docs.google.com/spreadsheets/d/1IYY_tgx_IHuhSq3AJ5eI5OnqOPBNLWSHKh2a30DoXe8/edit?usp=sharing"",""ตรัง!J134"")"),0)</f>
        <v>0</v>
      </c>
      <c r="K209" s="231"/>
      <c r="L209" s="176"/>
      <c r="M209" s="176"/>
      <c r="N209" s="176"/>
      <c r="O209" s="189"/>
      <c r="P209" s="189"/>
    </row>
    <row r="210" spans="1:16" ht="21.75" customHeight="1" x14ac:dyDescent="0.35">
      <c r="A210" s="183"/>
      <c r="B210" s="184"/>
      <c r="C210" s="184"/>
      <c r="D210" s="197">
        <v>2</v>
      </c>
      <c r="E210" s="198" t="s">
        <v>46</v>
      </c>
      <c r="F210" s="199"/>
      <c r="G210" s="200"/>
      <c r="H210" s="194"/>
      <c r="I210" s="195"/>
      <c r="J210" s="195">
        <f ca="1">IFERROR(__xludf.DUMMYFUNCTION("IMPORTRANGE(""https://docs.google.com/spreadsheets/d/1IYY_tgx_IHuhSq3AJ5eI5OnqOPBNLWSHKh2a30DoXe8/edit?usp=sharing"",""ตรัง!J135"")"),0)</f>
        <v>0</v>
      </c>
      <c r="K210" s="231"/>
      <c r="L210" s="176"/>
      <c r="M210" s="176"/>
      <c r="N210" s="176"/>
      <c r="O210" s="189"/>
      <c r="P210" s="189"/>
    </row>
    <row r="211" spans="1:16" ht="21.75" customHeight="1" x14ac:dyDescent="0.35">
      <c r="A211" s="183"/>
      <c r="B211" s="184"/>
      <c r="C211" s="184"/>
      <c r="D211" s="201"/>
      <c r="E211" s="202" t="s">
        <v>47</v>
      </c>
      <c r="F211" s="203"/>
      <c r="G211" s="204"/>
      <c r="H211" s="194"/>
      <c r="I211" s="195"/>
      <c r="J211" s="195">
        <f ca="1">IFERROR(__xludf.DUMMYFUNCTION("IMPORTRANGE(""https://docs.google.com/spreadsheets/d/1IYY_tgx_IHuhSq3AJ5eI5OnqOPBNLWSHKh2a30DoXe8/edit?usp=sharing"",""ตรัง!J136"")"),0)</f>
        <v>0</v>
      </c>
      <c r="K211" s="231"/>
      <c r="L211" s="176"/>
      <c r="M211" s="176"/>
      <c r="N211" s="176"/>
      <c r="O211" s="189"/>
      <c r="P211" s="189"/>
    </row>
    <row r="212" spans="1:16" ht="21.75" customHeight="1" x14ac:dyDescent="0.35">
      <c r="A212" s="183"/>
      <c r="B212" s="184"/>
      <c r="C212" s="184"/>
      <c r="D212" s="201"/>
      <c r="E212" s="202" t="s">
        <v>48</v>
      </c>
      <c r="F212" s="203"/>
      <c r="G212" s="204"/>
      <c r="H212" s="194"/>
      <c r="I212" s="195"/>
      <c r="J212" s="195">
        <f ca="1">IFERROR(__xludf.DUMMYFUNCTION("IMPORTRANGE(""https://docs.google.com/spreadsheets/d/1IYY_tgx_IHuhSq3AJ5eI5OnqOPBNLWSHKh2a30DoXe8/edit?usp=sharing"",""ตรัง!J137"")"),0)</f>
        <v>0</v>
      </c>
      <c r="K212" s="231"/>
      <c r="L212" s="176"/>
      <c r="M212" s="176"/>
      <c r="N212" s="176"/>
      <c r="O212" s="189"/>
      <c r="P212" s="189"/>
    </row>
    <row r="213" spans="1:16" ht="21.75" customHeight="1" x14ac:dyDescent="0.35">
      <c r="A213" s="183"/>
      <c r="B213" s="184"/>
      <c r="C213" s="184"/>
      <c r="D213" s="201"/>
      <c r="E213" s="206"/>
      <c r="F213" s="203" t="s">
        <v>95</v>
      </c>
      <c r="G213" s="204"/>
      <c r="H213" s="188" t="s">
        <v>37</v>
      </c>
      <c r="I213" s="195">
        <f ca="1">IFERROR(__xludf.DUMMYFUNCTION("IMPORTRANGE(""https://docs.google.com/spreadsheets/d/1IYY_tgx_IHuhSq3AJ5eI5OnqOPBNLWSHKh2a30DoXe8/edit?usp=sharing"",""ตรัง!I138"")"),0)</f>
        <v>0</v>
      </c>
      <c r="J213" s="211">
        <f ca="1">IFERROR(__xludf.DUMMYFUNCTION("IMPORTRANGE(""https://docs.google.com/spreadsheets/d/1IYY_tgx_IHuhSq3AJ5eI5OnqOPBNLWSHKh2a30DoXe8/edit?usp=sharing"",""ตรัง!J138"")"),0)</f>
        <v>0</v>
      </c>
      <c r="K213" s="231">
        <f ca="1">IF(I213&gt;0,J213*100/I213,0)</f>
        <v>0</v>
      </c>
      <c r="L213" s="176"/>
      <c r="M213" s="176"/>
      <c r="N213" s="173"/>
      <c r="O213" s="176"/>
      <c r="P213" s="176"/>
    </row>
    <row r="214" spans="1:16" ht="21.75" customHeight="1" x14ac:dyDescent="0.35">
      <c r="A214" s="183"/>
      <c r="B214" s="184"/>
      <c r="C214" s="184"/>
      <c r="D214" s="201"/>
      <c r="E214" s="206"/>
      <c r="F214" s="202" t="s">
        <v>53</v>
      </c>
      <c r="G214" s="204"/>
      <c r="H214" s="188"/>
      <c r="I214" s="195"/>
      <c r="J214" s="195"/>
      <c r="K214" s="231"/>
      <c r="L214" s="176"/>
      <c r="M214" s="176"/>
      <c r="N214" s="176"/>
      <c r="O214" s="189"/>
      <c r="P214" s="189"/>
    </row>
    <row r="215" spans="1:16" ht="21.75" customHeight="1" x14ac:dyDescent="0.35">
      <c r="A215" s="183"/>
      <c r="B215" s="184"/>
      <c r="C215" s="184"/>
      <c r="D215" s="201"/>
      <c r="E215" s="206"/>
      <c r="F215" s="203"/>
      <c r="G215" s="233" t="s">
        <v>96</v>
      </c>
      <c r="H215" s="188" t="s">
        <v>37</v>
      </c>
      <c r="I215" s="195">
        <f ca="1">IFERROR(__xludf.DUMMYFUNCTION("IMPORTRANGE(""https://docs.google.com/spreadsheets/d/1IYY_tgx_IHuhSq3AJ5eI5OnqOPBNLWSHKh2a30DoXe8/edit?usp=sharing"",""ตรัง!I140"")"),0)</f>
        <v>0</v>
      </c>
      <c r="J215" s="211">
        <f ca="1">IFERROR(__xludf.DUMMYFUNCTION("IMPORTRANGE(""https://docs.google.com/spreadsheets/d/1IYY_tgx_IHuhSq3AJ5eI5OnqOPBNLWSHKh2a30DoXe8/edit?usp=sharing"",""ตรัง!J140"")"),0)</f>
        <v>0</v>
      </c>
      <c r="K215" s="231">
        <f t="shared" ref="K215:K216" ca="1" si="71">IF(I215&gt;0,J215*100/I215,0)</f>
        <v>0</v>
      </c>
      <c r="L215" s="176"/>
      <c r="M215" s="176"/>
      <c r="N215" s="173"/>
      <c r="O215" s="176"/>
      <c r="P215" s="176"/>
    </row>
    <row r="216" spans="1:16" ht="21.75" customHeight="1" x14ac:dyDescent="0.35">
      <c r="A216" s="183"/>
      <c r="B216" s="184"/>
      <c r="C216" s="184"/>
      <c r="D216" s="201"/>
      <c r="E216" s="206"/>
      <c r="F216" s="203"/>
      <c r="G216" s="233" t="s">
        <v>97</v>
      </c>
      <c r="H216" s="188" t="s">
        <v>59</v>
      </c>
      <c r="I216" s="195">
        <f ca="1">IFERROR(__xludf.DUMMYFUNCTION("IMPORTRANGE(""https://docs.google.com/spreadsheets/d/1IYY_tgx_IHuhSq3AJ5eI5OnqOPBNLWSHKh2a30DoXe8/edit?usp=sharing"",""ตรัง!I141"")"),0)</f>
        <v>0</v>
      </c>
      <c r="J216" s="211">
        <f ca="1">IFERROR(__xludf.DUMMYFUNCTION("IMPORTRANGE(""https://docs.google.com/spreadsheets/d/1IYY_tgx_IHuhSq3AJ5eI5OnqOPBNLWSHKh2a30DoXe8/edit?usp=sharing"",""ตรัง!J141"")"),0)</f>
        <v>0</v>
      </c>
      <c r="K216" s="231">
        <f t="shared" ca="1" si="71"/>
        <v>0</v>
      </c>
      <c r="L216" s="176"/>
      <c r="M216" s="176"/>
      <c r="N216" s="173"/>
      <c r="O216" s="176"/>
      <c r="P216" s="176"/>
    </row>
    <row r="217" spans="1:16" ht="21.75" customHeight="1" x14ac:dyDescent="0.35">
      <c r="A217" s="183"/>
      <c r="B217" s="184"/>
      <c r="C217" s="184"/>
      <c r="D217" s="201"/>
      <c r="E217" s="202" t="s">
        <v>54</v>
      </c>
      <c r="F217" s="203"/>
      <c r="G217" s="204"/>
      <c r="H217" s="194"/>
      <c r="I217" s="195"/>
      <c r="J217" s="195">
        <f ca="1">IFERROR(__xludf.DUMMYFUNCTION("IMPORTRANGE(""https://docs.google.com/spreadsheets/d/1IYY_tgx_IHuhSq3AJ5eI5OnqOPBNLWSHKh2a30DoXe8/edit?usp=sharing"",""ตรัง!J142"")"),0)</f>
        <v>0</v>
      </c>
      <c r="K217" s="231"/>
      <c r="L217" s="176"/>
      <c r="M217" s="176"/>
      <c r="N217" s="176"/>
      <c r="O217" s="189"/>
      <c r="P217" s="189"/>
    </row>
    <row r="218" spans="1:16" ht="21.75" customHeight="1" x14ac:dyDescent="0.35">
      <c r="A218" s="241"/>
      <c r="B218" s="242"/>
      <c r="C218" s="242"/>
      <c r="D218" s="243">
        <v>3</v>
      </c>
      <c r="E218" s="244" t="s">
        <v>55</v>
      </c>
      <c r="F218" s="245"/>
      <c r="G218" s="246"/>
      <c r="H218" s="247"/>
      <c r="I218" s="248"/>
      <c r="J218" s="249">
        <f ca="1">IFERROR(__xludf.DUMMYFUNCTION("IMPORTRANGE(""https://docs.google.com/spreadsheets/d/1IYY_tgx_IHuhSq3AJ5eI5OnqOPBNLWSHKh2a30DoXe8/edit?usp=sharing"",""ตรัง!J143"")"),0)</f>
        <v>0</v>
      </c>
      <c r="K218" s="250"/>
      <c r="L218" s="251"/>
      <c r="M218" s="251"/>
      <c r="N218" s="251"/>
      <c r="O218" s="252"/>
      <c r="P218" s="252"/>
    </row>
    <row r="219" spans="1:16" ht="21.75" customHeight="1" x14ac:dyDescent="0.35">
      <c r="A219" s="269"/>
      <c r="B219" s="270" t="s">
        <v>98</v>
      </c>
      <c r="C219" s="271"/>
      <c r="D219" s="270"/>
      <c r="E219" s="270"/>
      <c r="F219" s="270"/>
      <c r="G219" s="272"/>
      <c r="H219" s="273" t="s">
        <v>37</v>
      </c>
      <c r="I219" s="274">
        <f ca="1">IFERROR(__xludf.DUMMYFUNCTION("IMPORTRANGE(""https://docs.google.com/spreadsheets/d/1IYY_tgx_IHuhSq3AJ5eI5OnqOPBNLWSHKh2a30DoXe8/edit?usp=sharing"",""ตรัง!I144"")"),15)</f>
        <v>15</v>
      </c>
      <c r="J219" s="274">
        <f ca="1">IFERROR(__xludf.DUMMYFUNCTION("IMPORTRANGE(""https://docs.google.com/spreadsheets/d/1IYY_tgx_IHuhSq3AJ5eI5OnqOPBNLWSHKh2a30DoXe8/edit?usp=sharing"",""ตรัง!J144"")"),15)</f>
        <v>15</v>
      </c>
      <c r="K219" s="275">
        <f ca="1">IF(I219&gt;0,J219*100/I219,0)</f>
        <v>100</v>
      </c>
      <c r="L219" s="276"/>
      <c r="M219" s="276"/>
      <c r="N219" s="276"/>
      <c r="O219" s="275"/>
      <c r="P219" s="275"/>
    </row>
    <row r="220" spans="1:16" ht="21.75" customHeight="1" x14ac:dyDescent="0.45">
      <c r="A220" s="150"/>
      <c r="B220" s="151"/>
      <c r="C220" s="152" t="s">
        <v>16</v>
      </c>
      <c r="D220" s="552" t="s">
        <v>17</v>
      </c>
      <c r="E220" s="543"/>
      <c r="F220" s="543"/>
      <c r="G220" s="543"/>
      <c r="H220" s="153" t="s">
        <v>12</v>
      </c>
      <c r="I220" s="168"/>
      <c r="J220" s="168"/>
      <c r="K220" s="169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8"/>
      <c r="J221" s="168"/>
      <c r="K221" s="169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8"/>
      <c r="J222" s="168"/>
      <c r="K222" s="169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5">
      <c r="A223" s="162"/>
      <c r="B223" s="163"/>
      <c r="C223" s="163" t="s">
        <v>16</v>
      </c>
      <c r="D223" s="164" t="s">
        <v>38</v>
      </c>
      <c r="E223" s="165"/>
      <c r="F223" s="165"/>
      <c r="G223" s="166" t="s">
        <v>39</v>
      </c>
      <c r="H223" s="167" t="s">
        <v>12</v>
      </c>
      <c r="I223" s="168" t="s">
        <v>40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 x14ac:dyDescent="0.35">
      <c r="A224" s="162"/>
      <c r="B224" s="163"/>
      <c r="C224" s="163"/>
      <c r="D224" s="172"/>
      <c r="E224" s="165"/>
      <c r="F224" s="165" t="s">
        <v>40</v>
      </c>
      <c r="G224" s="166" t="s">
        <v>41</v>
      </c>
      <c r="H224" s="167" t="s">
        <v>12</v>
      </c>
      <c r="I224" s="168"/>
      <c r="J224" s="168"/>
      <c r="K224" s="169"/>
      <c r="L224" s="173">
        <f ca="1">L225+L226</f>
        <v>21125</v>
      </c>
      <c r="M224" s="174">
        <f ca="1">IFERROR(__xludf.DUMMYFUNCTION("IMPORTRANGE(""https://docs.google.com/spreadsheets/d/1Yj_ptqi66GCucihVvJfMjLAmec39IyEx_6qawtMGysU/edit?usp=sharing"",""สบก!BS83"")"),21125)</f>
        <v>21125</v>
      </c>
      <c r="N224" s="175">
        <f ca="1">IFERROR(__xludf.DUMMYFUNCTION("IMPORTRANGE(""https://docs.google.com/spreadsheets/d/1Yj_ptqi66GCucihVvJfMjLAmec39IyEx_6qawtMGysU/edit?usp=sharing"",""สบก!BT83"")"),21125)</f>
        <v>21125</v>
      </c>
      <c r="O224" s="176">
        <f ca="1">IF(L224&gt;0,N224*100/L224,0)</f>
        <v>100</v>
      </c>
      <c r="P224" s="176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2"/>
      <c r="E225" s="165"/>
      <c r="F225" s="165"/>
      <c r="G225" s="177" t="s">
        <v>42</v>
      </c>
      <c r="H225" s="167" t="s">
        <v>12</v>
      </c>
      <c r="I225" s="168"/>
      <c r="J225" s="168"/>
      <c r="K225" s="169"/>
      <c r="L225" s="174">
        <f ca="1">IFERROR(__xludf.DUMMYFUNCTION("IMPORTRANGE(""https://docs.google.com/spreadsheets/d/1Yj_ptqi66GCucihVvJfMjLAmec39IyEx_6qawtMGysU/edit?usp=sharing"",""สบก!BO83"")"),0)</f>
        <v>0</v>
      </c>
      <c r="M225" s="173"/>
      <c r="N225" s="173"/>
      <c r="O225" s="176"/>
      <c r="P225" s="176"/>
    </row>
    <row r="226" spans="1:16" ht="21.75" customHeight="1" x14ac:dyDescent="0.35">
      <c r="A226" s="162"/>
      <c r="B226" s="163"/>
      <c r="C226" s="163"/>
      <c r="D226" s="172"/>
      <c r="E226" s="165"/>
      <c r="F226" s="165"/>
      <c r="G226" s="177" t="s">
        <v>43</v>
      </c>
      <c r="H226" s="167" t="s">
        <v>12</v>
      </c>
      <c r="I226" s="168"/>
      <c r="J226" s="168"/>
      <c r="K226" s="169"/>
      <c r="L226" s="174">
        <f ca="1">IFERROR(__xludf.DUMMYFUNCTION("IMPORTRANGE(""https://docs.google.com/spreadsheets/d/1Yj_ptqi66GCucihVvJfMjLAmec39IyEx_6qawtMGysU/edit?usp=sharing"",""สบก!BP83"")"),21125)</f>
        <v>21125</v>
      </c>
      <c r="M226" s="173"/>
      <c r="N226" s="173"/>
      <c r="O226" s="176"/>
      <c r="P226" s="176"/>
    </row>
    <row r="227" spans="1:16" ht="21.75" customHeight="1" x14ac:dyDescent="0.45">
      <c r="A227" s="178"/>
      <c r="B227" s="81"/>
      <c r="C227" s="82" t="s">
        <v>16</v>
      </c>
      <c r="D227" s="549" t="s">
        <v>23</v>
      </c>
      <c r="E227" s="545"/>
      <c r="F227" s="89"/>
      <c r="G227" s="83" t="s">
        <v>18</v>
      </c>
      <c r="H227" s="179" t="s">
        <v>12</v>
      </c>
      <c r="I227" s="208"/>
      <c r="J227" s="208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80"/>
      <c r="B228" s="95"/>
      <c r="C228" s="95"/>
      <c r="D228" s="181"/>
      <c r="E228" s="96"/>
      <c r="F228" s="96"/>
      <c r="G228" s="97" t="s">
        <v>19</v>
      </c>
      <c r="H228" s="182" t="s">
        <v>12</v>
      </c>
      <c r="I228" s="208"/>
      <c r="J228" s="208"/>
      <c r="K228" s="296"/>
      <c r="L228" s="91">
        <f ca="1">IFERROR(__xludf.DUMMYFUNCTION("IMPORTRANGE(""https://docs.google.com/spreadsheets/d/1Yj_ptqi66GCucihVvJfMjLAmec39IyEx_6qawtMGysU/edit?usp=sharing"",""สบก!BQ83"")"),0)</f>
        <v>0</v>
      </c>
      <c r="M228" s="101"/>
      <c r="N228" s="91">
        <f ca="1">IFERROR(__xludf.DUMMYFUNCTION("IMPORTRANGE(""https://docs.google.com/spreadsheets/d/1Yj_ptqi66GCucihVvJfMjLAmec39IyEx_6qawtMGysU/edit?usp=sharing"",""สบก!BU83"")"),0)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3"/>
      <c r="B229" s="297"/>
      <c r="C229" s="271" t="s">
        <v>99</v>
      </c>
      <c r="D229" s="270"/>
      <c r="E229" s="270"/>
      <c r="F229" s="270"/>
      <c r="G229" s="272"/>
      <c r="H229" s="273" t="s">
        <v>37</v>
      </c>
      <c r="I229" s="274">
        <f ca="1">IFERROR(__xludf.DUMMYFUNCTION("IMPORTRANGE(""https://docs.google.com/spreadsheets/d/1IYY_tgx_IHuhSq3AJ5eI5OnqOPBNLWSHKh2a30DoXe8/edit?usp=sharing"",""ตรัง!I149"")"),15)</f>
        <v>15</v>
      </c>
      <c r="J229" s="274">
        <f ca="1">IFERROR(__xludf.DUMMYFUNCTION("IMPORTRANGE(""https://docs.google.com/spreadsheets/d/1IYY_tgx_IHuhSq3AJ5eI5OnqOPBNLWSHKh2a30DoXe8/edit?usp=sharing"",""ตรัง!J149"")"),15)</f>
        <v>15</v>
      </c>
      <c r="K229" s="275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3"/>
      <c r="B230" s="184"/>
      <c r="C230" s="163" t="s">
        <v>16</v>
      </c>
      <c r="D230" s="185" t="s">
        <v>44</v>
      </c>
      <c r="E230" s="186"/>
      <c r="F230" s="186"/>
      <c r="G230" s="187"/>
      <c r="H230" s="188"/>
      <c r="I230" s="168"/>
      <c r="J230" s="168"/>
      <c r="K230" s="169"/>
      <c r="L230" s="189"/>
      <c r="M230" s="189"/>
      <c r="N230" s="189"/>
      <c r="O230" s="189"/>
      <c r="P230" s="189"/>
    </row>
    <row r="231" spans="1:16" ht="21.75" customHeight="1" x14ac:dyDescent="0.35">
      <c r="A231" s="183"/>
      <c r="B231" s="184"/>
      <c r="C231" s="184"/>
      <c r="D231" s="190">
        <v>1</v>
      </c>
      <c r="E231" s="191" t="s">
        <v>45</v>
      </c>
      <c r="F231" s="192"/>
      <c r="G231" s="193"/>
      <c r="H231" s="194"/>
      <c r="I231" s="195"/>
      <c r="J231" s="205">
        <f ca="1">IFERROR(__xludf.DUMMYFUNCTION("IMPORTRANGE(""https://docs.google.com/spreadsheets/d/1IYY_tgx_IHuhSq3AJ5eI5OnqOPBNLWSHKh2a30DoXe8/edit?usp=sharing"",""ตรัง!J151"")"),0)</f>
        <v>0</v>
      </c>
      <c r="K231" s="169"/>
      <c r="L231" s="189"/>
      <c r="M231" s="189"/>
      <c r="N231" s="189"/>
      <c r="O231" s="189"/>
      <c r="P231" s="189"/>
    </row>
    <row r="232" spans="1:16" ht="21.75" customHeight="1" x14ac:dyDescent="0.35">
      <c r="A232" s="183"/>
      <c r="B232" s="184"/>
      <c r="C232" s="184"/>
      <c r="D232" s="197">
        <v>2</v>
      </c>
      <c r="E232" s="198" t="s">
        <v>46</v>
      </c>
      <c r="F232" s="199"/>
      <c r="G232" s="200"/>
      <c r="H232" s="194"/>
      <c r="I232" s="195"/>
      <c r="J232" s="196">
        <f ca="1">IFERROR(__xludf.DUMMYFUNCTION("IMPORTRANGE(""https://docs.google.com/spreadsheets/d/1IYY_tgx_IHuhSq3AJ5eI5OnqOPBNLWSHKh2a30DoXe8/edit?usp=sharing"",""ตรัง!J152"")"),1)</f>
        <v>1</v>
      </c>
      <c r="K232" s="169"/>
      <c r="L232" s="189" t="s">
        <v>40</v>
      </c>
      <c r="M232" s="189"/>
      <c r="N232" s="189" t="s">
        <v>40</v>
      </c>
      <c r="O232" s="189"/>
      <c r="P232" s="189"/>
    </row>
    <row r="233" spans="1:16" ht="21.75" customHeight="1" x14ac:dyDescent="0.35">
      <c r="A233" s="183"/>
      <c r="B233" s="184"/>
      <c r="C233" s="184"/>
      <c r="D233" s="201"/>
      <c r="E233" s="202" t="s">
        <v>47</v>
      </c>
      <c r="F233" s="203"/>
      <c r="G233" s="204"/>
      <c r="H233" s="194"/>
      <c r="I233" s="195"/>
      <c r="J233" s="196">
        <f ca="1">IFERROR(__xludf.DUMMYFUNCTION("IMPORTRANGE(""https://docs.google.com/spreadsheets/d/1IYY_tgx_IHuhSq3AJ5eI5OnqOPBNLWSHKh2a30DoXe8/edit?usp=sharing"",""ตรัง!J153"")"),1)</f>
        <v>1</v>
      </c>
      <c r="K233" s="169"/>
      <c r="L233" s="189"/>
      <c r="M233" s="189"/>
      <c r="N233" s="189"/>
      <c r="O233" s="189"/>
      <c r="P233" s="189"/>
    </row>
    <row r="234" spans="1:16" ht="21.75" customHeight="1" x14ac:dyDescent="0.35">
      <c r="A234" s="183"/>
      <c r="B234" s="184"/>
      <c r="C234" s="184"/>
      <c r="D234" s="201"/>
      <c r="E234" s="202" t="s">
        <v>48</v>
      </c>
      <c r="F234" s="203"/>
      <c r="G234" s="204"/>
      <c r="H234" s="194"/>
      <c r="I234" s="195"/>
      <c r="J234" s="205">
        <f ca="1">IFERROR(__xludf.DUMMYFUNCTION("IMPORTRANGE(""https://docs.google.com/spreadsheets/d/1IYY_tgx_IHuhSq3AJ5eI5OnqOPBNLWSHKh2a30DoXe8/edit?usp=sharing"",""ตรัง!J154"")"),1)</f>
        <v>1</v>
      </c>
      <c r="K234" s="169"/>
      <c r="L234" s="189"/>
      <c r="M234" s="189"/>
      <c r="N234" s="189"/>
      <c r="O234" s="189"/>
      <c r="P234" s="189"/>
    </row>
    <row r="235" spans="1:16" ht="21.75" customHeight="1" x14ac:dyDescent="0.35">
      <c r="A235" s="183"/>
      <c r="B235" s="184"/>
      <c r="C235" s="184"/>
      <c r="D235" s="201"/>
      <c r="E235" s="206"/>
      <c r="F235" s="203"/>
      <c r="G235" s="299" t="s">
        <v>70</v>
      </c>
      <c r="H235" s="194" t="s">
        <v>37</v>
      </c>
      <c r="I235" s="195">
        <f ca="1">IFERROR(__xludf.DUMMYFUNCTION("IMPORTRANGE(""https://docs.google.com/spreadsheets/d/1IYY_tgx_IHuhSq3AJ5eI5OnqOPBNLWSHKh2a30DoXe8/edit?usp=sharing"",""ตรัง!I155"")"),15)</f>
        <v>15</v>
      </c>
      <c r="J235" s="196">
        <f ca="1">IFERROR(__xludf.DUMMYFUNCTION("IMPORTRANGE(""https://docs.google.com/spreadsheets/d/1IYY_tgx_IHuhSq3AJ5eI5OnqOPBNLWSHKh2a30DoXe8/edit?usp=sharing"",""ตรัง!J155"")"),15)</f>
        <v>15</v>
      </c>
      <c r="K235" s="169">
        <f ca="1">IF(I235&gt;0,J235*100/I235,0)</f>
        <v>100</v>
      </c>
      <c r="L235" s="189"/>
      <c r="M235" s="189"/>
      <c r="N235" s="189"/>
      <c r="O235" s="189"/>
      <c r="P235" s="189"/>
    </row>
    <row r="236" spans="1:16" ht="21.75" customHeight="1" x14ac:dyDescent="0.35">
      <c r="A236" s="183"/>
      <c r="B236" s="184"/>
      <c r="C236" s="184"/>
      <c r="D236" s="201"/>
      <c r="E236" s="202" t="s">
        <v>54</v>
      </c>
      <c r="F236" s="203"/>
      <c r="G236" s="204"/>
      <c r="H236" s="194"/>
      <c r="I236" s="195"/>
      <c r="J236" s="205">
        <f ca="1">IFERROR(__xludf.DUMMYFUNCTION("IMPORTRANGE(""https://docs.google.com/spreadsheets/d/1IYY_tgx_IHuhSq3AJ5eI5OnqOPBNLWSHKh2a30DoXe8/edit?usp=sharing"",""ตรัง!J156"")"),0)</f>
        <v>0</v>
      </c>
      <c r="K236" s="169"/>
      <c r="L236" s="189"/>
      <c r="M236" s="189"/>
      <c r="N236" s="189"/>
      <c r="O236" s="189"/>
      <c r="P236" s="189"/>
    </row>
    <row r="237" spans="1:16" ht="21.75" customHeight="1" x14ac:dyDescent="0.35">
      <c r="A237" s="183"/>
      <c r="B237" s="184"/>
      <c r="C237" s="184"/>
      <c r="D237" s="213">
        <v>3</v>
      </c>
      <c r="E237" s="214" t="s">
        <v>55</v>
      </c>
      <c r="F237" s="215"/>
      <c r="G237" s="216"/>
      <c r="H237" s="194"/>
      <c r="I237" s="195"/>
      <c r="J237" s="217">
        <f ca="1">IFERROR(__xludf.DUMMYFUNCTION("IMPORTRANGE(""https://docs.google.com/spreadsheets/d/1IYY_tgx_IHuhSq3AJ5eI5OnqOPBNLWSHKh2a30DoXe8/edit?usp=sharing"",""ตรัง!J157"")"),0)</f>
        <v>0</v>
      </c>
      <c r="K237" s="169"/>
      <c r="L237" s="189"/>
      <c r="M237" s="189"/>
      <c r="N237" s="189"/>
      <c r="O237" s="189"/>
      <c r="P237" s="189"/>
    </row>
    <row r="238" spans="1:16" ht="21.75" customHeight="1" x14ac:dyDescent="0.35">
      <c r="A238" s="183"/>
      <c r="B238" s="184"/>
      <c r="C238" s="271" t="s">
        <v>100</v>
      </c>
      <c r="D238" s="300"/>
      <c r="E238" s="270"/>
      <c r="F238" s="270"/>
      <c r="G238" s="272"/>
      <c r="H238" s="273" t="s">
        <v>37</v>
      </c>
      <c r="I238" s="274">
        <f ca="1">IFERROR(__xludf.DUMMYFUNCTION("IMPORTRANGE(""https://docs.google.com/spreadsheets/d/1IYY_tgx_IHuhSq3AJ5eI5OnqOPBNLWSHKh2a30DoXe8/edit?usp=sharing"",""ตรัง!I158"")"),0)</f>
        <v>0</v>
      </c>
      <c r="J238" s="274">
        <f ca="1">IFERROR(__xludf.DUMMYFUNCTION("IMPORTRANGE(""https://docs.google.com/spreadsheets/d/1IYY_tgx_IHuhSq3AJ5eI5OnqOPBNLWSHKh2a30DoXe8/edit?usp=sharing"",""ตรัง!J158"")"),0)</f>
        <v>0</v>
      </c>
      <c r="K238" s="275">
        <f ca="1">IF(I238&gt;0,J238*100/I238,0)</f>
        <v>0</v>
      </c>
      <c r="L238" s="189"/>
      <c r="M238" s="189"/>
      <c r="N238" s="189"/>
      <c r="O238" s="189"/>
      <c r="P238" s="189"/>
    </row>
    <row r="239" spans="1:16" ht="21.75" customHeight="1" x14ac:dyDescent="0.35">
      <c r="A239" s="183"/>
      <c r="B239" s="184"/>
      <c r="C239" s="163" t="s">
        <v>16</v>
      </c>
      <c r="D239" s="185" t="s">
        <v>44</v>
      </c>
      <c r="E239" s="186"/>
      <c r="F239" s="186"/>
      <c r="G239" s="187"/>
      <c r="H239" s="188"/>
      <c r="I239" s="168"/>
      <c r="J239" s="168"/>
      <c r="K239" s="169"/>
      <c r="L239" s="189"/>
      <c r="M239" s="189"/>
      <c r="N239" s="189"/>
      <c r="O239" s="189"/>
      <c r="P239" s="189"/>
    </row>
    <row r="240" spans="1:16" ht="21.75" customHeight="1" x14ac:dyDescent="0.35">
      <c r="A240" s="183"/>
      <c r="B240" s="184"/>
      <c r="C240" s="184"/>
      <c r="D240" s="190">
        <v>1</v>
      </c>
      <c r="E240" s="191" t="s">
        <v>45</v>
      </c>
      <c r="F240" s="192"/>
      <c r="G240" s="193"/>
      <c r="H240" s="194"/>
      <c r="I240" s="195"/>
      <c r="J240" s="195" t="str">
        <f ca="1">IFERROR(__xludf.DUMMYFUNCTION("IMPORTRANGE(""https://docs.google.com/spreadsheets/d/1IYY_tgx_IHuhSq3AJ5eI5OnqOPBNLWSHKh2a30DoXe8/edit?usp=sharing"",""ตรัง!J159"")"),"")</f>
        <v/>
      </c>
      <c r="K240" s="169"/>
      <c r="L240" s="189"/>
      <c r="M240" s="189"/>
      <c r="N240" s="189"/>
      <c r="O240" s="189"/>
      <c r="P240" s="189"/>
    </row>
    <row r="241" spans="1:16" ht="21.75" customHeight="1" x14ac:dyDescent="0.35">
      <c r="A241" s="183"/>
      <c r="B241" s="184"/>
      <c r="C241" s="184"/>
      <c r="D241" s="197">
        <v>2</v>
      </c>
      <c r="E241" s="198" t="s">
        <v>46</v>
      </c>
      <c r="F241" s="199"/>
      <c r="G241" s="200"/>
      <c r="H241" s="194"/>
      <c r="I241" s="195"/>
      <c r="J241" s="195">
        <f ca="1">IFERROR(__xludf.DUMMYFUNCTION("IMPORTRANGE(""https://docs.google.com/spreadsheets/d/1IYY_tgx_IHuhSq3AJ5eI5OnqOPBNLWSHKh2a30DoXe8/edit?usp=sharing"",""ตรัง!J161"")"),0)</f>
        <v>0</v>
      </c>
      <c r="K241" s="169"/>
      <c r="L241" s="189" t="s">
        <v>40</v>
      </c>
      <c r="M241" s="189"/>
      <c r="N241" s="189" t="s">
        <v>40</v>
      </c>
      <c r="O241" s="189"/>
      <c r="P241" s="189"/>
    </row>
    <row r="242" spans="1:16" ht="21.75" customHeight="1" x14ac:dyDescent="0.35">
      <c r="A242" s="183"/>
      <c r="B242" s="184"/>
      <c r="C242" s="184"/>
      <c r="D242" s="201"/>
      <c r="E242" s="202" t="s">
        <v>47</v>
      </c>
      <c r="F242" s="203"/>
      <c r="G242" s="204"/>
      <c r="H242" s="194"/>
      <c r="I242" s="195"/>
      <c r="J242" s="195">
        <f ca="1">IFERROR(__xludf.DUMMYFUNCTION("IMPORTRANGE(""https://docs.google.com/spreadsheets/d/1IYY_tgx_IHuhSq3AJ5eI5OnqOPBNLWSHKh2a30DoXe8/edit?usp=sharing"",""ตรัง!J162"")"),0)</f>
        <v>0</v>
      </c>
      <c r="K242" s="169"/>
      <c r="L242" s="189"/>
      <c r="M242" s="189"/>
      <c r="N242" s="189"/>
      <c r="O242" s="189"/>
      <c r="P242" s="189"/>
    </row>
    <row r="243" spans="1:16" ht="21.75" customHeight="1" x14ac:dyDescent="0.35">
      <c r="A243" s="183"/>
      <c r="B243" s="184"/>
      <c r="C243" s="184"/>
      <c r="D243" s="201"/>
      <c r="E243" s="202" t="s">
        <v>48</v>
      </c>
      <c r="F243" s="203"/>
      <c r="G243" s="204"/>
      <c r="H243" s="194"/>
      <c r="I243" s="195"/>
      <c r="J243" s="195">
        <f ca="1">IFERROR(__xludf.DUMMYFUNCTION("IMPORTRANGE(""https://docs.google.com/spreadsheets/d/1IYY_tgx_IHuhSq3AJ5eI5OnqOPBNLWSHKh2a30DoXe8/edit?usp=sharing"",""ตรัง!J163"")"),0)</f>
        <v>0</v>
      </c>
      <c r="K243" s="169"/>
      <c r="L243" s="189"/>
      <c r="M243" s="189"/>
      <c r="N243" s="189"/>
      <c r="O243" s="189"/>
      <c r="P243" s="189"/>
    </row>
    <row r="244" spans="1:16" ht="21.75" customHeight="1" x14ac:dyDescent="0.35">
      <c r="A244" s="183"/>
      <c r="B244" s="184"/>
      <c r="C244" s="184"/>
      <c r="D244" s="201"/>
      <c r="E244" s="203"/>
      <c r="F244" s="202" t="s">
        <v>101</v>
      </c>
      <c r="G244" s="203"/>
      <c r="H244" s="194" t="s">
        <v>37</v>
      </c>
      <c r="I244" s="211">
        <f ca="1">IFERROR(__xludf.DUMMYFUNCTION("IMPORTRANGE(""https://docs.google.com/spreadsheets/d/1IYY_tgx_IHuhSq3AJ5eI5OnqOPBNLWSHKh2a30DoXe8/edit?usp=sharing"",""ตรัง!I164"")"),0)</f>
        <v>0</v>
      </c>
      <c r="J244" s="195">
        <f ca="1">IFERROR(__xludf.DUMMYFUNCTION("IMPORTRANGE(""https://docs.google.com/spreadsheets/d/1IYY_tgx_IHuhSq3AJ5eI5OnqOPBNLWSHKh2a30DoXe8/edit?usp=sharing"",""ตรัง!J164"")"),0)</f>
        <v>0</v>
      </c>
      <c r="K244" s="169">
        <f ca="1">IF(I244&gt;0,J244*100/I244,0)</f>
        <v>0</v>
      </c>
      <c r="L244" s="189"/>
      <c r="M244" s="189"/>
      <c r="N244" s="189"/>
      <c r="O244" s="189"/>
      <c r="P244" s="189"/>
    </row>
    <row r="245" spans="1:16" ht="21.75" customHeight="1" x14ac:dyDescent="0.35">
      <c r="A245" s="183"/>
      <c r="B245" s="184"/>
      <c r="C245" s="184"/>
      <c r="D245" s="201"/>
      <c r="E245" s="202" t="s">
        <v>54</v>
      </c>
      <c r="F245" s="203"/>
      <c r="G245" s="204"/>
      <c r="H245" s="194"/>
      <c r="I245" s="195"/>
      <c r="J245" s="195">
        <f ca="1">IFERROR(__xludf.DUMMYFUNCTION("IMPORTRANGE(""https://docs.google.com/spreadsheets/d/1IYY_tgx_IHuhSq3AJ5eI5OnqOPBNLWSHKh2a30DoXe8/edit?usp=sharing"",""ตรัง!J165"")"),0)</f>
        <v>0</v>
      </c>
      <c r="K245" s="169"/>
      <c r="L245" s="189"/>
      <c r="M245" s="189"/>
      <c r="N245" s="189"/>
      <c r="O245" s="189"/>
      <c r="P245" s="189"/>
    </row>
    <row r="246" spans="1:16" ht="21.75" customHeight="1" x14ac:dyDescent="0.35">
      <c r="A246" s="241"/>
      <c r="B246" s="242"/>
      <c r="C246" s="242"/>
      <c r="D246" s="243">
        <v>3</v>
      </c>
      <c r="E246" s="244" t="s">
        <v>55</v>
      </c>
      <c r="F246" s="245"/>
      <c r="G246" s="246"/>
      <c r="H246" s="247"/>
      <c r="I246" s="248"/>
      <c r="J246" s="249">
        <f ca="1">IFERROR(__xludf.DUMMYFUNCTION("IMPORTRANGE(""https://docs.google.com/spreadsheets/d/1IYY_tgx_IHuhSq3AJ5eI5OnqOPBNLWSHKh2a30DoXe8/edit?usp=sharing"",""ตรัง!J166"")"),0)</f>
        <v>0</v>
      </c>
      <c r="K246" s="294"/>
      <c r="L246" s="252"/>
      <c r="M246" s="252"/>
      <c r="N246" s="252"/>
      <c r="O246" s="252"/>
      <c r="P246" s="252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IFERROR(__xludf.DUMMYFUNCTION("IMPORTRANGE(""https://docs.google.com/spreadsheets/d/1IYY_tgx_IHuhSq3AJ5eI5OnqOPBNLWSHKh2a30DoXe8/edit?usp=sharing"",""ตรัง!I169"")"),20)</f>
        <v>20</v>
      </c>
      <c r="J249" s="322">
        <f ca="1">IFERROR(__xludf.DUMMYFUNCTION("IMPORTRANGE(""https://docs.google.com/spreadsheets/d/1IYY_tgx_IHuhSq3AJ5eI5OnqOPBNLWSHKh2a30DoXe8/edit?usp=sharing"",""ตรัง!J169"")"),10)</f>
        <v>10</v>
      </c>
      <c r="K249" s="323">
        <f ca="1">IF(I249&gt;0,J249*100/I249,0)</f>
        <v>50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52" t="s">
        <v>17</v>
      </c>
      <c r="E250" s="543"/>
      <c r="F250" s="543"/>
      <c r="G250" s="543"/>
      <c r="H250" s="153" t="s">
        <v>12</v>
      </c>
      <c r="I250" s="168"/>
      <c r="J250" s="168"/>
      <c r="K250" s="169"/>
      <c r="L250" s="156">
        <f t="shared" ref="L250:N250" ca="1" si="77">L251+L252</f>
        <v>71400</v>
      </c>
      <c r="M250" s="156">
        <f t="shared" ca="1" si="77"/>
        <v>37000</v>
      </c>
      <c r="N250" s="156">
        <f t="shared" ca="1" si="77"/>
        <v>31830</v>
      </c>
      <c r="O250" s="155">
        <f t="shared" ref="O250:O252" ca="1" si="78">IF(L250&gt;0,N250*100/L250,0)</f>
        <v>44.579831932773111</v>
      </c>
      <c r="P250" s="155">
        <f t="shared" ref="P250:P252" ca="1" si="79">IF(M250&gt;0,N250*100/M250,0)</f>
        <v>86.027027027027032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8"/>
      <c r="J251" s="168"/>
      <c r="K251" s="169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8"/>
      <c r="J252" s="168"/>
      <c r="K252" s="169"/>
      <c r="L252" s="161">
        <f t="shared" ref="L252:N252" ca="1" si="81">L254+L258</f>
        <v>71400</v>
      </c>
      <c r="M252" s="161">
        <f t="shared" ca="1" si="81"/>
        <v>37000</v>
      </c>
      <c r="N252" s="161">
        <f t="shared" ca="1" si="81"/>
        <v>31830</v>
      </c>
      <c r="O252" s="160">
        <f t="shared" ca="1" si="78"/>
        <v>44.579831932773111</v>
      </c>
      <c r="P252" s="160">
        <f t="shared" ca="1" si="79"/>
        <v>86.027027027027032</v>
      </c>
    </row>
    <row r="253" spans="1:16" ht="21.75" customHeight="1" x14ac:dyDescent="0.35">
      <c r="A253" s="162"/>
      <c r="B253" s="163"/>
      <c r="C253" s="163" t="s">
        <v>16</v>
      </c>
      <c r="D253" s="164" t="s">
        <v>38</v>
      </c>
      <c r="E253" s="165"/>
      <c r="F253" s="165"/>
      <c r="G253" s="166" t="s">
        <v>39</v>
      </c>
      <c r="H253" s="167" t="s">
        <v>12</v>
      </c>
      <c r="I253" s="168" t="s">
        <v>40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 x14ac:dyDescent="0.35">
      <c r="A254" s="162"/>
      <c r="B254" s="163"/>
      <c r="C254" s="163"/>
      <c r="D254" s="172"/>
      <c r="E254" s="165"/>
      <c r="F254" s="165" t="s">
        <v>40</v>
      </c>
      <c r="G254" s="166" t="s">
        <v>41</v>
      </c>
      <c r="H254" s="167" t="s">
        <v>12</v>
      </c>
      <c r="I254" s="168"/>
      <c r="J254" s="168"/>
      <c r="K254" s="169"/>
      <c r="L254" s="173">
        <f ca="1">L255+L256</f>
        <v>71400</v>
      </c>
      <c r="M254" s="174">
        <f ca="1">IFERROR(__xludf.DUMMYFUNCTION("IMPORTRANGE(""https://docs.google.com/spreadsheets/d/1Yj_ptqi66GCucihVvJfMjLAmec39IyEx_6qawtMGysU/edit?usp=sharing"",""สบก!CB83"")"),37000)</f>
        <v>37000</v>
      </c>
      <c r="N254" s="175">
        <f ca="1">IFERROR(__xludf.DUMMYFUNCTION("IMPORTRANGE(""https://docs.google.com/spreadsheets/d/1Yj_ptqi66GCucihVvJfMjLAmec39IyEx_6qawtMGysU/edit?usp=sharing"",""สบก!CC83"")"),31830)</f>
        <v>31830</v>
      </c>
      <c r="O254" s="176">
        <f ca="1">IF(L254&gt;0,N254*100/L254,0)</f>
        <v>44.579831932773111</v>
      </c>
      <c r="P254" s="176">
        <f ca="1">IF(M254&gt;0,N254*100/M254,0)</f>
        <v>86.027027027027032</v>
      </c>
    </row>
    <row r="255" spans="1:16" ht="21.75" customHeight="1" x14ac:dyDescent="0.35">
      <c r="A255" s="162"/>
      <c r="B255" s="163"/>
      <c r="C255" s="163"/>
      <c r="D255" s="172"/>
      <c r="E255" s="165"/>
      <c r="F255" s="165"/>
      <c r="G255" s="177" t="s">
        <v>42</v>
      </c>
      <c r="H255" s="167" t="s">
        <v>12</v>
      </c>
      <c r="I255" s="168"/>
      <c r="J255" s="168"/>
      <c r="K255" s="169"/>
      <c r="L255" s="174">
        <f ca="1">IFERROR(__xludf.DUMMYFUNCTION("IMPORTRANGE(""https://docs.google.com/spreadsheets/d/1Yj_ptqi66GCucihVvJfMjLAmec39IyEx_6qawtMGysU/edit?usp=sharing"",""สบก!BX83"")"),0)</f>
        <v>0</v>
      </c>
      <c r="M255" s="173"/>
      <c r="N255" s="173"/>
      <c r="O255" s="176"/>
      <c r="P255" s="176"/>
    </row>
    <row r="256" spans="1:16" ht="21.75" customHeight="1" x14ac:dyDescent="0.35">
      <c r="A256" s="162"/>
      <c r="B256" s="163"/>
      <c r="C256" s="163"/>
      <c r="D256" s="172"/>
      <c r="E256" s="165"/>
      <c r="F256" s="165"/>
      <c r="G256" s="177" t="s">
        <v>43</v>
      </c>
      <c r="H256" s="167" t="s">
        <v>12</v>
      </c>
      <c r="I256" s="168"/>
      <c r="J256" s="168"/>
      <c r="K256" s="169"/>
      <c r="L256" s="174">
        <f ca="1">IFERROR(__xludf.DUMMYFUNCTION("IMPORTRANGE(""https://docs.google.com/spreadsheets/d/1Yj_ptqi66GCucihVvJfMjLAmec39IyEx_6qawtMGysU/edit?usp=sharing"",""สบก!BY83"")"),71400)</f>
        <v>71400</v>
      </c>
      <c r="M256" s="173"/>
      <c r="N256" s="173"/>
      <c r="O256" s="176"/>
      <c r="P256" s="176"/>
    </row>
    <row r="257" spans="1:16" ht="21.75" customHeight="1" x14ac:dyDescent="0.45">
      <c r="A257" s="178"/>
      <c r="B257" s="81"/>
      <c r="C257" s="82" t="s">
        <v>16</v>
      </c>
      <c r="D257" s="549" t="s">
        <v>23</v>
      </c>
      <c r="E257" s="545"/>
      <c r="F257" s="89"/>
      <c r="G257" s="83" t="s">
        <v>18</v>
      </c>
      <c r="H257" s="179" t="s">
        <v>12</v>
      </c>
      <c r="I257" s="168"/>
      <c r="J257" s="168"/>
      <c r="K257" s="169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80"/>
      <c r="B258" s="95"/>
      <c r="C258" s="95"/>
      <c r="D258" s="181"/>
      <c r="E258" s="96"/>
      <c r="F258" s="96"/>
      <c r="G258" s="97" t="s">
        <v>19</v>
      </c>
      <c r="H258" s="182" t="s">
        <v>12</v>
      </c>
      <c r="I258" s="168"/>
      <c r="J258" s="168"/>
      <c r="K258" s="169"/>
      <c r="L258" s="91">
        <f ca="1">IFERROR(__xludf.DUMMYFUNCTION("IMPORTRANGE(""https://docs.google.com/spreadsheets/d/1Yj_ptqi66GCucihVvJfMjLAmec39IyEx_6qawtMGysU/edit?usp=sharing"",""สบก!BZ83"")"),0)</f>
        <v>0</v>
      </c>
      <c r="M258" s="101"/>
      <c r="N258" s="91">
        <f ca="1">IFERROR(__xludf.DUMMYFUNCTION("IMPORTRANGE(""https://docs.google.com/spreadsheets/d/1Yj_ptqi66GCucihVvJfMjLAmec39IyEx_6qawtMGysU/edit?usp=sharing"",""สบก!CD83"")"),0)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3"/>
      <c r="B259" s="184"/>
      <c r="C259" s="163" t="s">
        <v>16</v>
      </c>
      <c r="D259" s="185" t="s">
        <v>44</v>
      </c>
      <c r="E259" s="186"/>
      <c r="F259" s="186"/>
      <c r="G259" s="187"/>
      <c r="H259" s="188"/>
      <c r="I259" s="168"/>
      <c r="J259" s="168"/>
      <c r="K259" s="169"/>
      <c r="L259" s="189"/>
      <c r="M259" s="189"/>
      <c r="N259" s="189"/>
      <c r="O259" s="189"/>
      <c r="P259" s="189"/>
    </row>
    <row r="260" spans="1:16" ht="21.75" customHeight="1" x14ac:dyDescent="0.35">
      <c r="A260" s="183"/>
      <c r="B260" s="184"/>
      <c r="C260" s="184"/>
      <c r="D260" s="190">
        <v>1</v>
      </c>
      <c r="E260" s="191" t="s">
        <v>45</v>
      </c>
      <c r="F260" s="192"/>
      <c r="G260" s="193"/>
      <c r="H260" s="194"/>
      <c r="I260" s="195"/>
      <c r="J260" s="196">
        <f ca="1">IFERROR(__xludf.DUMMYFUNCTION("IMPORTRANGE(""https://docs.google.com/spreadsheets/d/1IYY_tgx_IHuhSq3AJ5eI5OnqOPBNLWSHKh2a30DoXe8/edit?usp=sharing"",""ตรัง!J175"")"),0)</f>
        <v>0</v>
      </c>
      <c r="K260" s="169"/>
      <c r="L260" s="189"/>
      <c r="M260" s="189"/>
      <c r="N260" s="189"/>
      <c r="O260" s="189"/>
      <c r="P260" s="189"/>
    </row>
    <row r="261" spans="1:16" ht="21.75" customHeight="1" x14ac:dyDescent="0.35">
      <c r="A261" s="183"/>
      <c r="B261" s="184"/>
      <c r="C261" s="184"/>
      <c r="D261" s="197">
        <v>2</v>
      </c>
      <c r="E261" s="198" t="s">
        <v>46</v>
      </c>
      <c r="F261" s="199"/>
      <c r="G261" s="200"/>
      <c r="H261" s="194"/>
      <c r="I261" s="195"/>
      <c r="J261" s="205">
        <f ca="1">IFERROR(__xludf.DUMMYFUNCTION("IMPORTRANGE(""https://docs.google.com/spreadsheets/d/1IYY_tgx_IHuhSq3AJ5eI5OnqOPBNLWSHKh2a30DoXe8/edit?usp=sharing"",""ตรัง!J176"")"),1)</f>
        <v>1</v>
      </c>
      <c r="K261" s="169"/>
      <c r="L261" s="189" t="s">
        <v>40</v>
      </c>
      <c r="M261" s="189"/>
      <c r="N261" s="189" t="s">
        <v>40</v>
      </c>
      <c r="O261" s="189"/>
      <c r="P261" s="189"/>
    </row>
    <row r="262" spans="1:16" ht="21.75" customHeight="1" x14ac:dyDescent="0.35">
      <c r="A262" s="183"/>
      <c r="B262" s="184"/>
      <c r="C262" s="184"/>
      <c r="D262" s="201"/>
      <c r="E262" s="202" t="s">
        <v>47</v>
      </c>
      <c r="F262" s="203"/>
      <c r="G262" s="204"/>
      <c r="H262" s="194"/>
      <c r="I262" s="195"/>
      <c r="J262" s="205">
        <f ca="1">IFERROR(__xludf.DUMMYFUNCTION("IMPORTRANGE(""https://docs.google.com/spreadsheets/d/1IYY_tgx_IHuhSq3AJ5eI5OnqOPBNLWSHKh2a30DoXe8/edit?usp=sharing"",""ตรัง!J177"")"),1)</f>
        <v>1</v>
      </c>
      <c r="K262" s="169"/>
      <c r="L262" s="189"/>
      <c r="M262" s="189"/>
      <c r="N262" s="189"/>
      <c r="O262" s="189"/>
      <c r="P262" s="189"/>
    </row>
    <row r="263" spans="1:16" ht="21.75" customHeight="1" x14ac:dyDescent="0.35">
      <c r="A263" s="183"/>
      <c r="B263" s="184"/>
      <c r="C263" s="184"/>
      <c r="D263" s="201"/>
      <c r="E263" s="202" t="s">
        <v>48</v>
      </c>
      <c r="F263" s="203"/>
      <c r="G263" s="204"/>
      <c r="H263" s="194"/>
      <c r="I263" s="195"/>
      <c r="J263" s="205">
        <f ca="1">IFERROR(__xludf.DUMMYFUNCTION("IMPORTRANGE(""https://docs.google.com/spreadsheets/d/1IYY_tgx_IHuhSq3AJ5eI5OnqOPBNLWSHKh2a30DoXe8/edit?usp=sharing"",""ตรัง!J178"")"),1)</f>
        <v>1</v>
      </c>
      <c r="K263" s="169"/>
      <c r="L263" s="189"/>
      <c r="M263" s="189"/>
      <c r="N263" s="189"/>
      <c r="O263" s="189"/>
      <c r="P263" s="189"/>
    </row>
    <row r="264" spans="1:16" ht="21.75" customHeight="1" x14ac:dyDescent="0.35">
      <c r="A264" s="183"/>
      <c r="B264" s="184"/>
      <c r="C264" s="184"/>
      <c r="D264" s="201"/>
      <c r="E264" s="206"/>
      <c r="F264" s="202" t="s">
        <v>105</v>
      </c>
      <c r="G264" s="204"/>
      <c r="H264" s="188" t="s">
        <v>59</v>
      </c>
      <c r="I264" s="195">
        <f ca="1">IFERROR(__xludf.DUMMYFUNCTION("IMPORTRANGE(""https://docs.google.com/spreadsheets/d/1IYY_tgx_IHuhSq3AJ5eI5OnqOPBNLWSHKh2a30DoXe8/edit?usp=sharing"",""ตรัง!I179"")"),1)</f>
        <v>1</v>
      </c>
      <c r="J264" s="196">
        <f ca="1">IFERROR(__xludf.DUMMYFUNCTION("IMPORTRANGE(""https://docs.google.com/spreadsheets/d/1IYY_tgx_IHuhSq3AJ5eI5OnqOPBNLWSHKh2a30DoXe8/edit?usp=sharing"",""ตรัง!J179"")"),0)</f>
        <v>0</v>
      </c>
      <c r="K264" s="169">
        <f t="shared" ref="K264:K267" ca="1" si="82">IF(I264&gt;0,J264*100/I264,0)</f>
        <v>0</v>
      </c>
      <c r="L264" s="189"/>
      <c r="M264" s="189"/>
      <c r="N264" s="189"/>
      <c r="O264" s="189"/>
      <c r="P264" s="189"/>
    </row>
    <row r="265" spans="1:16" ht="21.75" customHeight="1" x14ac:dyDescent="0.35">
      <c r="A265" s="183"/>
      <c r="B265" s="184"/>
      <c r="C265" s="184"/>
      <c r="D265" s="201"/>
      <c r="E265" s="206"/>
      <c r="F265" s="202" t="s">
        <v>106</v>
      </c>
      <c r="G265" s="204"/>
      <c r="H265" s="188" t="s">
        <v>37</v>
      </c>
      <c r="I265" s="195">
        <f ca="1">IFERROR(__xludf.DUMMYFUNCTION("IMPORTRANGE(""https://docs.google.com/spreadsheets/d/1IYY_tgx_IHuhSq3AJ5eI5OnqOPBNLWSHKh2a30DoXe8/edit?usp=sharing"",""ตรัง!I180"")"),20)</f>
        <v>20</v>
      </c>
      <c r="J265" s="196">
        <f ca="1">IFERROR(__xludf.DUMMYFUNCTION("IMPORTRANGE(""https://docs.google.com/spreadsheets/d/1IYY_tgx_IHuhSq3AJ5eI5OnqOPBNLWSHKh2a30DoXe8/edit?usp=sharing"",""ตรัง!J180"")"),10)</f>
        <v>10</v>
      </c>
      <c r="K265" s="169">
        <f t="shared" ca="1" si="82"/>
        <v>50</v>
      </c>
      <c r="L265" s="189"/>
      <c r="M265" s="189"/>
      <c r="N265" s="189"/>
      <c r="O265" s="189"/>
      <c r="P265" s="189"/>
    </row>
    <row r="266" spans="1:16" ht="21.75" customHeight="1" x14ac:dyDescent="0.35">
      <c r="A266" s="183"/>
      <c r="B266" s="184"/>
      <c r="C266" s="184"/>
      <c r="D266" s="201"/>
      <c r="E266" s="206"/>
      <c r="F266" s="202" t="s">
        <v>107</v>
      </c>
      <c r="G266" s="204"/>
      <c r="H266" s="188" t="s">
        <v>37</v>
      </c>
      <c r="I266" s="195">
        <f ca="1">IFERROR(__xludf.DUMMYFUNCTION("IMPORTRANGE(""https://docs.google.com/spreadsheets/d/1IYY_tgx_IHuhSq3AJ5eI5OnqOPBNLWSHKh2a30DoXe8/edit?usp=sharing"",""ตรัง!I181"")"),20)</f>
        <v>20</v>
      </c>
      <c r="J266" s="196">
        <f ca="1">IFERROR(__xludf.DUMMYFUNCTION("IMPORTRANGE(""https://docs.google.com/spreadsheets/d/1IYY_tgx_IHuhSq3AJ5eI5OnqOPBNLWSHKh2a30DoXe8/edit?usp=sharing"",""ตรัง!J181"")"),0)</f>
        <v>0</v>
      </c>
      <c r="K266" s="169">
        <f t="shared" ca="1" si="82"/>
        <v>0</v>
      </c>
      <c r="L266" s="189"/>
      <c r="M266" s="189"/>
      <c r="N266" s="189"/>
      <c r="O266" s="189"/>
      <c r="P266" s="189"/>
    </row>
    <row r="267" spans="1:16" ht="21.75" customHeight="1" x14ac:dyDescent="0.35">
      <c r="A267" s="183"/>
      <c r="B267" s="184"/>
      <c r="C267" s="184"/>
      <c r="D267" s="201"/>
      <c r="E267" s="206"/>
      <c r="F267" s="202" t="s">
        <v>108</v>
      </c>
      <c r="G267" s="204"/>
      <c r="H267" s="188" t="s">
        <v>37</v>
      </c>
      <c r="I267" s="195">
        <f ca="1">IFERROR(__xludf.DUMMYFUNCTION("IMPORTRANGE(""https://docs.google.com/spreadsheets/d/1IYY_tgx_IHuhSq3AJ5eI5OnqOPBNLWSHKh2a30DoXe8/edit?usp=sharing"",""ตรัง!I182"")"),1)</f>
        <v>1</v>
      </c>
      <c r="J267" s="196">
        <f ca="1">IFERROR(__xludf.DUMMYFUNCTION("IMPORTRANGE(""https://docs.google.com/spreadsheets/d/1IYY_tgx_IHuhSq3AJ5eI5OnqOPBNLWSHKh2a30DoXe8/edit?usp=sharing"",""ตรัง!J182"")"),0)</f>
        <v>0</v>
      </c>
      <c r="K267" s="169">
        <f t="shared" ca="1" si="82"/>
        <v>0</v>
      </c>
      <c r="L267" s="189"/>
      <c r="M267" s="189"/>
      <c r="N267" s="189"/>
      <c r="O267" s="189"/>
      <c r="P267" s="189"/>
    </row>
    <row r="268" spans="1:16" ht="21.75" customHeight="1" x14ac:dyDescent="0.35">
      <c r="A268" s="183"/>
      <c r="B268" s="184"/>
      <c r="C268" s="184"/>
      <c r="D268" s="201"/>
      <c r="E268" s="202" t="s">
        <v>54</v>
      </c>
      <c r="F268" s="203"/>
      <c r="G268" s="204"/>
      <c r="H268" s="194"/>
      <c r="I268" s="195"/>
      <c r="J268" s="205">
        <f ca="1">IFERROR(__xludf.DUMMYFUNCTION("IMPORTRANGE(""https://docs.google.com/spreadsheets/d/1IYY_tgx_IHuhSq3AJ5eI5OnqOPBNLWSHKh2a30DoXe8/edit?usp=sharing"",""ตรัง!J183"")"),0)</f>
        <v>0</v>
      </c>
      <c r="K268" s="169"/>
      <c r="L268" s="189"/>
      <c r="M268" s="189"/>
      <c r="N268" s="189"/>
      <c r="O268" s="189"/>
      <c r="P268" s="189"/>
    </row>
    <row r="269" spans="1:16" ht="21.75" customHeight="1" x14ac:dyDescent="0.35">
      <c r="A269" s="241"/>
      <c r="B269" s="242"/>
      <c r="C269" s="242"/>
      <c r="D269" s="243">
        <v>3</v>
      </c>
      <c r="E269" s="244" t="s">
        <v>55</v>
      </c>
      <c r="F269" s="245"/>
      <c r="G269" s="246"/>
      <c r="H269" s="247"/>
      <c r="I269" s="248"/>
      <c r="J269" s="293">
        <f ca="1">IFERROR(__xludf.DUMMYFUNCTION("IMPORTRANGE(""https://docs.google.com/spreadsheets/d/1IYY_tgx_IHuhSq3AJ5eI5OnqOPBNLWSHKh2a30DoXe8/edit?usp=sharing"",""ตรัง!J184"")"),0)</f>
        <v>0</v>
      </c>
      <c r="K269" s="294"/>
      <c r="L269" s="252"/>
      <c r="M269" s="252"/>
      <c r="N269" s="252"/>
      <c r="O269" s="252"/>
      <c r="P269" s="252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IFERROR(__xludf.DUMMYFUNCTION("IMPORTRANGE(""https://docs.google.com/spreadsheets/d/1IYY_tgx_IHuhSq3AJ5eI5OnqOPBNLWSHKh2a30DoXe8/edit?usp=sharing"",""ตรัง!I185"")"),0)</f>
        <v>0</v>
      </c>
      <c r="J270" s="322">
        <f ca="1">IFERROR(__xludf.DUMMYFUNCTION("IMPORTRANGE(""https://docs.google.com/spreadsheets/d/1IYY_tgx_IHuhSq3AJ5eI5OnqOPBNLWSHKh2a30DoXe8/edit?usp=sharing"",""ตรัง!J185"")"),0)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52" t="s">
        <v>17</v>
      </c>
      <c r="E271" s="543"/>
      <c r="F271" s="543"/>
      <c r="G271" s="543"/>
      <c r="H271" s="153" t="s">
        <v>12</v>
      </c>
      <c r="I271" s="168"/>
      <c r="J271" s="168"/>
      <c r="K271" s="169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8"/>
      <c r="J272" s="168"/>
      <c r="K272" s="169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8"/>
      <c r="J273" s="168"/>
      <c r="K273" s="169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5">
      <c r="A274" s="162"/>
      <c r="B274" s="163"/>
      <c r="C274" s="163" t="s">
        <v>16</v>
      </c>
      <c r="D274" s="164" t="s">
        <v>38</v>
      </c>
      <c r="E274" s="165"/>
      <c r="F274" s="165"/>
      <c r="G274" s="166" t="s">
        <v>39</v>
      </c>
      <c r="H274" s="167" t="s">
        <v>12</v>
      </c>
      <c r="I274" s="168" t="s">
        <v>40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 x14ac:dyDescent="0.35">
      <c r="A275" s="162"/>
      <c r="B275" s="163"/>
      <c r="C275" s="163"/>
      <c r="D275" s="172"/>
      <c r="E275" s="165"/>
      <c r="F275" s="165" t="s">
        <v>40</v>
      </c>
      <c r="G275" s="166" t="s">
        <v>41</v>
      </c>
      <c r="H275" s="167" t="s">
        <v>12</v>
      </c>
      <c r="I275" s="168"/>
      <c r="J275" s="168"/>
      <c r="K275" s="169"/>
      <c r="L275" s="173">
        <f ca="1">L276+L277</f>
        <v>0</v>
      </c>
      <c r="M275" s="174">
        <f ca="1">IFERROR(__xludf.DUMMYFUNCTION("IMPORTRANGE(""https://docs.google.com/spreadsheets/d/1Yj_ptqi66GCucihVvJfMjLAmec39IyEx_6qawtMGysU/edit?usp=sharing"",""สบก!CK83"")"),0)</f>
        <v>0</v>
      </c>
      <c r="N275" s="175">
        <f ca="1">IFERROR(__xludf.DUMMYFUNCTION("IMPORTRANGE(""https://docs.google.com/spreadsheets/d/1Yj_ptqi66GCucihVvJfMjLAmec39IyEx_6qawtMGysU/edit?usp=sharing"",""สบก!CL83"")"),0)</f>
        <v>0</v>
      </c>
      <c r="O275" s="176">
        <f ca="1">IF(L275&gt;0,N275*100/L275,0)</f>
        <v>0</v>
      </c>
      <c r="P275" s="176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2"/>
      <c r="E276" s="165"/>
      <c r="F276" s="165"/>
      <c r="G276" s="177" t="s">
        <v>42</v>
      </c>
      <c r="H276" s="167" t="s">
        <v>12</v>
      </c>
      <c r="I276" s="168"/>
      <c r="J276" s="168"/>
      <c r="K276" s="169"/>
      <c r="L276" s="174">
        <f ca="1">IFERROR(__xludf.DUMMYFUNCTION("IMPORTRANGE(""https://docs.google.com/spreadsheets/d/1Yj_ptqi66GCucihVvJfMjLAmec39IyEx_6qawtMGysU/edit?usp=sharing"",""สบก!CG83"")"),0)</f>
        <v>0</v>
      </c>
      <c r="M276" s="173"/>
      <c r="N276" s="173"/>
      <c r="O276" s="176"/>
      <c r="P276" s="176"/>
    </row>
    <row r="277" spans="1:16" ht="21.75" customHeight="1" x14ac:dyDescent="0.35">
      <c r="A277" s="162"/>
      <c r="B277" s="163"/>
      <c r="C277" s="163"/>
      <c r="D277" s="172"/>
      <c r="E277" s="165"/>
      <c r="F277" s="165"/>
      <c r="G277" s="177" t="s">
        <v>43</v>
      </c>
      <c r="H277" s="167" t="s">
        <v>12</v>
      </c>
      <c r="I277" s="168"/>
      <c r="J277" s="168"/>
      <c r="K277" s="169"/>
      <c r="L277" s="174">
        <f ca="1">IFERROR(__xludf.DUMMYFUNCTION("IMPORTRANGE(""https://docs.google.com/spreadsheets/d/1Yj_ptqi66GCucihVvJfMjLAmec39IyEx_6qawtMGysU/edit?usp=sharing"",""สบก!CH83"")"),0)</f>
        <v>0</v>
      </c>
      <c r="M277" s="173"/>
      <c r="N277" s="173"/>
      <c r="O277" s="176"/>
      <c r="P277" s="176"/>
    </row>
    <row r="278" spans="1:16" ht="21.75" customHeight="1" x14ac:dyDescent="0.45">
      <c r="A278" s="178"/>
      <c r="B278" s="81"/>
      <c r="C278" s="82" t="s">
        <v>16</v>
      </c>
      <c r="D278" s="549" t="s">
        <v>23</v>
      </c>
      <c r="E278" s="545"/>
      <c r="F278" s="89"/>
      <c r="G278" s="83" t="s">
        <v>18</v>
      </c>
      <c r="H278" s="179" t="s">
        <v>12</v>
      </c>
      <c r="I278" s="168"/>
      <c r="J278" s="168"/>
      <c r="K278" s="169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80"/>
      <c r="B279" s="95"/>
      <c r="C279" s="95"/>
      <c r="D279" s="181"/>
      <c r="E279" s="96"/>
      <c r="F279" s="96"/>
      <c r="G279" s="97" t="s">
        <v>19</v>
      </c>
      <c r="H279" s="182" t="s">
        <v>12</v>
      </c>
      <c r="I279" s="168"/>
      <c r="J279" s="168"/>
      <c r="K279" s="169"/>
      <c r="L279" s="91">
        <f ca="1">IFERROR(__xludf.DUMMYFUNCTION("IMPORTRANGE(""https://docs.google.com/spreadsheets/d/1Yj_ptqi66GCucihVvJfMjLAmec39IyEx_6qawtMGysU/edit?usp=sharing"",""สบก!CI83"")"),0)</f>
        <v>0</v>
      </c>
      <c r="M279" s="101"/>
      <c r="N279" s="91">
        <f ca="1">IFERROR(__xludf.DUMMYFUNCTION("IMPORTRANGE(""https://docs.google.com/spreadsheets/d/1Yj_ptqi66GCucihVvJfMjLAmec39IyEx_6qawtMGysU/edit?usp=sharing"",""สบก!CM83"")"),0)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3"/>
      <c r="B280" s="184"/>
      <c r="C280" s="163" t="s">
        <v>16</v>
      </c>
      <c r="D280" s="185" t="s">
        <v>44</v>
      </c>
      <c r="E280" s="186"/>
      <c r="F280" s="186"/>
      <c r="G280" s="187"/>
      <c r="H280" s="188"/>
      <c r="I280" s="168"/>
      <c r="J280" s="168"/>
      <c r="K280" s="169"/>
      <c r="L280" s="189"/>
      <c r="M280" s="189"/>
      <c r="N280" s="189"/>
      <c r="O280" s="189"/>
      <c r="P280" s="189"/>
    </row>
    <row r="281" spans="1:16" ht="21.75" customHeight="1" x14ac:dyDescent="0.35">
      <c r="A281" s="183"/>
      <c r="B281" s="184"/>
      <c r="C281" s="184"/>
      <c r="D281" s="190">
        <v>1</v>
      </c>
      <c r="E281" s="191" t="s">
        <v>45</v>
      </c>
      <c r="F281" s="192"/>
      <c r="G281" s="193"/>
      <c r="H281" s="194"/>
      <c r="I281" s="195"/>
      <c r="J281" s="196">
        <f ca="1">IFERROR(__xludf.DUMMYFUNCTION("IMPORTRANGE(""https://docs.google.com/spreadsheets/d/1IYY_tgx_IHuhSq3AJ5eI5OnqOPBNLWSHKh2a30DoXe8/edit?usp=sharing"",""ตรัง!J191"")"),0)</f>
        <v>0</v>
      </c>
      <c r="K281" s="169"/>
      <c r="L281" s="189"/>
      <c r="M281" s="189"/>
      <c r="N281" s="189"/>
      <c r="O281" s="189"/>
      <c r="P281" s="189"/>
    </row>
    <row r="282" spans="1:16" ht="21.75" customHeight="1" x14ac:dyDescent="0.35">
      <c r="A282" s="183"/>
      <c r="B282" s="184"/>
      <c r="C282" s="184"/>
      <c r="D282" s="197">
        <v>2</v>
      </c>
      <c r="E282" s="198" t="s">
        <v>46</v>
      </c>
      <c r="F282" s="199"/>
      <c r="G282" s="200"/>
      <c r="H282" s="194"/>
      <c r="I282" s="195"/>
      <c r="J282" s="205">
        <f ca="1">IFERROR(__xludf.DUMMYFUNCTION("IMPORTRANGE(""https://docs.google.com/spreadsheets/d/1IYY_tgx_IHuhSq3AJ5eI5OnqOPBNLWSHKh2a30DoXe8/edit?usp=sharing"",""ตรัง!J192"")"),0)</f>
        <v>0</v>
      </c>
      <c r="K282" s="169"/>
      <c r="L282" s="189"/>
      <c r="M282" s="189"/>
      <c r="N282" s="189"/>
      <c r="O282" s="189"/>
      <c r="P282" s="189"/>
    </row>
    <row r="283" spans="1:16" ht="21.75" customHeight="1" x14ac:dyDescent="0.35">
      <c r="A283" s="183"/>
      <c r="B283" s="184"/>
      <c r="C283" s="184"/>
      <c r="D283" s="201"/>
      <c r="E283" s="202" t="s">
        <v>47</v>
      </c>
      <c r="F283" s="203"/>
      <c r="G283" s="204"/>
      <c r="H283" s="194"/>
      <c r="I283" s="195"/>
      <c r="J283" s="205">
        <f ca="1">IFERROR(__xludf.DUMMYFUNCTION("IMPORTRANGE(""https://docs.google.com/spreadsheets/d/1IYY_tgx_IHuhSq3AJ5eI5OnqOPBNLWSHKh2a30DoXe8/edit?usp=sharing"",""ตรัง!J193"")"),0)</f>
        <v>0</v>
      </c>
      <c r="K283" s="169"/>
      <c r="L283" s="189"/>
      <c r="M283" s="189"/>
      <c r="N283" s="189"/>
      <c r="O283" s="189"/>
      <c r="P283" s="189"/>
    </row>
    <row r="284" spans="1:16" ht="21.75" customHeight="1" x14ac:dyDescent="0.35">
      <c r="A284" s="183"/>
      <c r="B284" s="184"/>
      <c r="C284" s="184"/>
      <c r="D284" s="201"/>
      <c r="E284" s="202" t="s">
        <v>48</v>
      </c>
      <c r="F284" s="203"/>
      <c r="G284" s="204"/>
      <c r="H284" s="194"/>
      <c r="I284" s="195"/>
      <c r="J284" s="205">
        <f ca="1">IFERROR(__xludf.DUMMYFUNCTION("IMPORTRANGE(""https://docs.google.com/spreadsheets/d/1IYY_tgx_IHuhSq3AJ5eI5OnqOPBNLWSHKh2a30DoXe8/edit?usp=sharing"",""ตรัง!J194"")"),0)</f>
        <v>0</v>
      </c>
      <c r="K284" s="169"/>
      <c r="L284" s="189"/>
      <c r="M284" s="189"/>
      <c r="N284" s="189"/>
      <c r="O284" s="189"/>
      <c r="P284" s="189"/>
    </row>
    <row r="285" spans="1:16" ht="21.75" customHeight="1" x14ac:dyDescent="0.35">
      <c r="A285" s="183"/>
      <c r="B285" s="184"/>
      <c r="C285" s="184"/>
      <c r="D285" s="201"/>
      <c r="E285" s="203"/>
      <c r="F285" s="202" t="s">
        <v>110</v>
      </c>
      <c r="G285" s="204"/>
      <c r="H285" s="194" t="s">
        <v>37</v>
      </c>
      <c r="I285" s="195">
        <f ca="1">IFERROR(__xludf.DUMMYFUNCTION("IMPORTRANGE(""https://docs.google.com/spreadsheets/d/1IYY_tgx_IHuhSq3AJ5eI5OnqOPBNLWSHKh2a30DoXe8/edit?usp=sharing"",""ตรัง!I195"")"),0)</f>
        <v>0</v>
      </c>
      <c r="J285" s="196">
        <f ca="1">IFERROR(__xludf.DUMMYFUNCTION("IMPORTRANGE(""https://docs.google.com/spreadsheets/d/1IYY_tgx_IHuhSq3AJ5eI5OnqOPBNLWSHKh2a30DoXe8/edit?usp=sharing"",""ตรัง!J195"")"),0)</f>
        <v>0</v>
      </c>
      <c r="K285" s="169">
        <f ca="1">IF(I285&gt;0,J285*100/I285,0)</f>
        <v>0</v>
      </c>
      <c r="L285" s="189"/>
      <c r="M285" s="189"/>
      <c r="N285" s="189"/>
      <c r="O285" s="189"/>
      <c r="P285" s="189"/>
    </row>
    <row r="286" spans="1:16" ht="21.75" customHeight="1" x14ac:dyDescent="0.35">
      <c r="A286" s="183"/>
      <c r="B286" s="184"/>
      <c r="C286" s="184"/>
      <c r="D286" s="201"/>
      <c r="E286" s="202" t="s">
        <v>54</v>
      </c>
      <c r="F286" s="203"/>
      <c r="G286" s="204"/>
      <c r="H286" s="194"/>
      <c r="I286" s="195"/>
      <c r="J286" s="205">
        <f ca="1">IFERROR(__xludf.DUMMYFUNCTION("IMPORTRANGE(""https://docs.google.com/spreadsheets/d/1IYY_tgx_IHuhSq3AJ5eI5OnqOPBNLWSHKh2a30DoXe8/edit?usp=sharing"",""ตรัง!J196"")"),0)</f>
        <v>0</v>
      </c>
      <c r="K286" s="169"/>
      <c r="L286" s="189"/>
      <c r="M286" s="189"/>
      <c r="N286" s="189"/>
      <c r="O286" s="189"/>
      <c r="P286" s="189"/>
    </row>
    <row r="287" spans="1:16" ht="21.75" customHeight="1" x14ac:dyDescent="0.35">
      <c r="A287" s="183"/>
      <c r="B287" s="184"/>
      <c r="C287" s="184"/>
      <c r="D287" s="213">
        <v>3</v>
      </c>
      <c r="E287" s="214" t="s">
        <v>55</v>
      </c>
      <c r="F287" s="215"/>
      <c r="G287" s="216"/>
      <c r="H287" s="194"/>
      <c r="I287" s="195"/>
      <c r="J287" s="217">
        <f ca="1">IFERROR(__xludf.DUMMYFUNCTION("IMPORTRANGE(""https://docs.google.com/spreadsheets/d/1IYY_tgx_IHuhSq3AJ5eI5OnqOPBNLWSHKh2a30DoXe8/edit?usp=sharing"",""ตรัง!J197"")"),0)</f>
        <v>0</v>
      </c>
      <c r="K287" s="169"/>
      <c r="L287" s="189"/>
      <c r="M287" s="189"/>
      <c r="N287" s="189"/>
      <c r="O287" s="189"/>
      <c r="P287" s="189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IFERROR(__xludf.DUMMYFUNCTION("IMPORTRANGE(""https://docs.google.com/spreadsheets/d/1IYY_tgx_IHuhSq3AJ5eI5OnqOPBNLWSHKh2a30DoXe8/edit?usp=sharing"",""ตรัง!I199"")"),0)</f>
        <v>0</v>
      </c>
      <c r="J289" s="322">
        <f ca="1">IFERROR(__xludf.DUMMYFUNCTION("IMPORTRANGE(""https://docs.google.com/spreadsheets/d/1IYY_tgx_IHuhSq3AJ5eI5OnqOPBNLWSHKh2a30DoXe8/edit?usp=sharing"",""ตรัง!J199"")"),0)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52" t="s">
        <v>17</v>
      </c>
      <c r="E290" s="543"/>
      <c r="F290" s="543"/>
      <c r="G290" s="543"/>
      <c r="H290" s="153" t="s">
        <v>12</v>
      </c>
      <c r="I290" s="195"/>
      <c r="J290" s="195"/>
      <c r="K290" s="231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5"/>
      <c r="J291" s="195"/>
      <c r="K291" s="231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5"/>
      <c r="J292" s="195"/>
      <c r="K292" s="231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5">
      <c r="A293" s="162"/>
      <c r="B293" s="163"/>
      <c r="C293" s="163" t="s">
        <v>16</v>
      </c>
      <c r="D293" s="164" t="s">
        <v>38</v>
      </c>
      <c r="E293" s="165"/>
      <c r="F293" s="165"/>
      <c r="G293" s="166" t="s">
        <v>39</v>
      </c>
      <c r="H293" s="167" t="s">
        <v>12</v>
      </c>
      <c r="I293" s="195" t="s">
        <v>40</v>
      </c>
      <c r="J293" s="195"/>
      <c r="K293" s="231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 x14ac:dyDescent="0.35">
      <c r="A294" s="162"/>
      <c r="B294" s="163"/>
      <c r="C294" s="163"/>
      <c r="D294" s="172"/>
      <c r="E294" s="165"/>
      <c r="F294" s="165" t="s">
        <v>40</v>
      </c>
      <c r="G294" s="166" t="s">
        <v>41</v>
      </c>
      <c r="H294" s="167" t="s">
        <v>12</v>
      </c>
      <c r="I294" s="195"/>
      <c r="J294" s="195"/>
      <c r="K294" s="231"/>
      <c r="L294" s="173">
        <f ca="1">L295+L296</f>
        <v>0</v>
      </c>
      <c r="M294" s="174">
        <f ca="1">IFERROR(__xludf.DUMMYFUNCTION("IMPORTRANGE(""https://docs.google.com/spreadsheets/d/1Yj_ptqi66GCucihVvJfMjLAmec39IyEx_6qawtMGysU/edit?usp=sharing"",""สบก!CT83"")"),0)</f>
        <v>0</v>
      </c>
      <c r="N294" s="175">
        <f ca="1">IFERROR(__xludf.DUMMYFUNCTION("IMPORTRANGE(""https://docs.google.com/spreadsheets/d/1Yj_ptqi66GCucihVvJfMjLAmec39IyEx_6qawtMGysU/edit?usp=sharing"",""สบก!CU83"")"),0)</f>
        <v>0</v>
      </c>
      <c r="O294" s="176">
        <f ca="1">IF(L294&gt;0,N294*100/L294,0)</f>
        <v>0</v>
      </c>
      <c r="P294" s="176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2"/>
      <c r="E295" s="165"/>
      <c r="F295" s="165"/>
      <c r="G295" s="177" t="s">
        <v>42</v>
      </c>
      <c r="H295" s="167" t="s">
        <v>12</v>
      </c>
      <c r="I295" s="195"/>
      <c r="J295" s="195"/>
      <c r="K295" s="231"/>
      <c r="L295" s="174">
        <f ca="1">IFERROR(__xludf.DUMMYFUNCTION("IMPORTRANGE(""https://docs.google.com/spreadsheets/d/1Yj_ptqi66GCucihVvJfMjLAmec39IyEx_6qawtMGysU/edit?usp=sharing"",""สบก!CP83"")"),0)</f>
        <v>0</v>
      </c>
      <c r="M295" s="173"/>
      <c r="N295" s="173"/>
      <c r="O295" s="176"/>
      <c r="P295" s="176"/>
    </row>
    <row r="296" spans="1:16" ht="21.75" customHeight="1" x14ac:dyDescent="0.35">
      <c r="A296" s="162"/>
      <c r="B296" s="163"/>
      <c r="C296" s="163"/>
      <c r="D296" s="172"/>
      <c r="E296" s="165"/>
      <c r="F296" s="165"/>
      <c r="G296" s="177" t="s">
        <v>43</v>
      </c>
      <c r="H296" s="167" t="s">
        <v>12</v>
      </c>
      <c r="I296" s="195"/>
      <c r="J296" s="195"/>
      <c r="K296" s="231"/>
      <c r="L296" s="174">
        <f ca="1">IFERROR(__xludf.DUMMYFUNCTION("IMPORTRANGE(""https://docs.google.com/spreadsheets/d/1Yj_ptqi66GCucihVvJfMjLAmec39IyEx_6qawtMGysU/edit?usp=sharing"",""สบก!CQ83"")"),0)</f>
        <v>0</v>
      </c>
      <c r="M296" s="173"/>
      <c r="N296" s="173"/>
      <c r="O296" s="176"/>
      <c r="P296" s="176"/>
    </row>
    <row r="297" spans="1:16" ht="21.75" customHeight="1" x14ac:dyDescent="0.45">
      <c r="A297" s="178"/>
      <c r="B297" s="81"/>
      <c r="C297" s="82" t="s">
        <v>16</v>
      </c>
      <c r="D297" s="549" t="s">
        <v>23</v>
      </c>
      <c r="E297" s="545"/>
      <c r="F297" s="89"/>
      <c r="G297" s="83" t="s">
        <v>18</v>
      </c>
      <c r="H297" s="179" t="s">
        <v>12</v>
      </c>
      <c r="I297" s="195"/>
      <c r="J297" s="195"/>
      <c r="K297" s="231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80"/>
      <c r="B298" s="95"/>
      <c r="C298" s="95"/>
      <c r="D298" s="181"/>
      <c r="E298" s="96"/>
      <c r="F298" s="96"/>
      <c r="G298" s="97" t="s">
        <v>19</v>
      </c>
      <c r="H298" s="182" t="s">
        <v>12</v>
      </c>
      <c r="I298" s="195"/>
      <c r="J298" s="195"/>
      <c r="K298" s="231"/>
      <c r="L298" s="91">
        <f ca="1">IFERROR(__xludf.DUMMYFUNCTION("IMPORTRANGE(""https://docs.google.com/spreadsheets/d/1Yj_ptqi66GCucihVvJfMjLAmec39IyEx_6qawtMGysU/edit?usp=sharing"",""สบก!CR83"")"),0)</f>
        <v>0</v>
      </c>
      <c r="M298" s="101"/>
      <c r="N298" s="91">
        <f ca="1">IFERROR(__xludf.DUMMYFUNCTION("IMPORTRANGE(""https://docs.google.com/spreadsheets/d/1Yj_ptqi66GCucihVvJfMjLAmec39IyEx_6qawtMGysU/edit?usp=sharing"",""สบก!CV83"")"),0)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3"/>
      <c r="B299" s="184"/>
      <c r="C299" s="163" t="s">
        <v>16</v>
      </c>
      <c r="D299" s="185" t="s">
        <v>44</v>
      </c>
      <c r="E299" s="186"/>
      <c r="F299" s="186"/>
      <c r="G299" s="187"/>
      <c r="H299" s="188"/>
      <c r="I299" s="195"/>
      <c r="J299" s="195"/>
      <c r="K299" s="231"/>
      <c r="L299" s="176"/>
      <c r="M299" s="176"/>
      <c r="N299" s="176"/>
      <c r="O299" s="189"/>
      <c r="P299" s="189"/>
    </row>
    <row r="300" spans="1:16" ht="21.75" customHeight="1" x14ac:dyDescent="0.35">
      <c r="A300" s="183"/>
      <c r="B300" s="184"/>
      <c r="C300" s="184"/>
      <c r="D300" s="190">
        <v>1</v>
      </c>
      <c r="E300" s="191" t="s">
        <v>45</v>
      </c>
      <c r="F300" s="192"/>
      <c r="G300" s="193"/>
      <c r="H300" s="194"/>
      <c r="I300" s="195"/>
      <c r="J300" s="195">
        <f ca="1">IFERROR(__xludf.DUMMYFUNCTION("IMPORTRANGE(""https://docs.google.com/spreadsheets/d/1IYY_tgx_IHuhSq3AJ5eI5OnqOPBNLWSHKh2a30DoXe8/edit?usp=sharing"",""ตรัง!J205"")"),0)</f>
        <v>0</v>
      </c>
      <c r="K300" s="231"/>
      <c r="L300" s="176"/>
      <c r="M300" s="176"/>
      <c r="N300" s="176"/>
      <c r="O300" s="189"/>
      <c r="P300" s="189"/>
    </row>
    <row r="301" spans="1:16" ht="21.75" customHeight="1" x14ac:dyDescent="0.35">
      <c r="A301" s="183"/>
      <c r="B301" s="184"/>
      <c r="C301" s="184"/>
      <c r="D301" s="197">
        <v>2</v>
      </c>
      <c r="E301" s="198" t="s">
        <v>46</v>
      </c>
      <c r="F301" s="199"/>
      <c r="G301" s="200"/>
      <c r="H301" s="194"/>
      <c r="I301" s="195"/>
      <c r="J301" s="195">
        <f ca="1">IFERROR(__xludf.DUMMYFUNCTION("IMPORTRANGE(""https://docs.google.com/spreadsheets/d/1IYY_tgx_IHuhSq3AJ5eI5OnqOPBNLWSHKh2a30DoXe8/edit?usp=sharing"",""ตรัง!J206"")"),0)</f>
        <v>0</v>
      </c>
      <c r="K301" s="231"/>
      <c r="L301" s="176" t="s">
        <v>40</v>
      </c>
      <c r="M301" s="176"/>
      <c r="N301" s="176" t="s">
        <v>40</v>
      </c>
      <c r="O301" s="189"/>
      <c r="P301" s="189"/>
    </row>
    <row r="302" spans="1:16" ht="21.75" customHeight="1" x14ac:dyDescent="0.35">
      <c r="A302" s="183"/>
      <c r="B302" s="184"/>
      <c r="C302" s="184"/>
      <c r="D302" s="201"/>
      <c r="E302" s="202" t="s">
        <v>47</v>
      </c>
      <c r="F302" s="203"/>
      <c r="G302" s="204"/>
      <c r="H302" s="194"/>
      <c r="I302" s="195"/>
      <c r="J302" s="195">
        <f ca="1">IFERROR(__xludf.DUMMYFUNCTION("IMPORTRANGE(""https://docs.google.com/spreadsheets/d/1IYY_tgx_IHuhSq3AJ5eI5OnqOPBNLWSHKh2a30DoXe8/edit?usp=sharing"",""ตรัง!J207"")"),0)</f>
        <v>0</v>
      </c>
      <c r="K302" s="231"/>
      <c r="L302" s="176"/>
      <c r="M302" s="176"/>
      <c r="N302" s="176"/>
      <c r="O302" s="189"/>
      <c r="P302" s="189"/>
    </row>
    <row r="303" spans="1:16" ht="21.75" customHeight="1" x14ac:dyDescent="0.35">
      <c r="A303" s="183"/>
      <c r="B303" s="184"/>
      <c r="C303" s="184"/>
      <c r="D303" s="201"/>
      <c r="E303" s="202" t="s">
        <v>48</v>
      </c>
      <c r="F303" s="203"/>
      <c r="G303" s="204"/>
      <c r="H303" s="194"/>
      <c r="I303" s="195"/>
      <c r="J303" s="195">
        <f ca="1">IFERROR(__xludf.DUMMYFUNCTION("IMPORTRANGE(""https://docs.google.com/spreadsheets/d/1IYY_tgx_IHuhSq3AJ5eI5OnqOPBNLWSHKh2a30DoXe8/edit?usp=sharing"",""ตรัง!J208"")"),0)</f>
        <v>0</v>
      </c>
      <c r="K303" s="231"/>
      <c r="L303" s="176"/>
      <c r="M303" s="176"/>
      <c r="N303" s="176"/>
      <c r="O303" s="189"/>
      <c r="P303" s="189"/>
    </row>
    <row r="304" spans="1:16" ht="21.75" customHeight="1" x14ac:dyDescent="0.35">
      <c r="A304" s="183"/>
      <c r="B304" s="184"/>
      <c r="C304" s="184"/>
      <c r="D304" s="201"/>
      <c r="E304" s="206"/>
      <c r="F304" s="202" t="s">
        <v>113</v>
      </c>
      <c r="G304" s="204"/>
      <c r="H304" s="188" t="s">
        <v>37</v>
      </c>
      <c r="I304" s="195">
        <f ca="1">IFERROR(__xludf.DUMMYFUNCTION("IMPORTRANGE(""https://docs.google.com/spreadsheets/d/1IYY_tgx_IHuhSq3AJ5eI5OnqOPBNLWSHKh2a30DoXe8/edit?usp=sharing"",""ตรัง!I209"")"),0)</f>
        <v>0</v>
      </c>
      <c r="J304" s="211">
        <f ca="1">IFERROR(__xludf.DUMMYFUNCTION("IMPORTRANGE(""https://docs.google.com/spreadsheets/d/1IYY_tgx_IHuhSq3AJ5eI5OnqOPBNLWSHKh2a30DoXe8/edit?usp=sharing"",""ตรัง!J209"")"),0)</f>
        <v>0</v>
      </c>
      <c r="K304" s="231">
        <f ca="1">IF(I304&gt;0,J304*100/I304,0)</f>
        <v>0</v>
      </c>
      <c r="L304" s="176"/>
      <c r="M304" s="176"/>
      <c r="N304" s="176"/>
      <c r="O304" s="189"/>
      <c r="P304" s="189"/>
    </row>
    <row r="305" spans="1:16" ht="21.75" customHeight="1" x14ac:dyDescent="0.35">
      <c r="A305" s="183"/>
      <c r="B305" s="184"/>
      <c r="C305" s="184"/>
      <c r="D305" s="201"/>
      <c r="E305" s="206"/>
      <c r="F305" s="202" t="s">
        <v>114</v>
      </c>
      <c r="G305" s="204"/>
      <c r="H305" s="188"/>
      <c r="I305" s="195"/>
      <c r="J305" s="195"/>
      <c r="K305" s="231"/>
      <c r="L305" s="176"/>
      <c r="M305" s="176"/>
      <c r="N305" s="176"/>
      <c r="O305" s="189"/>
      <c r="P305" s="189"/>
    </row>
    <row r="306" spans="1:16" ht="21.75" customHeight="1" x14ac:dyDescent="0.35">
      <c r="A306" s="183"/>
      <c r="B306" s="184"/>
      <c r="C306" s="184"/>
      <c r="D306" s="201"/>
      <c r="E306" s="206"/>
      <c r="F306" s="203" t="s">
        <v>53</v>
      </c>
      <c r="G306" s="204"/>
      <c r="H306" s="188" t="s">
        <v>37</v>
      </c>
      <c r="I306" s="195">
        <f ca="1">IFERROR(__xludf.DUMMYFUNCTION("IMPORTRANGE(""https://docs.google.com/spreadsheets/d/1IYY_tgx_IHuhSq3AJ5eI5OnqOPBNLWSHKh2a30DoXe8/edit?usp=sharing"",""ตรัง!I211"")"),0)</f>
        <v>0</v>
      </c>
      <c r="J306" s="211">
        <f ca="1">IFERROR(__xludf.DUMMYFUNCTION("IMPORTRANGE(""https://docs.google.com/spreadsheets/d/1IYY_tgx_IHuhSq3AJ5eI5OnqOPBNLWSHKh2a30DoXe8/edit?usp=sharing"",""ตรัง!J211"")"),0)</f>
        <v>0</v>
      </c>
      <c r="K306" s="231">
        <f ca="1">IF(I306&gt;0,J306*100/I306,0)</f>
        <v>0</v>
      </c>
      <c r="L306" s="176"/>
      <c r="M306" s="176"/>
      <c r="N306" s="176"/>
      <c r="O306" s="189"/>
      <c r="P306" s="189"/>
    </row>
    <row r="307" spans="1:16" ht="21.75" customHeight="1" x14ac:dyDescent="0.35">
      <c r="A307" s="183"/>
      <c r="B307" s="184"/>
      <c r="C307" s="184"/>
      <c r="D307" s="201"/>
      <c r="E307" s="202" t="s">
        <v>54</v>
      </c>
      <c r="F307" s="203"/>
      <c r="G307" s="204"/>
      <c r="H307" s="194"/>
      <c r="I307" s="195"/>
      <c r="J307" s="195">
        <f ca="1">IFERROR(__xludf.DUMMYFUNCTION("IMPORTRANGE(""https://docs.google.com/spreadsheets/d/1IYY_tgx_IHuhSq3AJ5eI5OnqOPBNLWSHKh2a30DoXe8/edit?usp=sharing"",""ตรัง!J212"")"),0)</f>
        <v>0</v>
      </c>
      <c r="K307" s="231"/>
      <c r="L307" s="176"/>
      <c r="M307" s="176"/>
      <c r="N307" s="176"/>
      <c r="O307" s="189"/>
      <c r="P307" s="189"/>
    </row>
    <row r="308" spans="1:16" ht="21.75" customHeight="1" x14ac:dyDescent="0.35">
      <c r="A308" s="183"/>
      <c r="B308" s="184"/>
      <c r="C308" s="184"/>
      <c r="D308" s="213">
        <v>3</v>
      </c>
      <c r="E308" s="214" t="s">
        <v>55</v>
      </c>
      <c r="F308" s="215"/>
      <c r="G308" s="216"/>
      <c r="H308" s="194"/>
      <c r="I308" s="195"/>
      <c r="J308" s="332">
        <f ca="1">IFERROR(__xludf.DUMMYFUNCTION("IMPORTRANGE(""https://docs.google.com/spreadsheets/d/1IYY_tgx_IHuhSq3AJ5eI5OnqOPBNLWSHKh2a30DoXe8/edit?usp=sharing"",""ตรัง!J213"")"),0)</f>
        <v>0</v>
      </c>
      <c r="K308" s="231"/>
      <c r="L308" s="176"/>
      <c r="M308" s="176"/>
      <c r="N308" s="176"/>
      <c r="O308" s="189"/>
      <c r="P308" s="189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IFERROR(__xludf.DUMMYFUNCTION("IMPORTRANGE(""https://docs.google.com/spreadsheets/d/1IYY_tgx_IHuhSq3AJ5eI5OnqOPBNLWSHKh2a30DoXe8/edit?usp=sharing"",""ตรัง!I214"")"),0)</f>
        <v>0</v>
      </c>
      <c r="J309" s="339">
        <f ca="1">IFERROR(__xludf.DUMMYFUNCTION("IMPORTRANGE(""https://docs.google.com/spreadsheets/d/1IYY_tgx_IHuhSq3AJ5eI5OnqOPBNLWSHKh2a30DoXe8/edit?usp=sharing"",""ตรัง!J214"")"),0)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52" t="s">
        <v>17</v>
      </c>
      <c r="E310" s="543"/>
      <c r="F310" s="543"/>
      <c r="G310" s="54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5">
      <c r="A313" s="162"/>
      <c r="B313" s="163"/>
      <c r="C313" s="163" t="s">
        <v>16</v>
      </c>
      <c r="D313" s="164" t="s">
        <v>38</v>
      </c>
      <c r="E313" s="165"/>
      <c r="F313" s="165"/>
      <c r="G313" s="166" t="s">
        <v>39</v>
      </c>
      <c r="H313" s="167" t="s">
        <v>12</v>
      </c>
      <c r="I313" s="168" t="s">
        <v>40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 x14ac:dyDescent="0.35">
      <c r="A314" s="162"/>
      <c r="B314" s="163"/>
      <c r="C314" s="163"/>
      <c r="D314" s="172"/>
      <c r="E314" s="165"/>
      <c r="F314" s="165" t="s">
        <v>40</v>
      </c>
      <c r="G314" s="166" t="s">
        <v>41</v>
      </c>
      <c r="H314" s="167" t="s">
        <v>12</v>
      </c>
      <c r="I314" s="168"/>
      <c r="J314" s="168"/>
      <c r="K314" s="169"/>
      <c r="L314" s="173">
        <f ca="1">L315+L316</f>
        <v>0</v>
      </c>
      <c r="M314" s="174">
        <f ca="1">IFERROR(__xludf.DUMMYFUNCTION("IMPORTRANGE(""https://docs.google.com/spreadsheets/d/1Yj_ptqi66GCucihVvJfMjLAmec39IyEx_6qawtMGysU/edit?usp=sharing"",""สบก!DC83"")"),0)</f>
        <v>0</v>
      </c>
      <c r="N314" s="175">
        <f ca="1">IFERROR(__xludf.DUMMYFUNCTION("IMPORTRANGE(""https://docs.google.com/spreadsheets/d/1Yj_ptqi66GCucihVvJfMjLAmec39IyEx_6qawtMGysU/edit?usp=sharing"",""สบก!DD83"")"),0)</f>
        <v>0</v>
      </c>
      <c r="O314" s="176">
        <f ca="1">IF(L314&gt;0,N314*100/L314,0)</f>
        <v>0</v>
      </c>
      <c r="P314" s="176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2"/>
      <c r="E315" s="165"/>
      <c r="F315" s="165"/>
      <c r="G315" s="177" t="s">
        <v>42</v>
      </c>
      <c r="H315" s="167" t="s">
        <v>12</v>
      </c>
      <c r="I315" s="168"/>
      <c r="J315" s="168"/>
      <c r="K315" s="169"/>
      <c r="L315" s="174">
        <f ca="1">IFERROR(__xludf.DUMMYFUNCTION("IMPORTRANGE(""https://docs.google.com/spreadsheets/d/1Yj_ptqi66GCucihVvJfMjLAmec39IyEx_6qawtMGysU/edit?usp=sharing"",""สบก!CY83"")"),0)</f>
        <v>0</v>
      </c>
      <c r="M315" s="173"/>
      <c r="N315" s="173"/>
      <c r="O315" s="176"/>
      <c r="P315" s="176"/>
    </row>
    <row r="316" spans="1:16" ht="21.75" customHeight="1" x14ac:dyDescent="0.35">
      <c r="A316" s="162"/>
      <c r="B316" s="163"/>
      <c r="C316" s="163"/>
      <c r="D316" s="172"/>
      <c r="E316" s="165"/>
      <c r="F316" s="165"/>
      <c r="G316" s="177" t="s">
        <v>43</v>
      </c>
      <c r="H316" s="167" t="s">
        <v>12</v>
      </c>
      <c r="I316" s="168"/>
      <c r="J316" s="195"/>
      <c r="K316" s="231"/>
      <c r="L316" s="174">
        <f ca="1">IFERROR(__xludf.DUMMYFUNCTION("IMPORTRANGE(""https://docs.google.com/spreadsheets/d/1Yj_ptqi66GCucihVvJfMjLAmec39IyEx_6qawtMGysU/edit?usp=sharing"",""สบก!CZ83"")"),0)</f>
        <v>0</v>
      </c>
      <c r="M316" s="173"/>
      <c r="N316" s="173"/>
      <c r="O316" s="176"/>
      <c r="P316" s="176"/>
    </row>
    <row r="317" spans="1:16" ht="21.75" customHeight="1" x14ac:dyDescent="0.45">
      <c r="A317" s="178"/>
      <c r="B317" s="81"/>
      <c r="C317" s="82" t="s">
        <v>16</v>
      </c>
      <c r="D317" s="549" t="s">
        <v>23</v>
      </c>
      <c r="E317" s="545"/>
      <c r="F317" s="89"/>
      <c r="G317" s="83" t="s">
        <v>18</v>
      </c>
      <c r="H317" s="179" t="s">
        <v>12</v>
      </c>
      <c r="I317" s="168"/>
      <c r="J317" s="195"/>
      <c r="K317" s="231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80"/>
      <c r="B318" s="95"/>
      <c r="C318" s="95"/>
      <c r="D318" s="181"/>
      <c r="E318" s="96"/>
      <c r="F318" s="96"/>
      <c r="G318" s="97" t="s">
        <v>19</v>
      </c>
      <c r="H318" s="182" t="s">
        <v>12</v>
      </c>
      <c r="I318" s="168"/>
      <c r="J318" s="195"/>
      <c r="K318" s="231"/>
      <c r="L318" s="91">
        <f ca="1">IFERROR(__xludf.DUMMYFUNCTION("IMPORTRANGE(""https://docs.google.com/spreadsheets/d/1Yj_ptqi66GCucihVvJfMjLAmec39IyEx_6qawtMGysU/edit?usp=sharing"",""สบก!DA83"")"),0)</f>
        <v>0</v>
      </c>
      <c r="M318" s="101"/>
      <c r="N318" s="91">
        <f ca="1">IFERROR(__xludf.DUMMYFUNCTION("IMPORTRANGE(""https://docs.google.com/spreadsheets/d/1Yj_ptqi66GCucihVvJfMjLAmec39IyEx_6qawtMGysU/edit?usp=sharing"",""สบก!DE83"")"),0)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3"/>
      <c r="B319" s="184"/>
      <c r="C319" s="163" t="s">
        <v>16</v>
      </c>
      <c r="D319" s="185" t="s">
        <v>44</v>
      </c>
      <c r="E319" s="186"/>
      <c r="F319" s="186"/>
      <c r="G319" s="187"/>
      <c r="H319" s="188"/>
      <c r="I319" s="168"/>
      <c r="J319" s="195"/>
      <c r="K319" s="231"/>
      <c r="L319" s="176"/>
      <c r="M319" s="176"/>
      <c r="N319" s="176"/>
      <c r="O319" s="189"/>
      <c r="P319" s="189"/>
    </row>
    <row r="320" spans="1:16" ht="21.75" customHeight="1" x14ac:dyDescent="0.35">
      <c r="A320" s="183"/>
      <c r="B320" s="184"/>
      <c r="C320" s="184"/>
      <c r="D320" s="190">
        <v>1</v>
      </c>
      <c r="E320" s="191" t="s">
        <v>45</v>
      </c>
      <c r="F320" s="192"/>
      <c r="G320" s="193"/>
      <c r="H320" s="194"/>
      <c r="I320" s="195"/>
      <c r="J320" s="195">
        <f ca="1">IFERROR(__xludf.DUMMYFUNCTION("IMPORTRANGE(""https://docs.google.com/spreadsheets/d/1IYY_tgx_IHuhSq3AJ5eI5OnqOPBNLWSHKh2a30DoXe8/edit?usp=sharing"",""ตรัง!J220"")"),0)</f>
        <v>0</v>
      </c>
      <c r="K320" s="231"/>
      <c r="L320" s="176"/>
      <c r="M320" s="176"/>
      <c r="N320" s="176"/>
      <c r="O320" s="189"/>
      <c r="P320" s="189"/>
    </row>
    <row r="321" spans="1:16" ht="21.75" customHeight="1" x14ac:dyDescent="0.35">
      <c r="A321" s="183"/>
      <c r="B321" s="184"/>
      <c r="C321" s="184"/>
      <c r="D321" s="197">
        <v>2</v>
      </c>
      <c r="E321" s="198" t="s">
        <v>46</v>
      </c>
      <c r="F321" s="199"/>
      <c r="G321" s="200"/>
      <c r="H321" s="194"/>
      <c r="I321" s="195"/>
      <c r="J321" s="195">
        <f ca="1">IFERROR(__xludf.DUMMYFUNCTION("IMPORTRANGE(""https://docs.google.com/spreadsheets/d/1IYY_tgx_IHuhSq3AJ5eI5OnqOPBNLWSHKh2a30DoXe8/edit?usp=sharing"",""ตรัง!J221"")"),0)</f>
        <v>0</v>
      </c>
      <c r="K321" s="231"/>
      <c r="L321" s="176" t="s">
        <v>40</v>
      </c>
      <c r="M321" s="176"/>
      <c r="N321" s="176" t="s">
        <v>40</v>
      </c>
      <c r="O321" s="189"/>
      <c r="P321" s="189"/>
    </row>
    <row r="322" spans="1:16" ht="21.75" customHeight="1" x14ac:dyDescent="0.35">
      <c r="A322" s="183"/>
      <c r="B322" s="184"/>
      <c r="C322" s="184"/>
      <c r="D322" s="201"/>
      <c r="E322" s="202" t="s">
        <v>47</v>
      </c>
      <c r="F322" s="203"/>
      <c r="G322" s="204"/>
      <c r="H322" s="194"/>
      <c r="I322" s="195"/>
      <c r="J322" s="195">
        <f ca="1">IFERROR(__xludf.DUMMYFUNCTION("IMPORTRANGE(""https://docs.google.com/spreadsheets/d/1IYY_tgx_IHuhSq3AJ5eI5OnqOPBNLWSHKh2a30DoXe8/edit?usp=sharing"",""ตรัง!J222"")"),0)</f>
        <v>0</v>
      </c>
      <c r="K322" s="231"/>
      <c r="L322" s="176"/>
      <c r="M322" s="176"/>
      <c r="N322" s="176"/>
      <c r="O322" s="189"/>
      <c r="P322" s="189"/>
    </row>
    <row r="323" spans="1:16" ht="21.75" customHeight="1" x14ac:dyDescent="0.35">
      <c r="A323" s="183"/>
      <c r="B323" s="184"/>
      <c r="C323" s="184"/>
      <c r="D323" s="201"/>
      <c r="E323" s="202" t="s">
        <v>48</v>
      </c>
      <c r="F323" s="203"/>
      <c r="G323" s="204"/>
      <c r="H323" s="194"/>
      <c r="I323" s="195"/>
      <c r="J323" s="195">
        <f ca="1">IFERROR(__xludf.DUMMYFUNCTION("IMPORTRANGE(""https://docs.google.com/spreadsheets/d/1IYY_tgx_IHuhSq3AJ5eI5OnqOPBNLWSHKh2a30DoXe8/edit?usp=sharing"",""ตรัง!J223"")"),0)</f>
        <v>0</v>
      </c>
      <c r="K323" s="231"/>
      <c r="L323" s="176"/>
      <c r="M323" s="176"/>
      <c r="N323" s="176"/>
      <c r="O323" s="189"/>
      <c r="P323" s="189"/>
    </row>
    <row r="324" spans="1:16" ht="21.75" customHeight="1" x14ac:dyDescent="0.35">
      <c r="A324" s="183"/>
      <c r="B324" s="184"/>
      <c r="C324" s="184"/>
      <c r="D324" s="201"/>
      <c r="E324" s="206"/>
      <c r="F324" s="202" t="s">
        <v>117</v>
      </c>
      <c r="G324" s="204"/>
      <c r="H324" s="194" t="s">
        <v>116</v>
      </c>
      <c r="I324" s="195">
        <f ca="1">IFERROR(__xludf.DUMMYFUNCTION("IMPORTRANGE(""https://docs.google.com/spreadsheets/d/1IYY_tgx_IHuhSq3AJ5eI5OnqOPBNLWSHKh2a30DoXe8/edit?usp=sharing"",""ตรัง!I224"")"),0)</f>
        <v>0</v>
      </c>
      <c r="J324" s="211">
        <f ca="1">IFERROR(__xludf.DUMMYFUNCTION("IMPORTRANGE(""https://docs.google.com/spreadsheets/d/1IYY_tgx_IHuhSq3AJ5eI5OnqOPBNLWSHKh2a30DoXe8/edit?usp=sharing"",""ตรัง!J224"")"),0)</f>
        <v>0</v>
      </c>
      <c r="K324" s="231">
        <f ca="1">IF(I324&gt;0,J324*100/I324,0)</f>
        <v>0</v>
      </c>
      <c r="L324" s="176"/>
      <c r="M324" s="176"/>
      <c r="N324" s="176"/>
      <c r="O324" s="189"/>
      <c r="P324" s="189"/>
    </row>
    <row r="325" spans="1:16" ht="21.75" customHeight="1" x14ac:dyDescent="0.35">
      <c r="A325" s="183"/>
      <c r="B325" s="184"/>
      <c r="C325" s="184"/>
      <c r="D325" s="201"/>
      <c r="E325" s="202" t="s">
        <v>54</v>
      </c>
      <c r="F325" s="203"/>
      <c r="G325" s="204"/>
      <c r="H325" s="194"/>
      <c r="I325" s="195"/>
      <c r="J325" s="195">
        <f ca="1">IFERROR(__xludf.DUMMYFUNCTION("IMPORTRANGE(""https://docs.google.com/spreadsheets/d/1IYY_tgx_IHuhSq3AJ5eI5OnqOPBNLWSHKh2a30DoXe8/edit?usp=sharing"",""ตรัง!J225"")"),0)</f>
        <v>0</v>
      </c>
      <c r="K325" s="231"/>
      <c r="L325" s="176"/>
      <c r="M325" s="176"/>
      <c r="N325" s="176"/>
      <c r="O325" s="189"/>
      <c r="P325" s="189"/>
    </row>
    <row r="326" spans="1:16" ht="21.75" customHeight="1" x14ac:dyDescent="0.35">
      <c r="A326" s="183"/>
      <c r="B326" s="184"/>
      <c r="C326" s="184"/>
      <c r="D326" s="213">
        <v>3</v>
      </c>
      <c r="E326" s="214" t="s">
        <v>55</v>
      </c>
      <c r="F326" s="215"/>
      <c r="G326" s="216"/>
      <c r="H326" s="194"/>
      <c r="I326" s="195"/>
      <c r="J326" s="234">
        <f ca="1">IFERROR(__xludf.DUMMYFUNCTION("IMPORTRANGE(""https://docs.google.com/spreadsheets/d/1IYY_tgx_IHuhSq3AJ5eI5OnqOPBNLWSHKh2a30DoXe8/edit?usp=sharing"",""ตรัง!J226"")"),0)</f>
        <v>0</v>
      </c>
      <c r="K326" s="231"/>
      <c r="L326" s="176"/>
      <c r="M326" s="176"/>
      <c r="N326" s="176"/>
      <c r="O326" s="189"/>
      <c r="P326" s="189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IFERROR(__xludf.DUMMYFUNCTION("IMPORTRANGE(""https://docs.google.com/spreadsheets/d/1IYY_tgx_IHuhSq3AJ5eI5OnqOPBNLWSHKh2a30DoXe8/edit?usp=sharing"",""ตรัง!I228"")"),163)</f>
        <v>163</v>
      </c>
      <c r="J328" s="345">
        <f ca="1">IFERROR(__xludf.DUMMYFUNCTION("IMPORTRANGE(""https://docs.google.com/spreadsheets/d/1IYY_tgx_IHuhSq3AJ5eI5OnqOPBNLWSHKh2a30DoXe8/edit?usp=sharing"",""ตรัง!J228"")"),106)</f>
        <v>106</v>
      </c>
      <c r="K328" s="323">
        <f ca="1">IF(I328&gt;0,J328*100/I328,0)</f>
        <v>65.030674846625772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52" t="s">
        <v>17</v>
      </c>
      <c r="E329" s="543"/>
      <c r="F329" s="543"/>
      <c r="G329" s="543"/>
      <c r="H329" s="153" t="s">
        <v>12</v>
      </c>
      <c r="I329" s="168"/>
      <c r="J329" s="168"/>
      <c r="K329" s="169"/>
      <c r="L329" s="156">
        <f t="shared" ref="L329:N329" ca="1" si="98">L330+L331</f>
        <v>890750</v>
      </c>
      <c r="M329" s="156">
        <f t="shared" ca="1" si="98"/>
        <v>550000</v>
      </c>
      <c r="N329" s="156">
        <f t="shared" ca="1" si="98"/>
        <v>435581</v>
      </c>
      <c r="O329" s="155">
        <f t="shared" ref="O329:O331" ca="1" si="99">IF(L329&gt;0,N329*100/L329,0)</f>
        <v>48.9004771260174</v>
      </c>
      <c r="P329" s="155">
        <f t="shared" ref="P329:P331" ca="1" si="100">IF(M329&gt;0,N329*100/M329,0)</f>
        <v>79.196545454545458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8"/>
      <c r="J330" s="168"/>
      <c r="K330" s="169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8"/>
      <c r="J331" s="168"/>
      <c r="K331" s="169"/>
      <c r="L331" s="161">
        <f t="shared" ref="L331:N331" ca="1" si="102">L333+L337</f>
        <v>890750</v>
      </c>
      <c r="M331" s="161">
        <f t="shared" ca="1" si="102"/>
        <v>550000</v>
      </c>
      <c r="N331" s="161">
        <f t="shared" ca="1" si="102"/>
        <v>435581</v>
      </c>
      <c r="O331" s="160">
        <f t="shared" ca="1" si="99"/>
        <v>48.9004771260174</v>
      </c>
      <c r="P331" s="160">
        <f t="shared" ca="1" si="100"/>
        <v>79.196545454545458</v>
      </c>
    </row>
    <row r="332" spans="1:16" ht="21.75" customHeight="1" x14ac:dyDescent="0.35">
      <c r="A332" s="162"/>
      <c r="B332" s="163"/>
      <c r="C332" s="163" t="s">
        <v>16</v>
      </c>
      <c r="D332" s="164" t="s">
        <v>38</v>
      </c>
      <c r="E332" s="165"/>
      <c r="F332" s="165"/>
      <c r="G332" s="166" t="s">
        <v>39</v>
      </c>
      <c r="H332" s="167" t="s">
        <v>12</v>
      </c>
      <c r="I332" s="168" t="s">
        <v>40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 x14ac:dyDescent="0.35">
      <c r="A333" s="162"/>
      <c r="B333" s="163"/>
      <c r="C333" s="163"/>
      <c r="D333" s="172"/>
      <c r="E333" s="165"/>
      <c r="F333" s="165" t="s">
        <v>40</v>
      </c>
      <c r="G333" s="166" t="s">
        <v>41</v>
      </c>
      <c r="H333" s="167" t="s">
        <v>12</v>
      </c>
      <c r="I333" s="168"/>
      <c r="J333" s="168"/>
      <c r="K333" s="169"/>
      <c r="L333" s="173">
        <f ca="1">L334+L335</f>
        <v>739550</v>
      </c>
      <c r="M333" s="174">
        <f ca="1">IFERROR(__xludf.DUMMYFUNCTION("IMPORTRANGE(""https://docs.google.com/spreadsheets/d/1Yj_ptqi66GCucihVvJfMjLAmec39IyEx_6qawtMGysU/edit?usp=sharing"",""สบก!DL83"")"),398800)</f>
        <v>398800</v>
      </c>
      <c r="N333" s="175">
        <f ca="1">IFERROR(__xludf.DUMMYFUNCTION("IMPORTRANGE(""https://docs.google.com/spreadsheets/d/1Yj_ptqi66GCucihVvJfMjLAmec39IyEx_6qawtMGysU/edit?usp=sharing"",""สบก!DM83"")"),284381)</f>
        <v>284381</v>
      </c>
      <c r="O333" s="176">
        <f ca="1">IF(L333&gt;0,N333*100/L333,0)</f>
        <v>38.453248597119867</v>
      </c>
      <c r="P333" s="176">
        <f ca="1">IF(M333&gt;0,N333*100/M333,0)</f>
        <v>71.309177532597786</v>
      </c>
    </row>
    <row r="334" spans="1:16" ht="21.75" customHeight="1" x14ac:dyDescent="0.35">
      <c r="A334" s="162"/>
      <c r="B334" s="163"/>
      <c r="C334" s="163"/>
      <c r="D334" s="172"/>
      <c r="E334" s="165"/>
      <c r="F334" s="165"/>
      <c r="G334" s="177" t="s">
        <v>42</v>
      </c>
      <c r="H334" s="167" t="s">
        <v>12</v>
      </c>
      <c r="I334" s="168"/>
      <c r="J334" s="168"/>
      <c r="K334" s="169"/>
      <c r="L334" s="174">
        <f ca="1">IFERROR(__xludf.DUMMYFUNCTION("IMPORTRANGE(""https://docs.google.com/spreadsheets/d/1Yj_ptqi66GCucihVvJfMjLAmec39IyEx_6qawtMGysU/edit?usp=sharing"",""สบก!DH83"")"),388800)</f>
        <v>388800</v>
      </c>
      <c r="M334" s="173"/>
      <c r="N334" s="173"/>
      <c r="O334" s="176"/>
      <c r="P334" s="176"/>
    </row>
    <row r="335" spans="1:16" ht="21.75" customHeight="1" x14ac:dyDescent="0.35">
      <c r="A335" s="162"/>
      <c r="B335" s="163"/>
      <c r="C335" s="163"/>
      <c r="D335" s="172"/>
      <c r="E335" s="165"/>
      <c r="F335" s="165"/>
      <c r="G335" s="177" t="s">
        <v>43</v>
      </c>
      <c r="H335" s="167" t="s">
        <v>12</v>
      </c>
      <c r="I335" s="168"/>
      <c r="J335" s="168"/>
      <c r="K335" s="169"/>
      <c r="L335" s="174">
        <f ca="1">IFERROR(__xludf.DUMMYFUNCTION("IMPORTRANGE(""https://docs.google.com/spreadsheets/d/1Yj_ptqi66GCucihVvJfMjLAmec39IyEx_6qawtMGysU/edit?usp=sharing"",""สบก!DI83"")"),350750)</f>
        <v>350750</v>
      </c>
      <c r="M335" s="173"/>
      <c r="N335" s="173"/>
      <c r="O335" s="176"/>
      <c r="P335" s="176"/>
    </row>
    <row r="336" spans="1:16" ht="21.75" customHeight="1" x14ac:dyDescent="0.45">
      <c r="A336" s="178"/>
      <c r="B336" s="81"/>
      <c r="C336" s="82" t="s">
        <v>16</v>
      </c>
      <c r="D336" s="549" t="s">
        <v>23</v>
      </c>
      <c r="E336" s="545"/>
      <c r="F336" s="89"/>
      <c r="G336" s="83" t="s">
        <v>18</v>
      </c>
      <c r="H336" s="179" t="s">
        <v>12</v>
      </c>
      <c r="I336" s="168"/>
      <c r="J336" s="168"/>
      <c r="K336" s="169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80"/>
      <c r="B337" s="95"/>
      <c r="C337" s="95"/>
      <c r="D337" s="181"/>
      <c r="E337" s="96"/>
      <c r="F337" s="96"/>
      <c r="G337" s="97" t="s">
        <v>19</v>
      </c>
      <c r="H337" s="182" t="s">
        <v>12</v>
      </c>
      <c r="I337" s="168"/>
      <c r="J337" s="168"/>
      <c r="K337" s="169"/>
      <c r="L337" s="91">
        <f ca="1">IFERROR(__xludf.DUMMYFUNCTION("IMPORTRANGE(""https://docs.google.com/spreadsheets/d/1Yj_ptqi66GCucihVvJfMjLAmec39IyEx_6qawtMGysU/edit?usp=sharing"",""สบก!DJ83"")"),151200)</f>
        <v>151200</v>
      </c>
      <c r="M337" s="101">
        <f ca="1">L337</f>
        <v>151200</v>
      </c>
      <c r="N337" s="91">
        <f ca="1">IFERROR(__xludf.DUMMYFUNCTION("IMPORTRANGE(""https://docs.google.com/spreadsheets/d/1Yj_ptqi66GCucihVvJfMjLAmec39IyEx_6qawtMGysU/edit?usp=sharing"",""สบก!DN83"")"),151200)</f>
        <v>151200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3"/>
      <c r="B338" s="297"/>
      <c r="C338" s="346" t="s">
        <v>120</v>
      </c>
      <c r="D338" s="203"/>
      <c r="E338" s="203"/>
      <c r="F338" s="203"/>
      <c r="G338" s="204"/>
      <c r="H338" s="188"/>
      <c r="I338" s="347"/>
      <c r="J338" s="347"/>
      <c r="K338" s="348"/>
      <c r="L338" s="189"/>
      <c r="M338" s="189"/>
      <c r="N338" s="189"/>
      <c r="O338" s="349"/>
      <c r="P338" s="349"/>
    </row>
    <row r="339" spans="1:16" ht="21.75" customHeight="1" x14ac:dyDescent="0.35">
      <c r="A339" s="183"/>
      <c r="B339" s="297"/>
      <c r="C339" s="184"/>
      <c r="D339" s="203"/>
      <c r="E339" s="202" t="s">
        <v>121</v>
      </c>
      <c r="F339" s="203"/>
      <c r="G339" s="204"/>
      <c r="H339" s="350" t="s">
        <v>37</v>
      </c>
      <c r="I339" s="211">
        <f ca="1">IFERROR(__xludf.DUMMYFUNCTION("IMPORTRANGE(""https://docs.google.com/spreadsheets/d/1IYY_tgx_IHuhSq3AJ5eI5OnqOPBNLWSHKh2a30DoXe8/edit?usp=sharing"",""ตรัง!I234"")"),0)</f>
        <v>0</v>
      </c>
      <c r="J339" s="195">
        <f ca="1">IFERROR(__xludf.DUMMYFUNCTION("IMPORTRANGE(""https://docs.google.com/spreadsheets/d/1IYY_tgx_IHuhSq3AJ5eI5OnqOPBNLWSHKh2a30DoXe8/edit?usp=sharing"",""ตรัง!J234"")"),185)</f>
        <v>185</v>
      </c>
      <c r="K339" s="348">
        <f t="shared" ref="K339:K346" ca="1" si="103">IF(I339&gt;0,J339*100/I339,0)</f>
        <v>0</v>
      </c>
      <c r="L339" s="189"/>
      <c r="M339" s="189"/>
      <c r="N339" s="189"/>
      <c r="O339" s="349"/>
      <c r="P339" s="349"/>
    </row>
    <row r="340" spans="1:16" ht="21.75" customHeight="1" x14ac:dyDescent="0.35">
      <c r="A340" s="183"/>
      <c r="B340" s="297"/>
      <c r="C340" s="184"/>
      <c r="D340" s="203"/>
      <c r="E340" s="203"/>
      <c r="F340" s="203"/>
      <c r="G340" s="204"/>
      <c r="H340" s="350" t="s">
        <v>122</v>
      </c>
      <c r="I340" s="195">
        <f ca="1">IFERROR(__xludf.DUMMYFUNCTION("IMPORTRANGE(""https://docs.google.com/spreadsheets/d/1IYY_tgx_IHuhSq3AJ5eI5OnqOPBNLWSHKh2a30DoXe8/edit?usp=sharing"",""ตรัง!I235"")"),1840)</f>
        <v>1840</v>
      </c>
      <c r="J340" s="195">
        <f ca="1">IFERROR(__xludf.DUMMYFUNCTION("IMPORTRANGE(""https://docs.google.com/spreadsheets/d/1IYY_tgx_IHuhSq3AJ5eI5OnqOPBNLWSHKh2a30DoXe8/edit?usp=sharing"",""ตรัง!J235"")"),1008.85999999999)</f>
        <v>1008.85999999999</v>
      </c>
      <c r="K340" s="348">
        <f t="shared" ca="1" si="103"/>
        <v>54.829347826086412</v>
      </c>
      <c r="L340" s="189"/>
      <c r="M340" s="189"/>
      <c r="N340" s="189"/>
      <c r="O340" s="349"/>
      <c r="P340" s="349"/>
    </row>
    <row r="341" spans="1:16" ht="21.75" customHeight="1" x14ac:dyDescent="0.35">
      <c r="A341" s="183"/>
      <c r="B341" s="297"/>
      <c r="C341" s="184"/>
      <c r="D341" s="203"/>
      <c r="E341" s="202" t="s">
        <v>123</v>
      </c>
      <c r="F341" s="203"/>
      <c r="G341" s="204"/>
      <c r="H341" s="188" t="s">
        <v>37</v>
      </c>
      <c r="I341" s="195">
        <f ca="1">IFERROR(__xludf.DUMMYFUNCTION("IMPORTRANGE(""https://docs.google.com/spreadsheets/d/1IYY_tgx_IHuhSq3AJ5eI5OnqOPBNLWSHKh2a30DoXe8/edit?usp=sharing"",""ตรัง!I236"")"),163)</f>
        <v>163</v>
      </c>
      <c r="J341" s="195">
        <f ca="1">IFERROR(__xludf.DUMMYFUNCTION("IMPORTRANGE(""https://docs.google.com/spreadsheets/d/1IYY_tgx_IHuhSq3AJ5eI5OnqOPBNLWSHKh2a30DoXe8/edit?usp=sharing"",""ตรัง!J236"")"),206)</f>
        <v>206</v>
      </c>
      <c r="K341" s="348">
        <f t="shared" ca="1" si="103"/>
        <v>126.38036809815951</v>
      </c>
      <c r="L341" s="189"/>
      <c r="M341" s="189"/>
      <c r="N341" s="189"/>
      <c r="O341" s="349"/>
      <c r="P341" s="349"/>
    </row>
    <row r="342" spans="1:16" ht="21.75" customHeight="1" x14ac:dyDescent="0.35">
      <c r="A342" s="183"/>
      <c r="B342" s="297"/>
      <c r="C342" s="184"/>
      <c r="D342" s="203"/>
      <c r="E342" s="203"/>
      <c r="F342" s="203"/>
      <c r="G342" s="204"/>
      <c r="H342" s="188" t="s">
        <v>122</v>
      </c>
      <c r="I342" s="351">
        <f ca="1">IFERROR(__xludf.DUMMYFUNCTION("IMPORTRANGE(""https://docs.google.com/spreadsheets/d/1IYY_tgx_IHuhSq3AJ5eI5OnqOPBNLWSHKh2a30DoXe8/edit?usp=sharing"",""ตรัง!I237"")"),0)</f>
        <v>0</v>
      </c>
      <c r="J342" s="195">
        <f ca="1">IFERROR(__xludf.DUMMYFUNCTION("IMPORTRANGE(""https://docs.google.com/spreadsheets/d/1IYY_tgx_IHuhSq3AJ5eI5OnqOPBNLWSHKh2a30DoXe8/edit?usp=sharing"",""ตรัง!J237"")"),1974.26)</f>
        <v>1974.26</v>
      </c>
      <c r="K342" s="348">
        <f t="shared" ca="1" si="103"/>
        <v>0</v>
      </c>
      <c r="L342" s="189"/>
      <c r="M342" s="189"/>
      <c r="N342" s="189"/>
      <c r="O342" s="349"/>
      <c r="P342" s="349"/>
    </row>
    <row r="343" spans="1:16" ht="21.75" customHeight="1" x14ac:dyDescent="0.35">
      <c r="A343" s="183"/>
      <c r="B343" s="297"/>
      <c r="C343" s="184"/>
      <c r="D343" s="203"/>
      <c r="E343" s="202" t="s">
        <v>124</v>
      </c>
      <c r="F343" s="203"/>
      <c r="G343" s="204"/>
      <c r="H343" s="188" t="s">
        <v>37</v>
      </c>
      <c r="I343" s="195">
        <f ca="1">IFERROR(__xludf.DUMMYFUNCTION("IMPORTRANGE(""https://docs.google.com/spreadsheets/d/1IYY_tgx_IHuhSq3AJ5eI5OnqOPBNLWSHKh2a30DoXe8/edit?usp=sharing"",""ตรัง!I238"")"),163)</f>
        <v>163</v>
      </c>
      <c r="J343" s="195">
        <f ca="1">IFERROR(__xludf.DUMMYFUNCTION("IMPORTRANGE(""https://docs.google.com/spreadsheets/d/1IYY_tgx_IHuhSq3AJ5eI5OnqOPBNLWSHKh2a30DoXe8/edit?usp=sharing"",""ตรัง!J238"")"),0)</f>
        <v>0</v>
      </c>
      <c r="K343" s="348">
        <f t="shared" ca="1" si="103"/>
        <v>0</v>
      </c>
      <c r="L343" s="189"/>
      <c r="M343" s="189"/>
      <c r="N343" s="189"/>
      <c r="O343" s="349"/>
      <c r="P343" s="349"/>
    </row>
    <row r="344" spans="1:16" ht="21.75" customHeight="1" x14ac:dyDescent="0.35">
      <c r="A344" s="183"/>
      <c r="B344" s="297"/>
      <c r="C344" s="184"/>
      <c r="D344" s="203"/>
      <c r="E344" s="203"/>
      <c r="F344" s="203"/>
      <c r="G344" s="204"/>
      <c r="H344" s="188" t="s">
        <v>122</v>
      </c>
      <c r="I344" s="351">
        <f ca="1">IFERROR(__xludf.DUMMYFUNCTION("IMPORTRANGE(""https://docs.google.com/spreadsheets/d/1IYY_tgx_IHuhSq3AJ5eI5OnqOPBNLWSHKh2a30DoXe8/edit?usp=sharing"",""ตรัง!I239"")"),0)</f>
        <v>0</v>
      </c>
      <c r="J344" s="195">
        <f ca="1">IFERROR(__xludf.DUMMYFUNCTION("IMPORTRANGE(""https://docs.google.com/spreadsheets/d/1IYY_tgx_IHuhSq3AJ5eI5OnqOPBNLWSHKh2a30DoXe8/edit?usp=sharing"",""ตรัง!J239"")"),0)</f>
        <v>0</v>
      </c>
      <c r="K344" s="348">
        <f t="shared" ca="1" si="103"/>
        <v>0</v>
      </c>
      <c r="L344" s="189"/>
      <c r="M344" s="189"/>
      <c r="N344" s="189"/>
      <c r="O344" s="349"/>
      <c r="P344" s="349"/>
    </row>
    <row r="345" spans="1:16" ht="21.75" customHeight="1" x14ac:dyDescent="0.35">
      <c r="A345" s="183"/>
      <c r="B345" s="297"/>
      <c r="C345" s="184"/>
      <c r="D345" s="203"/>
      <c r="E345" s="202" t="s">
        <v>125</v>
      </c>
      <c r="F345" s="203"/>
      <c r="G345" s="204"/>
      <c r="H345" s="188" t="s">
        <v>37</v>
      </c>
      <c r="I345" s="195">
        <f ca="1">IFERROR(__xludf.DUMMYFUNCTION("IMPORTRANGE(""https://docs.google.com/spreadsheets/d/1IYY_tgx_IHuhSq3AJ5eI5OnqOPBNLWSHKh2a30DoXe8/edit?usp=sharing"",""ตรัง!I240"")"),163)</f>
        <v>163</v>
      </c>
      <c r="J345" s="195">
        <f ca="1">IFERROR(__xludf.DUMMYFUNCTION("IMPORTRANGE(""https://docs.google.com/spreadsheets/d/1IYY_tgx_IHuhSq3AJ5eI5OnqOPBNLWSHKh2a30DoXe8/edit?usp=sharing"",""ตรัง!J240"")"),106)</f>
        <v>106</v>
      </c>
      <c r="K345" s="348">
        <f t="shared" ca="1" si="103"/>
        <v>65.030674846625772</v>
      </c>
      <c r="L345" s="189"/>
      <c r="M345" s="189"/>
      <c r="N345" s="189"/>
      <c r="O345" s="349"/>
      <c r="P345" s="349"/>
    </row>
    <row r="346" spans="1:16" ht="21.75" customHeight="1" x14ac:dyDescent="0.35">
      <c r="A346" s="241"/>
      <c r="B346" s="352"/>
      <c r="C346" s="242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IFERROR(__xludf.DUMMYFUNCTION("IMPORTRANGE(""https://docs.google.com/spreadsheets/d/1IYY_tgx_IHuhSq3AJ5eI5OnqOPBNLWSHKh2a30DoXe8/edit?usp=sharing"",""ตรัง!I241"")"),0)</f>
        <v>0</v>
      </c>
      <c r="J346" s="195">
        <f ca="1">IFERROR(__xludf.DUMMYFUNCTION("IMPORTRANGE(""https://docs.google.com/spreadsheets/d/1IYY_tgx_IHuhSq3AJ5eI5OnqOPBNLWSHKh2a30DoXe8/edit?usp=sharing"",""ตรัง!J241"")"),1156.44)</f>
        <v>1156.44</v>
      </c>
      <c r="K346" s="357">
        <f t="shared" ca="1" si="103"/>
        <v>0</v>
      </c>
      <c r="L346" s="252"/>
      <c r="M346" s="252"/>
      <c r="N346" s="252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IFERROR(__xludf.DUMMYFUNCTION("IMPORTRANGE(""https://docs.google.com/spreadsheets/d/1IYY_tgx_IHuhSq3AJ5eI5OnqOPBNLWSHKh2a30DoXe8/edit?usp=sharing"",""ตรัง!L242"")"),1192098)</f>
        <v>1192098</v>
      </c>
      <c r="M347" s="364"/>
      <c r="N347" s="364">
        <f ca="1">IFERROR(__xludf.DUMMYFUNCTION("IMPORTRANGE(""https://docs.google.com/spreadsheets/d/1IYY_tgx_IHuhSq3AJ5eI5OnqOPBNLWSHKh2a30DoXe8/edit?usp=sharing"",""ตรัง!M242"")"),297087.19)</f>
        <v>297087.19</v>
      </c>
      <c r="O347" s="364">
        <f ca="1">+IF(L347&gt;0,N347*100/L347,0)</f>
        <v>24.92137307503242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IFERROR(__xludf.DUMMYFUNCTION("IMPORTRANGE(""https://docs.google.com/spreadsheets/d/1IYY_tgx_IHuhSq3AJ5eI5OnqOPBNLWSHKh2a30DoXe8/edit?usp=sharing"",""ตรัง!I244"")"),70)</f>
        <v>70</v>
      </c>
      <c r="J349" s="377">
        <f ca="1">IFERROR(__xludf.DUMMYFUNCTION("IMPORTRANGE(""https://docs.google.com/spreadsheets/d/1IYY_tgx_IHuhSq3AJ5eI5OnqOPBNLWSHKh2a30DoXe8/edit?usp=sharing"",""ตรัง!J244"")"),0)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IFERROR(__xludf.DUMMYFUNCTION("IMPORTRANGE(""https://docs.google.com/spreadsheets/d/1IYY_tgx_IHuhSq3AJ5eI5OnqOPBNLWSHKh2a30DoXe8/edit?usp=sharing"",""ตรัง!L244"")"),274060)</f>
        <v>274060</v>
      </c>
      <c r="M349" s="379"/>
      <c r="N349" s="379">
        <f ca="1">IFERROR(__xludf.DUMMYFUNCTION("IMPORTRANGE(""https://docs.google.com/spreadsheets/d/1IYY_tgx_IHuhSq3AJ5eI5OnqOPBNLWSHKh2a30DoXe8/edit?usp=sharing"",""ตรัง!M244"")"),57009)</f>
        <v>57009</v>
      </c>
      <c r="O349" s="379">
        <f ca="1">+IF(L349&gt;0,N349*100/L349,0)</f>
        <v>20.801649273881633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IFERROR(__xludf.DUMMYFUNCTION("IMPORTRANGE(""https://docs.google.com/spreadsheets/d/1IYY_tgx_IHuhSq3AJ5eI5OnqOPBNLWSHKh2a30DoXe8/edit?usp=sharing"",""ตรัง!I245"")"),25)</f>
        <v>25</v>
      </c>
      <c r="J350" s="377">
        <f ca="1">IFERROR(__xludf.DUMMYFUNCTION("IMPORTRANGE(""https://docs.google.com/spreadsheets/d/1IYY_tgx_IHuhSq3AJ5eI5OnqOPBNLWSHKh2a30DoXe8/edit?usp=sharing"",""ตรัง!J245"")"),25)</f>
        <v>25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164" t="s">
        <v>38</v>
      </c>
      <c r="E351" s="165"/>
      <c r="F351" s="165"/>
      <c r="G351" s="166" t="s">
        <v>39</v>
      </c>
      <c r="H351" s="167" t="s">
        <v>12</v>
      </c>
      <c r="I351" s="168" t="s">
        <v>40</v>
      </c>
      <c r="J351" s="168"/>
      <c r="K351" s="169"/>
      <c r="L351" s="170">
        <f ca="1">IFERROR(__xludf.DUMMYFUNCTION("IMPORTRANGE(""https://docs.google.com/spreadsheets/d/1IYY_tgx_IHuhSq3AJ5eI5OnqOPBNLWSHKh2a30DoXe8/edit?usp=sharing"",""ตรัง!L246"")"),0)</f>
        <v>0</v>
      </c>
      <c r="M351" s="170"/>
      <c r="N351" s="170">
        <f ca="1">IFERROR(__xludf.DUMMYFUNCTION("IMPORTRANGE(""https://docs.google.com/spreadsheets/d/1IYY_tgx_IHuhSq3AJ5eI5OnqOPBNLWSHKh2a30DoXe8/edit?usp=sharing"",""ตรัง!M246"")"),0)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 x14ac:dyDescent="0.35">
      <c r="A352" s="162"/>
      <c r="B352" s="163"/>
      <c r="C352" s="163"/>
      <c r="D352" s="172"/>
      <c r="E352" s="165"/>
      <c r="F352" s="165" t="s">
        <v>40</v>
      </c>
      <c r="G352" s="166" t="s">
        <v>41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IFERROR(__xludf.DUMMYFUNCTION("IMPORTRANGE(""https://docs.google.com/spreadsheets/d/1IYY_tgx_IHuhSq3AJ5eI5OnqOPBNLWSHKh2a30DoXe8/edit?usp=sharing"",""ตรัง!L247"")"),274060)</f>
        <v>274060</v>
      </c>
      <c r="M352" s="171"/>
      <c r="N352" s="170">
        <f ca="1">IFERROR(__xludf.DUMMYFUNCTION("IMPORTRANGE(""https://docs.google.com/spreadsheets/d/1IYY_tgx_IHuhSq3AJ5eI5OnqOPBNLWSHKh2a30DoXe8/edit?usp=sharing"",""ตรัง!M247"")"),57009)</f>
        <v>57009</v>
      </c>
      <c r="O352" s="171">
        <f t="shared" ca="1" si="105"/>
        <v>20.801649273881633</v>
      </c>
      <c r="P352" s="171"/>
    </row>
    <row r="353" spans="1:16" ht="21.75" customHeight="1" x14ac:dyDescent="0.35">
      <c r="A353" s="162"/>
      <c r="B353" s="163"/>
      <c r="C353" s="163"/>
      <c r="D353" s="172"/>
      <c r="E353" s="165"/>
      <c r="F353" s="165"/>
      <c r="G353" s="380" t="s">
        <v>129</v>
      </c>
      <c r="H353" s="167" t="s">
        <v>12</v>
      </c>
      <c r="I353" s="168"/>
      <c r="J353" s="168"/>
      <c r="K353" s="169"/>
      <c r="L353" s="176">
        <f ca="1">IFERROR(__xludf.DUMMYFUNCTION("IMPORTRANGE(""https://docs.google.com/spreadsheets/d/1IYY_tgx_IHuhSq3AJ5eI5OnqOPBNLWSHKh2a30DoXe8/edit?usp=sharing"",""ตรัง!L248"")"),0)</f>
        <v>0</v>
      </c>
      <c r="M353" s="176"/>
      <c r="N353" s="176">
        <f ca="1">IFERROR(__xludf.DUMMYFUNCTION("IMPORTRANGE(""https://docs.google.com/spreadsheets/d/1IYY_tgx_IHuhSq3AJ5eI5OnqOPBNLWSHKh2a30DoXe8/edit?usp=sharing"",""ตรัง!M248"")"),0)</f>
        <v>0</v>
      </c>
      <c r="O353" s="176">
        <f t="shared" ca="1" si="105"/>
        <v>0</v>
      </c>
      <c r="P353" s="176"/>
    </row>
    <row r="354" spans="1:16" ht="21.75" customHeight="1" x14ac:dyDescent="0.35">
      <c r="A354" s="162"/>
      <c r="B354" s="163"/>
      <c r="C354" s="163"/>
      <c r="D354" s="172"/>
      <c r="E354" s="165"/>
      <c r="F354" s="165"/>
      <c r="G354" s="380" t="s">
        <v>130</v>
      </c>
      <c r="H354" s="167" t="s">
        <v>12</v>
      </c>
      <c r="I354" s="168"/>
      <c r="J354" s="168"/>
      <c r="K354" s="169"/>
      <c r="L354" s="176">
        <f ca="1">IFERROR(__xludf.DUMMYFUNCTION("IMPORTRANGE(""https://docs.google.com/spreadsheets/d/1IYY_tgx_IHuhSq3AJ5eI5OnqOPBNLWSHKh2a30DoXe8/edit?usp=sharing"",""ตรัง!L249"")"),274060)</f>
        <v>274060</v>
      </c>
      <c r="M354" s="176"/>
      <c r="N354" s="173">
        <f ca="1">IFERROR(__xludf.DUMMYFUNCTION("IMPORTRANGE(""https://docs.google.com/spreadsheets/d/1IYY_tgx_IHuhSq3AJ5eI5OnqOPBNLWSHKh2a30DoXe8/edit?usp=sharing"",""ตรัง!M249"")"),57009)</f>
        <v>57009</v>
      </c>
      <c r="O354" s="176">
        <f t="shared" ca="1" si="105"/>
        <v>20.801649273881633</v>
      </c>
      <c r="P354" s="176"/>
    </row>
    <row r="355" spans="1:16" ht="21.75" customHeight="1" x14ac:dyDescent="0.35">
      <c r="A355" s="381"/>
      <c r="B355" s="382"/>
      <c r="C355" s="163"/>
      <c r="D355" s="383"/>
      <c r="E355" s="165"/>
      <c r="F355" s="165"/>
      <c r="G355" s="384" t="s">
        <v>131</v>
      </c>
      <c r="H355" s="167" t="s">
        <v>12</v>
      </c>
      <c r="I355" s="195"/>
      <c r="J355" s="195"/>
      <c r="K355" s="231"/>
      <c r="L355" s="176"/>
      <c r="M355" s="176"/>
      <c r="N355" s="385">
        <f ca="1">IFERROR(__xludf.DUMMYFUNCTION("IMPORTRANGE(""https://docs.google.com/spreadsheets/d/1IYY_tgx_IHuhSq3AJ5eI5OnqOPBNLWSHKh2a30DoXe8/edit?usp=sharing"",""ตรัง!M250"")"),22760)</f>
        <v>22760</v>
      </c>
      <c r="O355" s="176"/>
      <c r="P355" s="176"/>
    </row>
    <row r="356" spans="1:16" ht="21.75" customHeight="1" x14ac:dyDescent="0.35">
      <c r="A356" s="381"/>
      <c r="B356" s="382"/>
      <c r="C356" s="163"/>
      <c r="D356" s="383"/>
      <c r="E356" s="165"/>
      <c r="F356" s="165"/>
      <c r="G356" s="384" t="s">
        <v>132</v>
      </c>
      <c r="H356" s="167" t="s">
        <v>12</v>
      </c>
      <c r="I356" s="195"/>
      <c r="J356" s="195"/>
      <c r="K356" s="231"/>
      <c r="L356" s="176"/>
      <c r="M356" s="176"/>
      <c r="N356" s="385">
        <f ca="1">IFERROR(__xludf.DUMMYFUNCTION("IMPORTRANGE(""https://docs.google.com/spreadsheets/d/1IYY_tgx_IHuhSq3AJ5eI5OnqOPBNLWSHKh2a30DoXe8/edit?usp=sharing"",""ตรัง!M251"")"),0)</f>
        <v>0</v>
      </c>
      <c r="O356" s="176"/>
      <c r="P356" s="176"/>
    </row>
    <row r="357" spans="1:16" ht="21.75" customHeight="1" x14ac:dyDescent="0.35">
      <c r="A357" s="381"/>
      <c r="B357" s="382"/>
      <c r="C357" s="163"/>
      <c r="D357" s="383"/>
      <c r="E357" s="165"/>
      <c r="F357" s="165"/>
      <c r="G357" s="384" t="s">
        <v>133</v>
      </c>
      <c r="H357" s="167" t="s">
        <v>12</v>
      </c>
      <c r="I357" s="195"/>
      <c r="J357" s="195"/>
      <c r="K357" s="231"/>
      <c r="L357" s="176"/>
      <c r="M357" s="176"/>
      <c r="N357" s="385">
        <f ca="1">IFERROR(__xludf.DUMMYFUNCTION("IMPORTRANGE(""https://docs.google.com/spreadsheets/d/1IYY_tgx_IHuhSq3AJ5eI5OnqOPBNLWSHKh2a30DoXe8/edit?usp=sharing"",""ตรัง!M252"")"),32633)</f>
        <v>32633</v>
      </c>
      <c r="O357" s="176"/>
      <c r="P357" s="176"/>
    </row>
    <row r="358" spans="1:16" ht="21.75" customHeight="1" x14ac:dyDescent="0.35">
      <c r="A358" s="381"/>
      <c r="B358" s="382"/>
      <c r="C358" s="163"/>
      <c r="D358" s="383"/>
      <c r="E358" s="165"/>
      <c r="F358" s="165"/>
      <c r="G358" s="384" t="s">
        <v>134</v>
      </c>
      <c r="H358" s="167" t="s">
        <v>12</v>
      </c>
      <c r="I358" s="195"/>
      <c r="J358" s="195"/>
      <c r="K358" s="231"/>
      <c r="L358" s="176"/>
      <c r="M358" s="176"/>
      <c r="N358" s="385">
        <f ca="1">IFERROR(__xludf.DUMMYFUNCTION("IMPORTRANGE(""https://docs.google.com/spreadsheets/d/1IYY_tgx_IHuhSq3AJ5eI5OnqOPBNLWSHKh2a30DoXe8/edit?usp=sharing"",""ตรัง!M253"")"),1616)</f>
        <v>1616</v>
      </c>
      <c r="O358" s="176"/>
      <c r="P358" s="176"/>
    </row>
    <row r="359" spans="1:16" ht="21.75" customHeight="1" x14ac:dyDescent="0.35">
      <c r="A359" s="183"/>
      <c r="B359" s="184"/>
      <c r="C359" s="163" t="s">
        <v>16</v>
      </c>
      <c r="D359" s="185" t="s">
        <v>44</v>
      </c>
      <c r="E359" s="186"/>
      <c r="F359" s="186"/>
      <c r="G359" s="187"/>
      <c r="H359" s="188"/>
      <c r="I359" s="168"/>
      <c r="J359" s="168"/>
      <c r="K359" s="169"/>
      <c r="L359" s="189"/>
      <c r="M359" s="189"/>
      <c r="N359" s="189"/>
      <c r="O359" s="189"/>
      <c r="P359" s="189"/>
    </row>
    <row r="360" spans="1:16" ht="21.75" customHeight="1" x14ac:dyDescent="0.35">
      <c r="A360" s="183"/>
      <c r="B360" s="184"/>
      <c r="C360" s="184"/>
      <c r="D360" s="190">
        <v>1</v>
      </c>
      <c r="E360" s="191" t="s">
        <v>45</v>
      </c>
      <c r="F360" s="192"/>
      <c r="G360" s="193"/>
      <c r="H360" s="194"/>
      <c r="I360" s="195"/>
      <c r="J360" s="205">
        <f ca="1">IFERROR(__xludf.DUMMYFUNCTION("IMPORTRANGE(""https://docs.google.com/spreadsheets/d/1IYY_tgx_IHuhSq3AJ5eI5OnqOPBNLWSHKh2a30DoXe8/edit?usp=sharing"",""ตรัง!J255"")"),0)</f>
        <v>0</v>
      </c>
      <c r="K360" s="169"/>
      <c r="L360" s="189"/>
      <c r="M360" s="189"/>
      <c r="N360" s="189"/>
      <c r="O360" s="189"/>
      <c r="P360" s="189"/>
    </row>
    <row r="361" spans="1:16" ht="21.75" customHeight="1" x14ac:dyDescent="0.35">
      <c r="A361" s="183"/>
      <c r="B361" s="184"/>
      <c r="C361" s="184"/>
      <c r="D361" s="197">
        <v>2</v>
      </c>
      <c r="E361" s="198" t="s">
        <v>46</v>
      </c>
      <c r="F361" s="199"/>
      <c r="G361" s="200"/>
      <c r="H361" s="194"/>
      <c r="I361" s="195"/>
      <c r="J361" s="196">
        <f ca="1">IFERROR(__xludf.DUMMYFUNCTION("IMPORTRANGE(""https://docs.google.com/spreadsheets/d/1IYY_tgx_IHuhSq3AJ5eI5OnqOPBNLWSHKh2a30DoXe8/edit?usp=sharing"",""ตรัง!J256"")"),1)</f>
        <v>1</v>
      </c>
      <c r="K361" s="169"/>
      <c r="L361" s="189" t="s">
        <v>40</v>
      </c>
      <c r="M361" s="189"/>
      <c r="N361" s="189" t="s">
        <v>40</v>
      </c>
      <c r="O361" s="189"/>
      <c r="P361" s="189"/>
    </row>
    <row r="362" spans="1:16" ht="21.75" customHeight="1" x14ac:dyDescent="0.35">
      <c r="A362" s="183"/>
      <c r="B362" s="184"/>
      <c r="C362" s="184"/>
      <c r="D362" s="201"/>
      <c r="E362" s="202" t="s">
        <v>47</v>
      </c>
      <c r="F362" s="203"/>
      <c r="G362" s="204"/>
      <c r="H362" s="194"/>
      <c r="I362" s="195"/>
      <c r="J362" s="196">
        <f ca="1">IFERROR(__xludf.DUMMYFUNCTION("IMPORTRANGE(""https://docs.google.com/spreadsheets/d/1IYY_tgx_IHuhSq3AJ5eI5OnqOPBNLWSHKh2a30DoXe8/edit?usp=sharing"",""ตรัง!J257"")"),1)</f>
        <v>1</v>
      </c>
      <c r="K362" s="169"/>
      <c r="L362" s="189"/>
      <c r="M362" s="189"/>
      <c r="N362" s="189"/>
      <c r="O362" s="189"/>
      <c r="P362" s="189"/>
    </row>
    <row r="363" spans="1:16" ht="21.75" customHeight="1" x14ac:dyDescent="0.35">
      <c r="A363" s="183"/>
      <c r="B363" s="184"/>
      <c r="C363" s="184"/>
      <c r="D363" s="201"/>
      <c r="E363" s="202" t="s">
        <v>48</v>
      </c>
      <c r="F363" s="203"/>
      <c r="G363" s="204"/>
      <c r="H363" s="194"/>
      <c r="I363" s="195"/>
      <c r="J363" s="205">
        <f ca="1">IFERROR(__xludf.DUMMYFUNCTION("IMPORTRANGE(""https://docs.google.com/spreadsheets/d/1IYY_tgx_IHuhSq3AJ5eI5OnqOPBNLWSHKh2a30DoXe8/edit?usp=sharing"",""ตรัง!J258"")"),1)</f>
        <v>1</v>
      </c>
      <c r="K363" s="169"/>
      <c r="L363" s="189"/>
      <c r="M363" s="189"/>
      <c r="N363" s="189"/>
      <c r="O363" s="189"/>
      <c r="P363" s="189"/>
    </row>
    <row r="364" spans="1:16" ht="21.75" hidden="1" customHeight="1" x14ac:dyDescent="0.35">
      <c r="A364" s="183"/>
      <c r="B364" s="184"/>
      <c r="C364" s="184"/>
      <c r="D364" s="201"/>
      <c r="E364" s="206"/>
      <c r="F364" s="202" t="s">
        <v>70</v>
      </c>
      <c r="G364" s="204"/>
      <c r="H364" s="188"/>
      <c r="I364" s="195"/>
      <c r="J364" s="195">
        <f ca="1">IFERROR(__xludf.DUMMYFUNCTION("IMPORTRANGE(""https://docs.google.com/spreadsheets/d/1IYY_tgx_IHuhSq3AJ5eI5OnqOPBNLWSHKh2a30DoXe8/edit?usp=sharing"",""ตรัง!J166"")"),0)</f>
        <v>0</v>
      </c>
      <c r="K364" s="169"/>
      <c r="L364" s="189"/>
      <c r="M364" s="189"/>
      <c r="N364" s="189"/>
      <c r="O364" s="189"/>
      <c r="P364" s="189"/>
    </row>
    <row r="365" spans="1:16" ht="21.75" hidden="1" customHeight="1" x14ac:dyDescent="0.35">
      <c r="A365" s="183"/>
      <c r="B365" s="184"/>
      <c r="C365" s="184"/>
      <c r="D365" s="201"/>
      <c r="E365" s="206"/>
      <c r="F365" s="203"/>
      <c r="G365" s="233" t="s">
        <v>135</v>
      </c>
      <c r="H365" s="188" t="s">
        <v>37</v>
      </c>
      <c r="I365" s="195">
        <f ca="1">IFERROR(__xludf.DUMMYFUNCTION("IMPORTRANGE(""https://docs.google.com/spreadsheets/d/1C3CXT74ZlgGe6_JY_1olB1XN4rF0dxEuIIF-xsYjHgg/edit?usp=sharing"",""งบกองทุน!f63"")"),0)</f>
        <v>0</v>
      </c>
      <c r="J365" s="195">
        <f ca="1">IFERROR(__xludf.DUMMYFUNCTION("IMPORTRANGE(""https://docs.google.com/spreadsheets/d/1IYY_tgx_IHuhSq3AJ5eI5OnqOPBNLWSHKh2a30DoXe8/edit?usp=sharing"",""ตรัง!J166"")"),0)</f>
        <v>0</v>
      </c>
      <c r="K365" s="169">
        <f ca="1">IF(I365&gt;0,J365*100/I365,0)</f>
        <v>0</v>
      </c>
      <c r="L365" s="189"/>
      <c r="M365" s="189"/>
      <c r="N365" s="189"/>
      <c r="O365" s="189"/>
      <c r="P365" s="189"/>
    </row>
    <row r="366" spans="1:16" ht="21.75" hidden="1" customHeight="1" x14ac:dyDescent="0.35">
      <c r="A366" s="183"/>
      <c r="B366" s="184"/>
      <c r="C366" s="184"/>
      <c r="D366" s="201"/>
      <c r="E366" s="206"/>
      <c r="F366" s="203"/>
      <c r="G366" s="204" t="s">
        <v>136</v>
      </c>
      <c r="H366" s="188"/>
      <c r="I366" s="168"/>
      <c r="J366" s="195">
        <f ca="1">IFERROR(__xludf.DUMMYFUNCTION("IMPORTRANGE(""https://docs.google.com/spreadsheets/d/1IYY_tgx_IHuhSq3AJ5eI5OnqOPBNLWSHKh2a30DoXe8/edit?usp=sharing"",""ตรัง!J166"")"),0)</f>
        <v>0</v>
      </c>
      <c r="K366" s="169"/>
      <c r="L366" s="189"/>
      <c r="M366" s="189"/>
      <c r="N366" s="189"/>
      <c r="O366" s="189"/>
      <c r="P366" s="189"/>
    </row>
    <row r="367" spans="1:16" ht="21.75" hidden="1" customHeight="1" x14ac:dyDescent="0.35">
      <c r="A367" s="183"/>
      <c r="B367" s="184"/>
      <c r="C367" s="184"/>
      <c r="D367" s="201"/>
      <c r="E367" s="206"/>
      <c r="F367" s="203"/>
      <c r="G367" s="233" t="s">
        <v>137</v>
      </c>
      <c r="H367" s="194" t="s">
        <v>122</v>
      </c>
      <c r="I367" s="195">
        <f ca="1">SUM(I369,I371)</f>
        <v>0</v>
      </c>
      <c r="J367" s="195">
        <f ca="1">IFERROR(__xludf.DUMMYFUNCTION("IMPORTRANGE(""https://docs.google.com/spreadsheets/d/1IYY_tgx_IHuhSq3AJ5eI5OnqOPBNLWSHKh2a30DoXe8/edit?usp=sharing"",""ตรัง!J166"")"),0)</f>
        <v>0</v>
      </c>
      <c r="K367" s="169">
        <f t="shared" ref="K367:K373" ca="1" si="106">IF(I367&gt;0,J367*100/I367,0)</f>
        <v>0</v>
      </c>
      <c r="L367" s="189"/>
      <c r="M367" s="189"/>
      <c r="N367" s="189"/>
      <c r="O367" s="189"/>
      <c r="P367" s="189"/>
    </row>
    <row r="368" spans="1:16" ht="21.75" customHeight="1" x14ac:dyDescent="0.35">
      <c r="A368" s="183"/>
      <c r="B368" s="184"/>
      <c r="C368" s="184"/>
      <c r="D368" s="201"/>
      <c r="E368" s="206"/>
      <c r="F368" s="386" t="s">
        <v>138</v>
      </c>
      <c r="G368" s="387"/>
      <c r="H368" s="194" t="s">
        <v>37</v>
      </c>
      <c r="I368" s="168">
        <f ca="1">IFERROR(__xludf.DUMMYFUNCTION("IMPORTRANGE(""https://docs.google.com/spreadsheets/d/1IYY_tgx_IHuhSq3AJ5eI5OnqOPBNLWSHKh2a30DoXe8/edit?usp=sharing"",""ตรัง!I263"")"),25)</f>
        <v>25</v>
      </c>
      <c r="J368" s="195">
        <f ca="1">IFERROR(__xludf.DUMMYFUNCTION("IMPORTRANGE(""https://docs.google.com/spreadsheets/d/1IYY_tgx_IHuhSq3AJ5eI5OnqOPBNLWSHKh2a30DoXe8/edit?usp=sharing"",""ตรัง!J263"")"),25)</f>
        <v>25</v>
      </c>
      <c r="K368" s="169">
        <f t="shared" ca="1" si="106"/>
        <v>100</v>
      </c>
      <c r="L368" s="189"/>
      <c r="M368" s="189"/>
      <c r="N368" s="189"/>
      <c r="O368" s="189"/>
      <c r="P368" s="189"/>
    </row>
    <row r="369" spans="1:16" ht="21.75" hidden="1" customHeight="1" x14ac:dyDescent="0.35">
      <c r="A369" s="183"/>
      <c r="B369" s="184"/>
      <c r="C369" s="184"/>
      <c r="D369" s="201"/>
      <c r="E369" s="206"/>
      <c r="F369" s="203"/>
      <c r="G369" s="387"/>
      <c r="H369" s="188" t="s">
        <v>122</v>
      </c>
      <c r="I369" s="168">
        <f ca="1">IFERROR(__xludf.DUMMYFUNCTION("IMPORTRANGE(""https://docs.google.com/spreadsheets/d/1IYY_tgx_IHuhSq3AJ5eI5OnqOPBNLWSHKh2a30DoXe8/edit?usp=sharing"",""ตรัง!I164"")"),0)</f>
        <v>0</v>
      </c>
      <c r="J369" s="211">
        <f ca="1">IFERROR(__xludf.DUMMYFUNCTION("IMPORTRANGE(""https://docs.google.com/spreadsheets/d/1IYY_tgx_IHuhSq3AJ5eI5OnqOPBNLWSHKh2a30DoXe8/edit?usp=sharing"",""ตรัง!J164"")"),0)</f>
        <v>0</v>
      </c>
      <c r="K369" s="169">
        <f t="shared" ca="1" si="106"/>
        <v>0</v>
      </c>
      <c r="L369" s="189"/>
      <c r="M369" s="189"/>
      <c r="N369" s="189"/>
      <c r="O369" s="189"/>
      <c r="P369" s="189"/>
    </row>
    <row r="370" spans="1:16" ht="21.75" customHeight="1" x14ac:dyDescent="0.35">
      <c r="A370" s="183"/>
      <c r="B370" s="184"/>
      <c r="C370" s="184"/>
      <c r="D370" s="201"/>
      <c r="E370" s="206"/>
      <c r="F370" s="203"/>
      <c r="G370" s="386" t="s">
        <v>139</v>
      </c>
      <c r="H370" s="188" t="s">
        <v>37</v>
      </c>
      <c r="I370" s="168">
        <f ca="1">IFERROR(__xludf.DUMMYFUNCTION("IMPORTRANGE(""https://docs.google.com/spreadsheets/d/1IYY_tgx_IHuhSq3AJ5eI5OnqOPBNLWSHKh2a30DoXe8/edit?usp=sharing"",""ตรัง!I265"")"),25)</f>
        <v>25</v>
      </c>
      <c r="J370" s="211">
        <f ca="1">IFERROR(__xludf.DUMMYFUNCTION("IMPORTRANGE(""https://docs.google.com/spreadsheets/d/1IYY_tgx_IHuhSq3AJ5eI5OnqOPBNLWSHKh2a30DoXe8/edit?usp=sharing"",""ตรัง!J265"")"),25)</f>
        <v>25</v>
      </c>
      <c r="K370" s="169">
        <f t="shared" ca="1" si="106"/>
        <v>100</v>
      </c>
      <c r="L370" s="189"/>
      <c r="M370" s="189"/>
      <c r="N370" s="189"/>
      <c r="O370" s="189"/>
      <c r="P370" s="189"/>
    </row>
    <row r="371" spans="1:16" ht="21.75" hidden="1" customHeight="1" x14ac:dyDescent="0.35">
      <c r="A371" s="183"/>
      <c r="B371" s="184"/>
      <c r="C371" s="184"/>
      <c r="D371" s="201"/>
      <c r="E371" s="206"/>
      <c r="F371" s="203"/>
      <c r="G371" s="387"/>
      <c r="H371" s="188" t="s">
        <v>122</v>
      </c>
      <c r="I371" s="168">
        <f ca="1">IFERROR(__xludf.DUMMYFUNCTION("IMPORTRANGE(""https://docs.google.com/spreadsheets/d/1IYY_tgx_IHuhSq3AJ5eI5OnqOPBNLWSHKh2a30DoXe8/edit?usp=sharing"",""ตรัง!I164"")"),0)</f>
        <v>0</v>
      </c>
      <c r="J371" s="196">
        <f ca="1">IFERROR(__xludf.DUMMYFUNCTION("IMPORTRANGE(""https://docs.google.com/spreadsheets/d/1IYY_tgx_IHuhSq3AJ5eI5OnqOPBNLWSHKh2a30DoXe8/edit?usp=sharing"",""ตรัง!J164"")"),0)</f>
        <v>0</v>
      </c>
      <c r="K371" s="169">
        <f t="shared" ca="1" si="106"/>
        <v>0</v>
      </c>
      <c r="L371" s="189"/>
      <c r="M371" s="189"/>
      <c r="N371" s="189"/>
      <c r="O371" s="189"/>
      <c r="P371" s="189"/>
    </row>
    <row r="372" spans="1:16" ht="21.75" customHeight="1" x14ac:dyDescent="0.35">
      <c r="A372" s="183"/>
      <c r="B372" s="184"/>
      <c r="C372" s="184"/>
      <c r="D372" s="201"/>
      <c r="E372" s="206"/>
      <c r="F372" s="203"/>
      <c r="G372" s="386" t="s">
        <v>140</v>
      </c>
      <c r="H372" s="188" t="s">
        <v>37</v>
      </c>
      <c r="I372" s="168">
        <f ca="1">IFERROR(__xludf.DUMMYFUNCTION("IMPORTRANGE(""https://docs.google.com/spreadsheets/d/1IYY_tgx_IHuhSq3AJ5eI5OnqOPBNLWSHKh2a30DoXe8/edit?usp=sharing"",""ตรัง!I267"")"),25)</f>
        <v>25</v>
      </c>
      <c r="J372" s="196">
        <f ca="1">IFERROR(__xludf.DUMMYFUNCTION("IMPORTRANGE(""https://docs.google.com/spreadsheets/d/1IYY_tgx_IHuhSq3AJ5eI5OnqOPBNLWSHKh2a30DoXe8/edit?usp=sharing"",""ตรัง!J267"")"),25)</f>
        <v>25</v>
      </c>
      <c r="K372" s="169">
        <f t="shared" ca="1" si="106"/>
        <v>100</v>
      </c>
      <c r="L372" s="189"/>
      <c r="M372" s="189"/>
      <c r="N372" s="189"/>
      <c r="O372" s="189"/>
      <c r="P372" s="189"/>
    </row>
    <row r="373" spans="1:16" ht="21.75" hidden="1" customHeight="1" x14ac:dyDescent="0.35">
      <c r="A373" s="183"/>
      <c r="B373" s="184"/>
      <c r="C373" s="184"/>
      <c r="D373" s="201"/>
      <c r="E373" s="206"/>
      <c r="F373" s="203"/>
      <c r="G373" s="233" t="s">
        <v>141</v>
      </c>
      <c r="H373" s="188" t="s">
        <v>37</v>
      </c>
      <c r="I373" s="195">
        <f ca="1">IFERROR(__xludf.DUMMYFUNCTION("IMPORTRANGE(""https://docs.google.com/spreadsheets/d/1IYY_tgx_IHuhSq3AJ5eI5OnqOPBNLWSHKh2a30DoXe8/edit?usp=sharing"",""ตรัง!I164"")"),0)</f>
        <v>0</v>
      </c>
      <c r="J373" s="211">
        <f ca="1">IFERROR(__xludf.DUMMYFUNCTION("IMPORTRANGE(""https://docs.google.com/spreadsheets/d/1IYY_tgx_IHuhSq3AJ5eI5OnqOPBNLWSHKh2a30DoXe8/edit?usp=sharing"",""ตรัง!J164"")"),0)</f>
        <v>0</v>
      </c>
      <c r="K373" s="169">
        <f t="shared" ca="1" si="106"/>
        <v>0</v>
      </c>
      <c r="L373" s="189"/>
      <c r="M373" s="189"/>
      <c r="N373" s="189"/>
      <c r="O373" s="189"/>
      <c r="P373" s="189"/>
    </row>
    <row r="374" spans="1:16" ht="21.75" hidden="1" customHeight="1" x14ac:dyDescent="0.35">
      <c r="A374" s="183"/>
      <c r="B374" s="184"/>
      <c r="C374" s="184"/>
      <c r="D374" s="201"/>
      <c r="E374" s="206"/>
      <c r="F374" s="203"/>
      <c r="G374" s="204" t="s">
        <v>142</v>
      </c>
      <c r="H374" s="188"/>
      <c r="I374" s="195">
        <f ca="1">IFERROR(__xludf.DUMMYFUNCTION("IMPORTRANGE(""https://docs.google.com/spreadsheets/d/1IYY_tgx_IHuhSq3AJ5eI5OnqOPBNLWSHKh2a30DoXe8/edit?usp=sharing"",""ตรัง!I164"")"),0)</f>
        <v>0</v>
      </c>
      <c r="J374" s="195">
        <f ca="1">IFERROR(__xludf.DUMMYFUNCTION("IMPORTRANGE(""https://docs.google.com/spreadsheets/d/1IYY_tgx_IHuhSq3AJ5eI5OnqOPBNLWSHKh2a30DoXe8/edit?usp=sharing"",""ตรัง!J164"")"),0)</f>
        <v>0</v>
      </c>
      <c r="K374" s="169"/>
      <c r="L374" s="189"/>
      <c r="M374" s="189"/>
      <c r="N374" s="189"/>
      <c r="O374" s="189"/>
      <c r="P374" s="189"/>
    </row>
    <row r="375" spans="1:16" ht="21.75" customHeight="1" x14ac:dyDescent="0.35">
      <c r="A375" s="183"/>
      <c r="B375" s="184"/>
      <c r="C375" s="184"/>
      <c r="D375" s="201"/>
      <c r="E375" s="203"/>
      <c r="F375" s="212" t="s">
        <v>53</v>
      </c>
      <c r="G375" s="204"/>
      <c r="H375" s="286" t="s">
        <v>122</v>
      </c>
      <c r="I375" s="195">
        <f ca="1">IFERROR(__xludf.DUMMYFUNCTION("IMPORTRANGE(""https://docs.google.com/spreadsheets/d/1IYY_tgx_IHuhSq3AJ5eI5OnqOPBNLWSHKh2a30DoXe8/edit?usp=sharing"",""ตรัง!I270"")"),70)</f>
        <v>70</v>
      </c>
      <c r="J375" s="195">
        <f ca="1">IFERROR(__xludf.DUMMYFUNCTION("IMPORTRANGE(""https://docs.google.com/spreadsheets/d/1IYY_tgx_IHuhSq3AJ5eI5OnqOPBNLWSHKh2a30DoXe8/edit?usp=sharing"",""ตรัง!J270"")"),0)</f>
        <v>0</v>
      </c>
      <c r="K375" s="169">
        <f t="shared" ref="K375:K377" ca="1" si="107">IF(I375&gt;0,J375*100/I375,0)</f>
        <v>0</v>
      </c>
      <c r="L375" s="189"/>
      <c r="M375" s="189"/>
      <c r="N375" s="189"/>
      <c r="O375" s="189"/>
      <c r="P375" s="189"/>
    </row>
    <row r="376" spans="1:16" ht="21.75" customHeight="1" x14ac:dyDescent="0.35">
      <c r="A376" s="183"/>
      <c r="B376" s="184"/>
      <c r="C376" s="184"/>
      <c r="D376" s="201"/>
      <c r="E376" s="203"/>
      <c r="F376" s="203"/>
      <c r="G376" s="287" t="s">
        <v>143</v>
      </c>
      <c r="H376" s="286" t="s">
        <v>122</v>
      </c>
      <c r="I376" s="195">
        <f ca="1">IFERROR(__xludf.DUMMYFUNCTION("IMPORTRANGE(""https://docs.google.com/spreadsheets/d/1IYY_tgx_IHuhSq3AJ5eI5OnqOPBNLWSHKh2a30DoXe8/edit?usp=sharing"",""ตรัง!I271"")"),0)</f>
        <v>0</v>
      </c>
      <c r="J376" s="196">
        <f ca="1">IFERROR(__xludf.DUMMYFUNCTION("IMPORTRANGE(""https://docs.google.com/spreadsheets/d/1IYY_tgx_IHuhSq3AJ5eI5OnqOPBNLWSHKh2a30DoXe8/edit?usp=sharing"",""ตรัง!J271"")"),0)</f>
        <v>0</v>
      </c>
      <c r="K376" s="169">
        <f t="shared" ca="1" si="107"/>
        <v>0</v>
      </c>
      <c r="L376" s="189"/>
      <c r="M376" s="189"/>
      <c r="N376" s="189"/>
      <c r="O376" s="189"/>
      <c r="P376" s="189"/>
    </row>
    <row r="377" spans="1:16" ht="21.75" customHeight="1" x14ac:dyDescent="0.35">
      <c r="A377" s="183"/>
      <c r="B377" s="184"/>
      <c r="C377" s="184"/>
      <c r="D377" s="201"/>
      <c r="E377" s="203"/>
      <c r="F377" s="203"/>
      <c r="G377" s="287" t="s">
        <v>144</v>
      </c>
      <c r="H377" s="286" t="s">
        <v>122</v>
      </c>
      <c r="I377" s="195">
        <f ca="1">IFERROR(__xludf.DUMMYFUNCTION("IMPORTRANGE(""https://docs.google.com/spreadsheets/d/1IYY_tgx_IHuhSq3AJ5eI5OnqOPBNLWSHKh2a30DoXe8/edit?usp=sharing"",""ตรัง!I272"")"),70)</f>
        <v>70</v>
      </c>
      <c r="J377" s="211">
        <f ca="1">IFERROR(__xludf.DUMMYFUNCTION("IMPORTRANGE(""https://docs.google.com/spreadsheets/d/1IYY_tgx_IHuhSq3AJ5eI5OnqOPBNLWSHKh2a30DoXe8/edit?usp=sharing"",""ตรัง!J272"")"),0)</f>
        <v>0</v>
      </c>
      <c r="K377" s="169">
        <f t="shared" ca="1" si="107"/>
        <v>0</v>
      </c>
      <c r="L377" s="189"/>
      <c r="M377" s="189"/>
      <c r="N377" s="189"/>
      <c r="O377" s="189"/>
      <c r="P377" s="189"/>
    </row>
    <row r="378" spans="1:16" ht="21.75" customHeight="1" x14ac:dyDescent="0.35">
      <c r="A378" s="183"/>
      <c r="B378" s="184"/>
      <c r="C378" s="184"/>
      <c r="D378" s="201"/>
      <c r="E378" s="202" t="s">
        <v>54</v>
      </c>
      <c r="F378" s="203"/>
      <c r="G378" s="204"/>
      <c r="H378" s="194"/>
      <c r="I378" s="195"/>
      <c r="J378" s="205">
        <f ca="1">IFERROR(__xludf.DUMMYFUNCTION("IMPORTRANGE(""https://docs.google.com/spreadsheets/d/1IYY_tgx_IHuhSq3AJ5eI5OnqOPBNLWSHKh2a30DoXe8/edit?usp=sharing"",""ตรัง!J273"")"),0)</f>
        <v>0</v>
      </c>
      <c r="K378" s="169"/>
      <c r="L378" s="189"/>
      <c r="M378" s="189"/>
      <c r="N378" s="189"/>
      <c r="O378" s="189"/>
      <c r="P378" s="189"/>
    </row>
    <row r="379" spans="1:16" ht="21.75" customHeight="1" x14ac:dyDescent="0.35">
      <c r="A379" s="183"/>
      <c r="B379" s="184"/>
      <c r="C379" s="184"/>
      <c r="D379" s="213">
        <v>3</v>
      </c>
      <c r="E379" s="214" t="s">
        <v>55</v>
      </c>
      <c r="F379" s="215"/>
      <c r="G379" s="216"/>
      <c r="H379" s="194"/>
      <c r="I379" s="195"/>
      <c r="J379" s="217">
        <f ca="1">IFERROR(__xludf.DUMMYFUNCTION("IMPORTRANGE(""https://docs.google.com/spreadsheets/d/1IYY_tgx_IHuhSq3AJ5eI5OnqOPBNLWSHKh2a30DoXe8/edit?usp=sharing"",""ตรัง!J274"")"),0)</f>
        <v>0</v>
      </c>
      <c r="K379" s="169"/>
      <c r="L379" s="189"/>
      <c r="M379" s="189"/>
      <c r="N379" s="189"/>
      <c r="O379" s="189"/>
      <c r="P379" s="189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IFERROR(__xludf.DUMMYFUNCTION("IMPORTRANGE(""https://docs.google.com/spreadsheets/d/1IYY_tgx_IHuhSq3AJ5eI5OnqOPBNLWSHKh2a30DoXe8/edit?usp=sharing"",""ตรัง!I275"")"),300)</f>
        <v>300</v>
      </c>
      <c r="J380" s="377">
        <f ca="1">IFERROR(__xludf.DUMMYFUNCTION("IMPORTRANGE(""https://docs.google.com/spreadsheets/d/1IYY_tgx_IHuhSq3AJ5eI5OnqOPBNLWSHKh2a30DoXe8/edit?usp=sharing"",""ตรัง!J275"")"),0)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IFERROR(__xludf.DUMMYFUNCTION("IMPORTRANGE(""https://docs.google.com/spreadsheets/d/1IYY_tgx_IHuhSq3AJ5eI5OnqOPBNLWSHKh2a30DoXe8/edit?usp=sharing"",""ตรัง!L275"")"),293900)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IFERROR(__xludf.DUMMYFUNCTION("IMPORTRANGE(""https://docs.google.com/spreadsheets/d/1IYY_tgx_IHuhSq3AJ5eI5OnqOPBNLWSHKh2a30DoXe8/edit?usp=sharing"",""ตรัง!M275"")"),0)</f>
        <v>0</v>
      </c>
      <c r="O380" s="379">
        <f ca="1">+IF(L380&gt;0,N380*100/L380,0)</f>
        <v>0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IFERROR(__xludf.DUMMYFUNCTION("IMPORTRANGE(""https://docs.google.com/spreadsheets/d/1IYY_tgx_IHuhSq3AJ5eI5OnqOPBNLWSHKh2a30DoXe8/edit?usp=sharing"",""ตรัง!I276"")"),30)</f>
        <v>30</v>
      </c>
      <c r="J381" s="377">
        <f ca="1">IFERROR(__xludf.DUMMYFUNCTION("IMPORTRANGE(""https://docs.google.com/spreadsheets/d/1IYY_tgx_IHuhSq3AJ5eI5OnqOPBNLWSHKh2a30DoXe8/edit?usp=sharing"",""ตรัง!J276"")"),30)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164" t="s">
        <v>38</v>
      </c>
      <c r="E382" s="165"/>
      <c r="F382" s="165"/>
      <c r="G382" s="166" t="s">
        <v>39</v>
      </c>
      <c r="H382" s="167" t="s">
        <v>12</v>
      </c>
      <c r="I382" s="168" t="s">
        <v>40</v>
      </c>
      <c r="J382" s="168"/>
      <c r="K382" s="169"/>
      <c r="L382" s="170">
        <f ca="1">IFERROR(__xludf.DUMMYFUNCTION("IMPORTRANGE(""https://docs.google.com/spreadsheets/d/1IYY_tgx_IHuhSq3AJ5eI5OnqOPBNLWSHKh2a30DoXe8/edit?usp=sharing"",""ตรัง!L277"")"),0)</f>
        <v>0</v>
      </c>
      <c r="M382" s="170"/>
      <c r="N382" s="170">
        <f ca="1">IFERROR(__xludf.DUMMYFUNCTION("IMPORTRANGE(""https://docs.google.com/spreadsheets/d/1IYY_tgx_IHuhSq3AJ5eI5OnqOPBNLWSHKh2a30DoXe8/edit?usp=sharing"",""ตรัง!M277"")"),0)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 x14ac:dyDescent="0.35">
      <c r="A383" s="162"/>
      <c r="B383" s="163"/>
      <c r="C383" s="163"/>
      <c r="D383" s="172"/>
      <c r="E383" s="165"/>
      <c r="F383" s="165" t="s">
        <v>40</v>
      </c>
      <c r="G383" s="166" t="s">
        <v>41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IFERROR(__xludf.DUMMYFUNCTION("IMPORTRANGE(""https://docs.google.com/spreadsheets/d/1IYY_tgx_IHuhSq3AJ5eI5OnqOPBNLWSHKh2a30DoXe8/edit?usp=sharing"",""ตรัง!L278"")"),293900)</f>
        <v>293900</v>
      </c>
      <c r="M383" s="171"/>
      <c r="N383" s="171">
        <f ca="1">IFERROR(__xludf.DUMMYFUNCTION("IMPORTRANGE(""https://docs.google.com/spreadsheets/d/1IYY_tgx_IHuhSq3AJ5eI5OnqOPBNLWSHKh2a30DoXe8/edit?usp=sharing"",""ตรัง!M278"")"),0)</f>
        <v>0</v>
      </c>
      <c r="O383" s="171">
        <f t="shared" ca="1" si="109"/>
        <v>0</v>
      </c>
      <c r="P383" s="171"/>
    </row>
    <row r="384" spans="1:16" ht="21.75" customHeight="1" x14ac:dyDescent="0.35">
      <c r="A384" s="162"/>
      <c r="B384" s="163"/>
      <c r="C384" s="163"/>
      <c r="D384" s="172"/>
      <c r="E384" s="165"/>
      <c r="F384" s="165"/>
      <c r="G384" s="380" t="s">
        <v>129</v>
      </c>
      <c r="H384" s="167" t="s">
        <v>12</v>
      </c>
      <c r="I384" s="168"/>
      <c r="J384" s="168"/>
      <c r="K384" s="169"/>
      <c r="L384" s="176">
        <f ca="1">IFERROR(__xludf.DUMMYFUNCTION("IMPORTRANGE(""https://docs.google.com/spreadsheets/d/1IYY_tgx_IHuhSq3AJ5eI5OnqOPBNLWSHKh2a30DoXe8/edit?usp=sharing"",""ตรัง!L279"")"),0)</f>
        <v>0</v>
      </c>
      <c r="M384" s="176"/>
      <c r="N384" s="176">
        <f ca="1">IFERROR(__xludf.DUMMYFUNCTION("IMPORTRANGE(""https://docs.google.com/spreadsheets/d/1IYY_tgx_IHuhSq3AJ5eI5OnqOPBNLWSHKh2a30DoXe8/edit?usp=sharing"",""ตรัง!M279"")"),0)</f>
        <v>0</v>
      </c>
      <c r="O384" s="176">
        <f t="shared" ca="1" si="109"/>
        <v>0</v>
      </c>
      <c r="P384" s="176"/>
    </row>
    <row r="385" spans="1:16" ht="21.75" customHeight="1" x14ac:dyDescent="0.35">
      <c r="A385" s="162"/>
      <c r="B385" s="163"/>
      <c r="C385" s="163"/>
      <c r="D385" s="172"/>
      <c r="E385" s="165"/>
      <c r="F385" s="165"/>
      <c r="G385" s="380" t="s">
        <v>130</v>
      </c>
      <c r="H385" s="167" t="s">
        <v>12</v>
      </c>
      <c r="I385" s="168"/>
      <c r="J385" s="168"/>
      <c r="K385" s="169"/>
      <c r="L385" s="176">
        <f ca="1">IFERROR(__xludf.DUMMYFUNCTION("IMPORTRANGE(""https://docs.google.com/spreadsheets/d/1IYY_tgx_IHuhSq3AJ5eI5OnqOPBNLWSHKh2a30DoXe8/edit?usp=sharing"",""ตรัง!L280"")"),293900)</f>
        <v>293900</v>
      </c>
      <c r="M385" s="176"/>
      <c r="N385" s="173">
        <f ca="1">IFERROR(__xludf.DUMMYFUNCTION("IMPORTRANGE(""https://docs.google.com/spreadsheets/d/1IYY_tgx_IHuhSq3AJ5eI5OnqOPBNLWSHKh2a30DoXe8/edit?usp=sharing"",""ตรัง!M280"")"),0)</f>
        <v>0</v>
      </c>
      <c r="O385" s="176">
        <f t="shared" ca="1" si="109"/>
        <v>0</v>
      </c>
      <c r="P385" s="176"/>
    </row>
    <row r="386" spans="1:16" ht="21.75" customHeight="1" x14ac:dyDescent="0.35">
      <c r="A386" s="381"/>
      <c r="B386" s="382"/>
      <c r="C386" s="163"/>
      <c r="D386" s="383"/>
      <c r="E386" s="165"/>
      <c r="F386" s="165"/>
      <c r="G386" s="384" t="s">
        <v>131</v>
      </c>
      <c r="H386" s="167" t="s">
        <v>12</v>
      </c>
      <c r="I386" s="195"/>
      <c r="J386" s="195"/>
      <c r="K386" s="231"/>
      <c r="L386" s="176"/>
      <c r="M386" s="176"/>
      <c r="N386" s="385">
        <f ca="1">IFERROR(__xludf.DUMMYFUNCTION("IMPORTRANGE(""https://docs.google.com/spreadsheets/d/1IYY_tgx_IHuhSq3AJ5eI5OnqOPBNLWSHKh2a30DoXe8/edit?usp=sharing"",""ตรัง!M281"")"),0)</f>
        <v>0</v>
      </c>
      <c r="O386" s="176"/>
      <c r="P386" s="176"/>
    </row>
    <row r="387" spans="1:16" ht="21.75" customHeight="1" x14ac:dyDescent="0.35">
      <c r="A387" s="381"/>
      <c r="B387" s="382"/>
      <c r="C387" s="163"/>
      <c r="D387" s="383"/>
      <c r="E387" s="165"/>
      <c r="F387" s="165"/>
      <c r="G387" s="384" t="s">
        <v>132</v>
      </c>
      <c r="H387" s="167" t="s">
        <v>12</v>
      </c>
      <c r="I387" s="195"/>
      <c r="J387" s="195"/>
      <c r="K387" s="231"/>
      <c r="L387" s="176"/>
      <c r="M387" s="176"/>
      <c r="N387" s="385">
        <f ca="1">IFERROR(__xludf.DUMMYFUNCTION("IMPORTRANGE(""https://docs.google.com/spreadsheets/d/1IYY_tgx_IHuhSq3AJ5eI5OnqOPBNLWSHKh2a30DoXe8/edit?usp=sharing"",""ตรัง!M282"")"),0)</f>
        <v>0</v>
      </c>
      <c r="O387" s="176"/>
      <c r="P387" s="176"/>
    </row>
    <row r="388" spans="1:16" ht="21.75" customHeight="1" x14ac:dyDescent="0.35">
      <c r="A388" s="381"/>
      <c r="B388" s="382"/>
      <c r="C388" s="163"/>
      <c r="D388" s="383"/>
      <c r="E388" s="165"/>
      <c r="F388" s="165"/>
      <c r="G388" s="384" t="s">
        <v>133</v>
      </c>
      <c r="H388" s="167" t="s">
        <v>12</v>
      </c>
      <c r="I388" s="195"/>
      <c r="J388" s="195"/>
      <c r="K388" s="231"/>
      <c r="L388" s="176"/>
      <c r="M388" s="176"/>
      <c r="N388" s="385">
        <f ca="1">IFERROR(__xludf.DUMMYFUNCTION("IMPORTRANGE(""https://docs.google.com/spreadsheets/d/1IYY_tgx_IHuhSq3AJ5eI5OnqOPBNLWSHKh2a30DoXe8/edit?usp=sharing"",""ตรัง!M283"")"),0)</f>
        <v>0</v>
      </c>
      <c r="O388" s="176"/>
      <c r="P388" s="176"/>
    </row>
    <row r="389" spans="1:16" ht="21.75" customHeight="1" x14ac:dyDescent="0.35">
      <c r="A389" s="381"/>
      <c r="B389" s="382"/>
      <c r="C389" s="163"/>
      <c r="D389" s="383"/>
      <c r="E389" s="165"/>
      <c r="F389" s="165"/>
      <c r="G389" s="384" t="s">
        <v>134</v>
      </c>
      <c r="H389" s="167" t="s">
        <v>12</v>
      </c>
      <c r="I389" s="195"/>
      <c r="J389" s="195"/>
      <c r="K389" s="231"/>
      <c r="L389" s="176"/>
      <c r="M389" s="176"/>
      <c r="N389" s="385">
        <f ca="1">IFERROR(__xludf.DUMMYFUNCTION("IMPORTRANGE(""https://docs.google.com/spreadsheets/d/1IYY_tgx_IHuhSq3AJ5eI5OnqOPBNLWSHKh2a30DoXe8/edit?usp=sharing"",""ตรัง!M284"")"),0)</f>
        <v>0</v>
      </c>
      <c r="O389" s="176"/>
      <c r="P389" s="176"/>
    </row>
    <row r="390" spans="1:16" ht="21.75" customHeight="1" x14ac:dyDescent="0.35">
      <c r="A390" s="183"/>
      <c r="B390" s="184"/>
      <c r="C390" s="163" t="s">
        <v>16</v>
      </c>
      <c r="D390" s="185" t="s">
        <v>44</v>
      </c>
      <c r="E390" s="186"/>
      <c r="F390" s="186"/>
      <c r="G390" s="187"/>
      <c r="H390" s="188"/>
      <c r="I390" s="168"/>
      <c r="J390" s="168"/>
      <c r="K390" s="169"/>
      <c r="L390" s="189"/>
      <c r="M390" s="189"/>
      <c r="N390" s="189"/>
      <c r="O390" s="189"/>
      <c r="P390" s="189"/>
    </row>
    <row r="391" spans="1:16" ht="21.75" customHeight="1" x14ac:dyDescent="0.35">
      <c r="A391" s="183"/>
      <c r="B391" s="184"/>
      <c r="C391" s="184"/>
      <c r="D391" s="190">
        <v>1</v>
      </c>
      <c r="E391" s="191" t="s">
        <v>45</v>
      </c>
      <c r="F391" s="192"/>
      <c r="G391" s="193"/>
      <c r="H391" s="194"/>
      <c r="I391" s="195"/>
      <c r="J391" s="205">
        <f ca="1">IFERROR(__xludf.DUMMYFUNCTION("IMPORTRANGE(""https://docs.google.com/spreadsheets/d/1IYY_tgx_IHuhSq3AJ5eI5OnqOPBNLWSHKh2a30DoXe8/edit?usp=sharing"",""ตรัง!J286"")"),0)</f>
        <v>0</v>
      </c>
      <c r="K391" s="169"/>
      <c r="L391" s="189"/>
      <c r="M391" s="189"/>
      <c r="N391" s="189"/>
      <c r="O391" s="189"/>
      <c r="P391" s="189"/>
    </row>
    <row r="392" spans="1:16" ht="21.75" customHeight="1" x14ac:dyDescent="0.35">
      <c r="A392" s="183"/>
      <c r="B392" s="184"/>
      <c r="C392" s="184"/>
      <c r="D392" s="197">
        <v>2</v>
      </c>
      <c r="E392" s="198" t="s">
        <v>46</v>
      </c>
      <c r="F392" s="199"/>
      <c r="G392" s="200"/>
      <c r="H392" s="194"/>
      <c r="I392" s="195"/>
      <c r="J392" s="196">
        <f ca="1">IFERROR(__xludf.DUMMYFUNCTION("IMPORTRANGE(""https://docs.google.com/spreadsheets/d/1IYY_tgx_IHuhSq3AJ5eI5OnqOPBNLWSHKh2a30DoXe8/edit?usp=sharing"",""ตรัง!J287"")"),1)</f>
        <v>1</v>
      </c>
      <c r="K392" s="169"/>
      <c r="L392" s="189" t="s">
        <v>40</v>
      </c>
      <c r="M392" s="189"/>
      <c r="N392" s="189" t="s">
        <v>40</v>
      </c>
      <c r="O392" s="189"/>
      <c r="P392" s="189"/>
    </row>
    <row r="393" spans="1:16" ht="21.75" customHeight="1" x14ac:dyDescent="0.35">
      <c r="A393" s="183"/>
      <c r="B393" s="184"/>
      <c r="C393" s="184"/>
      <c r="D393" s="201"/>
      <c r="E393" s="202" t="s">
        <v>47</v>
      </c>
      <c r="F393" s="203"/>
      <c r="G393" s="204"/>
      <c r="H393" s="194"/>
      <c r="I393" s="195"/>
      <c r="J393" s="196">
        <f ca="1">IFERROR(__xludf.DUMMYFUNCTION("IMPORTRANGE(""https://docs.google.com/spreadsheets/d/1IYY_tgx_IHuhSq3AJ5eI5OnqOPBNLWSHKh2a30DoXe8/edit?usp=sharing"",""ตรัง!J288"")"),1)</f>
        <v>1</v>
      </c>
      <c r="K393" s="169"/>
      <c r="L393" s="189"/>
      <c r="M393" s="189"/>
      <c r="N393" s="189"/>
      <c r="O393" s="189"/>
      <c r="P393" s="189"/>
    </row>
    <row r="394" spans="1:16" ht="21.75" customHeight="1" x14ac:dyDescent="0.35">
      <c r="A394" s="183"/>
      <c r="B394" s="184"/>
      <c r="C394" s="184"/>
      <c r="D394" s="201"/>
      <c r="E394" s="202" t="s">
        <v>48</v>
      </c>
      <c r="F394" s="203"/>
      <c r="G394" s="204"/>
      <c r="H394" s="194"/>
      <c r="I394" s="195"/>
      <c r="J394" s="205">
        <f ca="1">IFERROR(__xludf.DUMMYFUNCTION("IMPORTRANGE(""https://docs.google.com/spreadsheets/d/1IYY_tgx_IHuhSq3AJ5eI5OnqOPBNLWSHKh2a30DoXe8/edit?usp=sharing"",""ตรัง!J289"")"),1)</f>
        <v>1</v>
      </c>
      <c r="K394" s="169"/>
      <c r="L394" s="189"/>
      <c r="M394" s="189"/>
      <c r="N394" s="189"/>
      <c r="O394" s="189"/>
      <c r="P394" s="189"/>
    </row>
    <row r="395" spans="1:16" ht="21.75" customHeight="1" x14ac:dyDescent="0.35">
      <c r="A395" s="183"/>
      <c r="B395" s="184"/>
      <c r="C395" s="184"/>
      <c r="D395" s="201"/>
      <c r="E395" s="206"/>
      <c r="F395" s="202" t="s">
        <v>146</v>
      </c>
      <c r="G395" s="203"/>
      <c r="H395" s="194"/>
      <c r="I395" s="195"/>
      <c r="J395" s="195"/>
      <c r="K395" s="169"/>
      <c r="L395" s="189"/>
      <c r="M395" s="189"/>
      <c r="N395" s="189"/>
      <c r="O395" s="189"/>
      <c r="P395" s="189"/>
    </row>
    <row r="396" spans="1:16" ht="21.75" customHeight="1" x14ac:dyDescent="0.35">
      <c r="A396" s="183"/>
      <c r="B396" s="184"/>
      <c r="C396" s="184"/>
      <c r="D396" s="201"/>
      <c r="E396" s="206"/>
      <c r="F396" s="203"/>
      <c r="G396" s="299" t="s">
        <v>70</v>
      </c>
      <c r="H396" s="194" t="s">
        <v>37</v>
      </c>
      <c r="I396" s="195">
        <f ca="1">IFERROR(__xludf.DUMMYFUNCTION("IMPORTRANGE(""https://docs.google.com/spreadsheets/d/1IYY_tgx_IHuhSq3AJ5eI5OnqOPBNLWSHKh2a30DoXe8/edit?usp=sharing"",""ตรัง!I291"")"),30)</f>
        <v>30</v>
      </c>
      <c r="J396" s="205">
        <f ca="1">IFERROR(__xludf.DUMMYFUNCTION("IMPORTRANGE(""https://docs.google.com/spreadsheets/d/1IYY_tgx_IHuhSq3AJ5eI5OnqOPBNLWSHKh2a30DoXe8/edit?usp=sharing"",""ตรัง!J291"")"),30)</f>
        <v>30</v>
      </c>
      <c r="K396" s="169">
        <f t="shared" ref="K396:K398" ca="1" si="110">IF(I396&gt;0,J396*100/I396,0)</f>
        <v>100</v>
      </c>
      <c r="L396" s="189"/>
      <c r="M396" s="189"/>
      <c r="N396" s="189"/>
      <c r="O396" s="189"/>
      <c r="P396" s="189"/>
    </row>
    <row r="397" spans="1:16" ht="21.75" customHeight="1" x14ac:dyDescent="0.35">
      <c r="A397" s="183"/>
      <c r="B397" s="184"/>
      <c r="C397" s="184"/>
      <c r="D397" s="201"/>
      <c r="E397" s="206"/>
      <c r="F397" s="203"/>
      <c r="G397" s="204" t="s">
        <v>53</v>
      </c>
      <c r="H397" s="194" t="s">
        <v>122</v>
      </c>
      <c r="I397" s="195">
        <f ca="1">IFERROR(__xludf.DUMMYFUNCTION("IMPORTRANGE(""https://docs.google.com/spreadsheets/d/1IYY_tgx_IHuhSq3AJ5eI5OnqOPBNLWSHKh2a30DoXe8/edit?usp=sharing"",""ตรัง!I292"")"),300)</f>
        <v>300</v>
      </c>
      <c r="J397" s="205">
        <f ca="1">IFERROR(__xludf.DUMMYFUNCTION("IMPORTRANGE(""https://docs.google.com/spreadsheets/d/1IYY_tgx_IHuhSq3AJ5eI5OnqOPBNLWSHKh2a30DoXe8/edit?usp=sharing"",""ตรัง!J292"")"),0)</f>
        <v>0</v>
      </c>
      <c r="K397" s="169">
        <f t="shared" ca="1" si="110"/>
        <v>0</v>
      </c>
      <c r="L397" s="189"/>
      <c r="M397" s="189"/>
      <c r="N397" s="189"/>
      <c r="O397" s="189"/>
      <c r="P397" s="189"/>
    </row>
    <row r="398" spans="1:16" ht="21.75" customHeight="1" x14ac:dyDescent="0.35">
      <c r="A398" s="183"/>
      <c r="B398" s="184"/>
      <c r="C398" s="184"/>
      <c r="D398" s="201"/>
      <c r="E398" s="206"/>
      <c r="F398" s="203"/>
      <c r="G398" s="204"/>
      <c r="H398" s="194" t="s">
        <v>37</v>
      </c>
      <c r="I398" s="195">
        <f ca="1">IFERROR(__xludf.DUMMYFUNCTION("IMPORTRANGE(""https://docs.google.com/spreadsheets/d/1IYY_tgx_IHuhSq3AJ5eI5OnqOPBNLWSHKh2a30DoXe8/edit?usp=sharing"",""ตรัง!I293"")"),30)</f>
        <v>30</v>
      </c>
      <c r="J398" s="205">
        <f ca="1">IFERROR(__xludf.DUMMYFUNCTION("IMPORTRANGE(""https://docs.google.com/spreadsheets/d/1IYY_tgx_IHuhSq3AJ5eI5OnqOPBNLWSHKh2a30DoXe8/edit?usp=sharing"",""ตรัง!J293"")"),0)</f>
        <v>0</v>
      </c>
      <c r="K398" s="169">
        <f t="shared" ca="1" si="110"/>
        <v>0</v>
      </c>
      <c r="L398" s="189"/>
      <c r="M398" s="189"/>
      <c r="N398" s="189"/>
      <c r="O398" s="189"/>
      <c r="P398" s="189"/>
    </row>
    <row r="399" spans="1:16" ht="21.75" customHeight="1" x14ac:dyDescent="0.35">
      <c r="A399" s="183"/>
      <c r="B399" s="184"/>
      <c r="C399" s="184"/>
      <c r="D399" s="201"/>
      <c r="E399" s="202" t="s">
        <v>54</v>
      </c>
      <c r="F399" s="203"/>
      <c r="G399" s="204"/>
      <c r="H399" s="194"/>
      <c r="I399" s="195"/>
      <c r="J399" s="205">
        <f ca="1">IFERROR(__xludf.DUMMYFUNCTION("IMPORTRANGE(""https://docs.google.com/spreadsheets/d/1IYY_tgx_IHuhSq3AJ5eI5OnqOPBNLWSHKh2a30DoXe8/edit?usp=sharing"",""ตรัง!J294"")"),0)</f>
        <v>0</v>
      </c>
      <c r="K399" s="169"/>
      <c r="L399" s="189"/>
      <c r="M399" s="189"/>
      <c r="N399" s="189"/>
      <c r="O399" s="189"/>
      <c r="P399" s="189"/>
    </row>
    <row r="400" spans="1:16" ht="21.75" customHeight="1" x14ac:dyDescent="0.35">
      <c r="A400" s="183"/>
      <c r="B400" s="184"/>
      <c r="C400" s="184"/>
      <c r="D400" s="213">
        <v>3</v>
      </c>
      <c r="E400" s="214" t="s">
        <v>55</v>
      </c>
      <c r="F400" s="215"/>
      <c r="G400" s="216"/>
      <c r="H400" s="194"/>
      <c r="I400" s="195"/>
      <c r="J400" s="217">
        <f ca="1">IFERROR(__xludf.DUMMYFUNCTION("IMPORTRANGE(""https://docs.google.com/spreadsheets/d/1IYY_tgx_IHuhSq3AJ5eI5OnqOPBNLWSHKh2a30DoXe8/edit?usp=sharing"",""ตรัง!J295"")"),0)</f>
        <v>0</v>
      </c>
      <c r="K400" s="169"/>
      <c r="L400" s="189"/>
      <c r="M400" s="189"/>
      <c r="N400" s="189"/>
      <c r="O400" s="189"/>
      <c r="P400" s="189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IFERROR(__xludf.DUMMYFUNCTION("IMPORTRANGE(""https://docs.google.com/spreadsheets/d/1IYY_tgx_IHuhSq3AJ5eI5OnqOPBNLWSHKh2a30DoXe8/edit?usp=sharing"",""ตรัง!I296"")"),105)</f>
        <v>105</v>
      </c>
      <c r="J401" s="377">
        <f ca="1">IFERROR(__xludf.DUMMYFUNCTION("IMPORTRANGE(""https://docs.google.com/spreadsheets/d/1IYY_tgx_IHuhSq3AJ5eI5OnqOPBNLWSHKh2a30DoXe8/edit?usp=sharing"",""ตรัง!J296"")"),0)</f>
        <v>0</v>
      </c>
      <c r="K401" s="378">
        <f t="shared" ref="K401:K402" ca="1" si="111">IF(I401&gt;0,J401*100/I401,0)</f>
        <v>0</v>
      </c>
      <c r="L401" s="379">
        <f ca="1">IFERROR(__xludf.DUMMYFUNCTION("IMPORTRANGE(""https://docs.google.com/spreadsheets/d/1IYY_tgx_IHuhSq3AJ5eI5OnqOPBNLWSHKh2a30DoXe8/edit?usp=sharing"",""ตรัง!L296"")"),131810)</f>
        <v>131810</v>
      </c>
      <c r="M401" s="379"/>
      <c r="N401" s="379">
        <f ca="1">IFERROR(__xludf.DUMMYFUNCTION("IMPORTRANGE(""https://docs.google.com/spreadsheets/d/1IYY_tgx_IHuhSq3AJ5eI5OnqOPBNLWSHKh2a30DoXe8/edit?usp=sharing"",""ตรัง!M296"")"),59234)</f>
        <v>59234</v>
      </c>
      <c r="O401" s="379">
        <f ca="1">+IF(L401&gt;0,N401*100/L401,0)</f>
        <v>44.938927243759956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IFERROR(__xludf.DUMMYFUNCTION("IMPORTRANGE(""https://docs.google.com/spreadsheets/d/1IYY_tgx_IHuhSq3AJ5eI5OnqOPBNLWSHKh2a30DoXe8/edit?usp=sharing"",""ตรัง!I297"")"),35)</f>
        <v>35</v>
      </c>
      <c r="J402" s="377">
        <f ca="1">IFERROR(__xludf.DUMMYFUNCTION("IMPORTRANGE(""https://docs.google.com/spreadsheets/d/1IYY_tgx_IHuhSq3AJ5eI5OnqOPBNLWSHKh2a30DoXe8/edit?usp=sharing"",""ตรัง!J297"")"),25)</f>
        <v>25</v>
      </c>
      <c r="K402" s="378">
        <f t="shared" ca="1" si="111"/>
        <v>71.428571428571431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164" t="s">
        <v>38</v>
      </c>
      <c r="E403" s="165"/>
      <c r="F403" s="165"/>
      <c r="G403" s="166" t="s">
        <v>39</v>
      </c>
      <c r="H403" s="167" t="s">
        <v>12</v>
      </c>
      <c r="I403" s="168" t="s">
        <v>40</v>
      </c>
      <c r="J403" s="168"/>
      <c r="K403" s="169"/>
      <c r="L403" s="170">
        <f ca="1">IFERROR(__xludf.DUMMYFUNCTION("IMPORTRANGE(""https://docs.google.com/spreadsheets/d/1IYY_tgx_IHuhSq3AJ5eI5OnqOPBNLWSHKh2a30DoXe8/edit?usp=sharing"",""ตรัง!L298"")"),0)</f>
        <v>0</v>
      </c>
      <c r="M403" s="170"/>
      <c r="N403" s="176">
        <f ca="1">IFERROR(__xludf.DUMMYFUNCTION("IMPORTRANGE(""https://docs.google.com/spreadsheets/d/1IYY_tgx_IHuhSq3AJ5eI5OnqOPBNLWSHKh2a30DoXe8/edit?usp=sharing"",""ตรัง!M298"")"),0)</f>
        <v>0</v>
      </c>
      <c r="O403" s="176">
        <f t="shared" ref="O403:O406" ca="1" si="112">+IF(L403&gt;0,N403*100/L403,0)</f>
        <v>0</v>
      </c>
      <c r="P403" s="176"/>
    </row>
    <row r="404" spans="1:16" ht="21.75" customHeight="1" x14ac:dyDescent="0.35">
      <c r="A404" s="162"/>
      <c r="B404" s="163"/>
      <c r="C404" s="163"/>
      <c r="D404" s="172"/>
      <c r="E404" s="165"/>
      <c r="F404" s="165" t="s">
        <v>40</v>
      </c>
      <c r="G404" s="166" t="s">
        <v>41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IFERROR(__xludf.DUMMYFUNCTION("IMPORTRANGE(""https://docs.google.com/spreadsheets/d/1IYY_tgx_IHuhSq3AJ5eI5OnqOPBNLWSHKh2a30DoXe8/edit?usp=sharing"",""ตรัง!L299"")"),131810)</f>
        <v>131810</v>
      </c>
      <c r="M404" s="171"/>
      <c r="N404" s="176">
        <f ca="1">IFERROR(__xludf.DUMMYFUNCTION("IMPORTRANGE(""https://docs.google.com/spreadsheets/d/1IYY_tgx_IHuhSq3AJ5eI5OnqOPBNLWSHKh2a30DoXe8/edit?usp=sharing"",""ตรัง!M299"")"),59234)</f>
        <v>59234</v>
      </c>
      <c r="O404" s="176">
        <f t="shared" ca="1" si="112"/>
        <v>44.938927243759956</v>
      </c>
      <c r="P404" s="176"/>
    </row>
    <row r="405" spans="1:16" ht="21.75" customHeight="1" x14ac:dyDescent="0.35">
      <c r="A405" s="162"/>
      <c r="B405" s="163"/>
      <c r="C405" s="163"/>
      <c r="D405" s="172"/>
      <c r="E405" s="165"/>
      <c r="F405" s="165"/>
      <c r="G405" s="380" t="s">
        <v>129</v>
      </c>
      <c r="H405" s="167" t="s">
        <v>12</v>
      </c>
      <c r="I405" s="168"/>
      <c r="J405" s="168"/>
      <c r="K405" s="169"/>
      <c r="L405" s="176">
        <f ca="1">IFERROR(__xludf.DUMMYFUNCTION("IMPORTRANGE(""https://docs.google.com/spreadsheets/d/1IYY_tgx_IHuhSq3AJ5eI5OnqOPBNLWSHKh2a30DoXe8/edit?usp=sharing"",""ตรัง!L300"")"),0)</f>
        <v>0</v>
      </c>
      <c r="M405" s="176"/>
      <c r="N405" s="176">
        <f ca="1">IFERROR(__xludf.DUMMYFUNCTION("IMPORTRANGE(""https://docs.google.com/spreadsheets/d/1IYY_tgx_IHuhSq3AJ5eI5OnqOPBNLWSHKh2a30DoXe8/edit?usp=sharing"",""ตรัง!M300"")"),0)</f>
        <v>0</v>
      </c>
      <c r="O405" s="176">
        <f t="shared" ca="1" si="112"/>
        <v>0</v>
      </c>
      <c r="P405" s="176"/>
    </row>
    <row r="406" spans="1:16" ht="21.75" customHeight="1" x14ac:dyDescent="0.35">
      <c r="A406" s="162"/>
      <c r="B406" s="163"/>
      <c r="C406" s="163"/>
      <c r="D406" s="172"/>
      <c r="E406" s="165"/>
      <c r="F406" s="165"/>
      <c r="G406" s="380" t="s">
        <v>130</v>
      </c>
      <c r="H406" s="167" t="s">
        <v>12</v>
      </c>
      <c r="I406" s="168"/>
      <c r="J406" s="168"/>
      <c r="K406" s="169"/>
      <c r="L406" s="176">
        <f ca="1">IFERROR(__xludf.DUMMYFUNCTION("IMPORTRANGE(""https://docs.google.com/spreadsheets/d/1IYY_tgx_IHuhSq3AJ5eI5OnqOPBNLWSHKh2a30DoXe8/edit?usp=sharing"",""ตรัง!L301"")"),131810)</f>
        <v>131810</v>
      </c>
      <c r="M406" s="176"/>
      <c r="N406" s="176">
        <f ca="1">IFERROR(__xludf.DUMMYFUNCTION("IMPORTRANGE(""https://docs.google.com/spreadsheets/d/1IYY_tgx_IHuhSq3AJ5eI5OnqOPBNLWSHKh2a30DoXe8/edit?usp=sharing"",""ตรัง!M301"")"),59234)</f>
        <v>59234</v>
      </c>
      <c r="O406" s="176">
        <f t="shared" ca="1" si="112"/>
        <v>44.938927243759956</v>
      </c>
      <c r="P406" s="176"/>
    </row>
    <row r="407" spans="1:16" ht="21.75" customHeight="1" x14ac:dyDescent="0.35">
      <c r="A407" s="381"/>
      <c r="B407" s="382"/>
      <c r="C407" s="163"/>
      <c r="D407" s="383"/>
      <c r="E407" s="165"/>
      <c r="F407" s="165"/>
      <c r="G407" s="384" t="s">
        <v>131</v>
      </c>
      <c r="H407" s="167" t="s">
        <v>12</v>
      </c>
      <c r="I407" s="195"/>
      <c r="J407" s="195"/>
      <c r="K407" s="231"/>
      <c r="L407" s="176"/>
      <c r="M407" s="176"/>
      <c r="N407" s="385">
        <f ca="1">IFERROR(__xludf.DUMMYFUNCTION("IMPORTRANGE(""https://docs.google.com/spreadsheets/d/1IYY_tgx_IHuhSq3AJ5eI5OnqOPBNLWSHKh2a30DoXe8/edit?usp=sharing"",""ตรัง!M302"")"),58744)</f>
        <v>58744</v>
      </c>
      <c r="O407" s="176"/>
      <c r="P407" s="176"/>
    </row>
    <row r="408" spans="1:16" ht="21.75" customHeight="1" x14ac:dyDescent="0.35">
      <c r="A408" s="381"/>
      <c r="B408" s="382"/>
      <c r="C408" s="163"/>
      <c r="D408" s="383"/>
      <c r="E408" s="165"/>
      <c r="F408" s="165"/>
      <c r="G408" s="384" t="s">
        <v>132</v>
      </c>
      <c r="H408" s="167" t="s">
        <v>12</v>
      </c>
      <c r="I408" s="195"/>
      <c r="J408" s="195"/>
      <c r="K408" s="231"/>
      <c r="L408" s="176"/>
      <c r="M408" s="176"/>
      <c r="N408" s="385">
        <f ca="1">IFERROR(__xludf.DUMMYFUNCTION("IMPORTRANGE(""https://docs.google.com/spreadsheets/d/1IYY_tgx_IHuhSq3AJ5eI5OnqOPBNLWSHKh2a30DoXe8/edit?usp=sharing"",""ตรัง!M303"")"),0)</f>
        <v>0</v>
      </c>
      <c r="O408" s="176"/>
      <c r="P408" s="176"/>
    </row>
    <row r="409" spans="1:16" ht="21.75" customHeight="1" x14ac:dyDescent="0.35">
      <c r="A409" s="381"/>
      <c r="B409" s="382"/>
      <c r="C409" s="163"/>
      <c r="D409" s="383"/>
      <c r="E409" s="165"/>
      <c r="F409" s="165"/>
      <c r="G409" s="384" t="s">
        <v>133</v>
      </c>
      <c r="H409" s="167" t="s">
        <v>12</v>
      </c>
      <c r="I409" s="195"/>
      <c r="J409" s="195"/>
      <c r="K409" s="231"/>
      <c r="L409" s="176"/>
      <c r="M409" s="176"/>
      <c r="N409" s="385">
        <f ca="1">IFERROR(__xludf.DUMMYFUNCTION("IMPORTRANGE(""https://docs.google.com/spreadsheets/d/1IYY_tgx_IHuhSq3AJ5eI5OnqOPBNLWSHKh2a30DoXe8/edit?usp=sharing"",""ตรัง!M304"")"),0)</f>
        <v>0</v>
      </c>
      <c r="O409" s="176"/>
      <c r="P409" s="176"/>
    </row>
    <row r="410" spans="1:16" ht="21.75" customHeight="1" x14ac:dyDescent="0.35">
      <c r="A410" s="381"/>
      <c r="B410" s="382"/>
      <c r="C410" s="163"/>
      <c r="D410" s="383"/>
      <c r="E410" s="165"/>
      <c r="F410" s="165"/>
      <c r="G410" s="384" t="s">
        <v>134</v>
      </c>
      <c r="H410" s="167" t="s">
        <v>12</v>
      </c>
      <c r="I410" s="195"/>
      <c r="J410" s="195"/>
      <c r="K410" s="231"/>
      <c r="L410" s="176"/>
      <c r="M410" s="176"/>
      <c r="N410" s="385">
        <f ca="1">IFERROR(__xludf.DUMMYFUNCTION("IMPORTRANGE(""https://docs.google.com/spreadsheets/d/1IYY_tgx_IHuhSq3AJ5eI5OnqOPBNLWSHKh2a30DoXe8/edit?usp=sharing"",""ตรัง!M305"")"),490)</f>
        <v>490</v>
      </c>
      <c r="O410" s="176"/>
      <c r="P410" s="176"/>
    </row>
    <row r="411" spans="1:16" ht="21.75" customHeight="1" x14ac:dyDescent="0.35">
      <c r="A411" s="183"/>
      <c r="B411" s="184"/>
      <c r="C411" s="163" t="s">
        <v>16</v>
      </c>
      <c r="D411" s="185" t="s">
        <v>44</v>
      </c>
      <c r="E411" s="186"/>
      <c r="F411" s="186"/>
      <c r="G411" s="187"/>
      <c r="H411" s="188"/>
      <c r="I411" s="168"/>
      <c r="J411" s="168"/>
      <c r="K411" s="169"/>
      <c r="L411" s="189"/>
      <c r="M411" s="189"/>
      <c r="N411" s="189"/>
      <c r="O411" s="189"/>
      <c r="P411" s="189"/>
    </row>
    <row r="412" spans="1:16" ht="21.75" customHeight="1" x14ac:dyDescent="0.35">
      <c r="A412" s="183"/>
      <c r="B412" s="184"/>
      <c r="C412" s="184"/>
      <c r="D412" s="190">
        <v>1</v>
      </c>
      <c r="E412" s="191" t="s">
        <v>45</v>
      </c>
      <c r="F412" s="192"/>
      <c r="G412" s="193"/>
      <c r="H412" s="194"/>
      <c r="I412" s="195"/>
      <c r="J412" s="205">
        <f ca="1">IFERROR(__xludf.DUMMYFUNCTION("IMPORTRANGE(""https://docs.google.com/spreadsheets/d/1IYY_tgx_IHuhSq3AJ5eI5OnqOPBNLWSHKh2a30DoXe8/edit?usp=sharing"",""ตรัง!J307"")"),0)</f>
        <v>0</v>
      </c>
      <c r="K412" s="169"/>
      <c r="L412" s="189"/>
      <c r="M412" s="189"/>
      <c r="N412" s="189"/>
      <c r="O412" s="189"/>
      <c r="P412" s="189"/>
    </row>
    <row r="413" spans="1:16" ht="21.75" customHeight="1" x14ac:dyDescent="0.35">
      <c r="A413" s="183"/>
      <c r="B413" s="184"/>
      <c r="C413" s="184"/>
      <c r="D413" s="197">
        <v>2</v>
      </c>
      <c r="E413" s="198" t="s">
        <v>46</v>
      </c>
      <c r="F413" s="199"/>
      <c r="G413" s="200"/>
      <c r="H413" s="194"/>
      <c r="I413" s="195"/>
      <c r="J413" s="196">
        <f ca="1">IFERROR(__xludf.DUMMYFUNCTION("IMPORTRANGE(""https://docs.google.com/spreadsheets/d/1IYY_tgx_IHuhSq3AJ5eI5OnqOPBNLWSHKh2a30DoXe8/edit?usp=sharing"",""ตรัง!J308"")"),1)</f>
        <v>1</v>
      </c>
      <c r="K413" s="169"/>
      <c r="L413" s="189" t="s">
        <v>40</v>
      </c>
      <c r="M413" s="189"/>
      <c r="N413" s="189" t="s">
        <v>40</v>
      </c>
      <c r="O413" s="189"/>
      <c r="P413" s="189"/>
    </row>
    <row r="414" spans="1:16" ht="21.75" customHeight="1" x14ac:dyDescent="0.35">
      <c r="A414" s="183"/>
      <c r="B414" s="184"/>
      <c r="C414" s="184"/>
      <c r="D414" s="201"/>
      <c r="E414" s="202" t="s">
        <v>47</v>
      </c>
      <c r="F414" s="203"/>
      <c r="G414" s="204"/>
      <c r="H414" s="194"/>
      <c r="I414" s="195"/>
      <c r="J414" s="196">
        <f ca="1">IFERROR(__xludf.DUMMYFUNCTION("IMPORTRANGE(""https://docs.google.com/spreadsheets/d/1IYY_tgx_IHuhSq3AJ5eI5OnqOPBNLWSHKh2a30DoXe8/edit?usp=sharing"",""ตรัง!J309"")"),1)</f>
        <v>1</v>
      </c>
      <c r="K414" s="169"/>
      <c r="L414" s="189"/>
      <c r="M414" s="189"/>
      <c r="N414" s="189"/>
      <c r="O414" s="189"/>
      <c r="P414" s="189"/>
    </row>
    <row r="415" spans="1:16" ht="21.75" customHeight="1" x14ac:dyDescent="0.35">
      <c r="A415" s="183"/>
      <c r="B415" s="184"/>
      <c r="C415" s="184"/>
      <c r="D415" s="201"/>
      <c r="E415" s="202" t="s">
        <v>48</v>
      </c>
      <c r="F415" s="203"/>
      <c r="G415" s="204"/>
      <c r="H415" s="194"/>
      <c r="I415" s="195"/>
      <c r="J415" s="205">
        <f ca="1">IFERROR(__xludf.DUMMYFUNCTION("IMPORTRANGE(""https://docs.google.com/spreadsheets/d/1IYY_tgx_IHuhSq3AJ5eI5OnqOPBNLWSHKh2a30DoXe8/edit?usp=sharing"",""ตรัง!J310"")"),1)</f>
        <v>1</v>
      </c>
      <c r="K415" s="169"/>
      <c r="L415" s="189"/>
      <c r="M415" s="189"/>
      <c r="N415" s="189"/>
      <c r="O415" s="189"/>
      <c r="P415" s="189"/>
    </row>
    <row r="416" spans="1:16" ht="21.75" customHeight="1" x14ac:dyDescent="0.35">
      <c r="A416" s="183"/>
      <c r="B416" s="184"/>
      <c r="C416" s="184"/>
      <c r="D416" s="201"/>
      <c r="E416" s="206"/>
      <c r="F416" s="202" t="s">
        <v>70</v>
      </c>
      <c r="G416" s="394"/>
      <c r="H416" s="395" t="s">
        <v>37</v>
      </c>
      <c r="I416" s="208">
        <f ca="1">IFERROR(__xludf.DUMMYFUNCTION("IMPORTRANGE(""https://docs.google.com/spreadsheets/d/1IYY_tgx_IHuhSq3AJ5eI5OnqOPBNLWSHKh2a30DoXe8/edit?usp=sharing"",""ตรัง!I311"")"),35)</f>
        <v>35</v>
      </c>
      <c r="J416" s="208">
        <f ca="1">IFERROR(__xludf.DUMMYFUNCTION("IMPORTRANGE(""https://docs.google.com/spreadsheets/d/1IYY_tgx_IHuhSq3AJ5eI5OnqOPBNLWSHKh2a30DoXe8/edit?usp=sharing"",""ตรัง!J311"")"),25)</f>
        <v>25</v>
      </c>
      <c r="K416" s="209">
        <f t="shared" ref="K416:K432" ca="1" si="113">IF(I416&gt;0,J416*100/I416,0)</f>
        <v>71.428571428571431</v>
      </c>
      <c r="L416" s="189"/>
      <c r="M416" s="189"/>
      <c r="N416" s="189"/>
      <c r="O416" s="189"/>
      <c r="P416" s="189"/>
    </row>
    <row r="417" spans="1:16" ht="21.75" customHeight="1" x14ac:dyDescent="0.45">
      <c r="A417" s="183"/>
      <c r="B417" s="184"/>
      <c r="C417" s="184"/>
      <c r="D417" s="201"/>
      <c r="E417" s="206"/>
      <c r="F417" s="396" t="s">
        <v>148</v>
      </c>
      <c r="G417" s="204"/>
      <c r="H417" s="207" t="s">
        <v>37</v>
      </c>
      <c r="I417" s="397">
        <f ca="1">IFERROR(__xludf.DUMMYFUNCTION("IMPORTRANGE(""https://docs.google.com/spreadsheets/d/1IYY_tgx_IHuhSq3AJ5eI5OnqOPBNLWSHKh2a30DoXe8/edit?usp=sharing"",""ตรัง!I312"")"),10)</f>
        <v>10</v>
      </c>
      <c r="J417" s="398">
        <f ca="1">IFERROR(__xludf.DUMMYFUNCTION("IMPORTRANGE(""https://docs.google.com/spreadsheets/d/1IYY_tgx_IHuhSq3AJ5eI5OnqOPBNLWSHKh2a30DoXe8/edit?usp=sharing"",""ตรัง!J312"")"),0)</f>
        <v>0</v>
      </c>
      <c r="K417" s="209">
        <f t="shared" ca="1" si="113"/>
        <v>0</v>
      </c>
      <c r="L417" s="189"/>
      <c r="M417" s="189"/>
      <c r="N417" s="189"/>
      <c r="O417" s="189"/>
      <c r="P417" s="189"/>
    </row>
    <row r="418" spans="1:16" ht="21.75" customHeight="1" x14ac:dyDescent="0.45">
      <c r="A418" s="183"/>
      <c r="B418" s="184"/>
      <c r="C418" s="184"/>
      <c r="D418" s="201"/>
      <c r="E418" s="206"/>
      <c r="F418" s="203"/>
      <c r="G418" s="204"/>
      <c r="H418" s="207" t="s">
        <v>122</v>
      </c>
      <c r="I418" s="397">
        <f ca="1">IFERROR(__xludf.DUMMYFUNCTION("IMPORTRANGE(""https://docs.google.com/spreadsheets/d/1IYY_tgx_IHuhSq3AJ5eI5OnqOPBNLWSHKh2a30DoXe8/edit?usp=sharing"",""ตรัง!I313"")"),30)</f>
        <v>30</v>
      </c>
      <c r="J418" s="399">
        <f ca="1">IFERROR(__xludf.DUMMYFUNCTION("IMPORTRANGE(""https://docs.google.com/spreadsheets/d/1IYY_tgx_IHuhSq3AJ5eI5OnqOPBNLWSHKh2a30DoXe8/edit?usp=sharing"",""ตรัง!J313"")"),0)</f>
        <v>0</v>
      </c>
      <c r="K418" s="209">
        <f t="shared" ca="1" si="113"/>
        <v>0</v>
      </c>
      <c r="L418" s="189"/>
      <c r="M418" s="189"/>
      <c r="N418" s="189"/>
      <c r="O418" s="189"/>
      <c r="P418" s="189"/>
    </row>
    <row r="419" spans="1:16" ht="21.75" customHeight="1" x14ac:dyDescent="0.45">
      <c r="A419" s="183"/>
      <c r="B419" s="184"/>
      <c r="C419" s="184"/>
      <c r="D419" s="201"/>
      <c r="E419" s="206"/>
      <c r="F419" s="203"/>
      <c r="G419" s="233" t="s">
        <v>149</v>
      </c>
      <c r="H419" s="188" t="s">
        <v>37</v>
      </c>
      <c r="I419" s="347">
        <f ca="1">IFERROR(__xludf.DUMMYFUNCTION("IMPORTRANGE(""https://docs.google.com/spreadsheets/d/1IYY_tgx_IHuhSq3AJ5eI5OnqOPBNLWSHKh2a30DoXe8/edit?usp=sharing"",""ตรัง!I314"")"),10)</f>
        <v>10</v>
      </c>
      <c r="J419" s="400">
        <f ca="1">IFERROR(__xludf.DUMMYFUNCTION("IMPORTRANGE(""https://docs.google.com/spreadsheets/d/1IYY_tgx_IHuhSq3AJ5eI5OnqOPBNLWSHKh2a30DoXe8/edit?usp=sharing"",""ตรัง!J314"")"),0)</f>
        <v>0</v>
      </c>
      <c r="K419" s="169">
        <f t="shared" ca="1" si="113"/>
        <v>0</v>
      </c>
      <c r="L419" s="189"/>
      <c r="M419" s="189"/>
      <c r="N419" s="189"/>
      <c r="O419" s="189"/>
      <c r="P419" s="189"/>
    </row>
    <row r="420" spans="1:16" ht="21.75" customHeight="1" x14ac:dyDescent="0.45">
      <c r="A420" s="241"/>
      <c r="B420" s="242"/>
      <c r="C420" s="242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IFERROR(__xludf.DUMMYFUNCTION("IMPORTRANGE(""https://docs.google.com/spreadsheets/d/1IYY_tgx_IHuhSq3AJ5eI5OnqOPBNLWSHKh2a30DoXe8/edit?usp=sharing"",""ตรัง!I315"")"),10)</f>
        <v>10</v>
      </c>
      <c r="J420" s="400">
        <f ca="1">IFERROR(__xludf.DUMMYFUNCTION("IMPORTRANGE(""https://docs.google.com/spreadsheets/d/1IYY_tgx_IHuhSq3AJ5eI5OnqOPBNLWSHKh2a30DoXe8/edit?usp=sharing"",""ตรัง!J315"")"),10)</f>
        <v>10</v>
      </c>
      <c r="K420" s="294">
        <f t="shared" ca="1" si="113"/>
        <v>100</v>
      </c>
      <c r="L420" s="252"/>
      <c r="M420" s="252"/>
      <c r="N420" s="252"/>
      <c r="O420" s="252"/>
      <c r="P420" s="252"/>
    </row>
    <row r="421" spans="1:16" ht="21.75" customHeight="1" x14ac:dyDescent="0.45">
      <c r="A421" s="183"/>
      <c r="B421" s="184"/>
      <c r="C421" s="184"/>
      <c r="D421" s="201"/>
      <c r="E421" s="206"/>
      <c r="F421" s="396" t="s">
        <v>151</v>
      </c>
      <c r="G421" s="204"/>
      <c r="H421" s="207" t="s">
        <v>37</v>
      </c>
      <c r="I421" s="397">
        <f ca="1">IFERROR(__xludf.DUMMYFUNCTION("IMPORTRANGE(""https://docs.google.com/spreadsheets/d/1IYY_tgx_IHuhSq3AJ5eI5OnqOPBNLWSHKh2a30DoXe8/edit?usp=sharing"",""ตรัง!I316"")"),15)</f>
        <v>15</v>
      </c>
      <c r="J421" s="398">
        <f ca="1">IFERROR(__xludf.DUMMYFUNCTION("IMPORTRANGE(""https://docs.google.com/spreadsheets/d/1IYY_tgx_IHuhSq3AJ5eI5OnqOPBNLWSHKh2a30DoXe8/edit?usp=sharing"",""ตรัง!J316"")"),15)</f>
        <v>15</v>
      </c>
      <c r="K421" s="209">
        <f t="shared" ca="1" si="113"/>
        <v>100</v>
      </c>
      <c r="L421" s="189"/>
      <c r="M421" s="189"/>
      <c r="N421" s="189"/>
      <c r="O421" s="189"/>
      <c r="P421" s="189"/>
    </row>
    <row r="422" spans="1:16" ht="21.75" customHeight="1" x14ac:dyDescent="0.45">
      <c r="A422" s="183"/>
      <c r="B422" s="184"/>
      <c r="C422" s="184"/>
      <c r="D422" s="201"/>
      <c r="E422" s="206"/>
      <c r="F422" s="203"/>
      <c r="G422" s="204"/>
      <c r="H422" s="207" t="s">
        <v>122</v>
      </c>
      <c r="I422" s="397">
        <f ca="1">IFERROR(__xludf.DUMMYFUNCTION("IMPORTRANGE(""https://docs.google.com/spreadsheets/d/1IYY_tgx_IHuhSq3AJ5eI5OnqOPBNLWSHKh2a30DoXe8/edit?usp=sharing"",""ตรัง!I317"")"),45)</f>
        <v>45</v>
      </c>
      <c r="J422" s="399">
        <f ca="1">IFERROR(__xludf.DUMMYFUNCTION("IMPORTRANGE(""https://docs.google.com/spreadsheets/d/1IYY_tgx_IHuhSq3AJ5eI5OnqOPBNLWSHKh2a30DoXe8/edit?usp=sharing"",""ตรัง!J317"")"),0)</f>
        <v>0</v>
      </c>
      <c r="K422" s="209">
        <f t="shared" ca="1" si="113"/>
        <v>0</v>
      </c>
      <c r="L422" s="189"/>
      <c r="M422" s="189"/>
      <c r="N422" s="189"/>
      <c r="O422" s="189"/>
      <c r="P422" s="189"/>
    </row>
    <row r="423" spans="1:16" ht="21.75" customHeight="1" x14ac:dyDescent="0.45">
      <c r="A423" s="183"/>
      <c r="B423" s="184"/>
      <c r="C423" s="184"/>
      <c r="D423" s="201"/>
      <c r="E423" s="206"/>
      <c r="F423" s="203"/>
      <c r="G423" s="233" t="s">
        <v>152</v>
      </c>
      <c r="H423" s="188" t="s">
        <v>37</v>
      </c>
      <c r="I423" s="347">
        <f ca="1">IFERROR(__xludf.DUMMYFUNCTION("IMPORTRANGE(""https://docs.google.com/spreadsheets/d/1IYY_tgx_IHuhSq3AJ5eI5OnqOPBNLWSHKh2a30DoXe8/edit?usp=sharing"",""ตรัง!I318"")"),15)</f>
        <v>15</v>
      </c>
      <c r="J423" s="400">
        <f ca="1">IFERROR(__xludf.DUMMYFUNCTION("IMPORTRANGE(""https://docs.google.com/spreadsheets/d/1IYY_tgx_IHuhSq3AJ5eI5OnqOPBNLWSHKh2a30DoXe8/edit?usp=sharing"",""ตรัง!J318"")"),15)</f>
        <v>15</v>
      </c>
      <c r="K423" s="169">
        <f t="shared" ca="1" si="113"/>
        <v>100</v>
      </c>
      <c r="L423" s="189"/>
      <c r="M423" s="189"/>
      <c r="N423" s="189"/>
      <c r="O423" s="189"/>
      <c r="P423" s="189"/>
    </row>
    <row r="424" spans="1:16" ht="21.75" customHeight="1" x14ac:dyDescent="0.45">
      <c r="A424" s="183"/>
      <c r="B424" s="184"/>
      <c r="C424" s="184"/>
      <c r="D424" s="201"/>
      <c r="E424" s="206"/>
      <c r="F424" s="203"/>
      <c r="G424" s="233" t="s">
        <v>153</v>
      </c>
      <c r="H424" s="188" t="s">
        <v>37</v>
      </c>
      <c r="I424" s="347">
        <f ca="1">IFERROR(__xludf.DUMMYFUNCTION("IMPORTRANGE(""https://docs.google.com/spreadsheets/d/1IYY_tgx_IHuhSq3AJ5eI5OnqOPBNLWSHKh2a30DoXe8/edit?usp=sharing"",""ตรัง!I319"")"),15)</f>
        <v>15</v>
      </c>
      <c r="J424" s="400">
        <f ca="1">IFERROR(__xludf.DUMMYFUNCTION("IMPORTRANGE(""https://docs.google.com/spreadsheets/d/1IYY_tgx_IHuhSq3AJ5eI5OnqOPBNLWSHKh2a30DoXe8/edit?usp=sharing"",""ตรัง!J319"")"),15)</f>
        <v>15</v>
      </c>
      <c r="K424" s="169">
        <f t="shared" ca="1" si="113"/>
        <v>100</v>
      </c>
      <c r="L424" s="189"/>
      <c r="M424" s="189"/>
      <c r="N424" s="189"/>
      <c r="O424" s="189"/>
      <c r="P424" s="189"/>
    </row>
    <row r="425" spans="1:16" ht="21.75" customHeight="1" x14ac:dyDescent="0.45">
      <c r="A425" s="183"/>
      <c r="B425" s="184"/>
      <c r="C425" s="184"/>
      <c r="D425" s="201"/>
      <c r="E425" s="206"/>
      <c r="F425" s="203"/>
      <c r="G425" s="233" t="s">
        <v>154</v>
      </c>
      <c r="H425" s="188" t="s">
        <v>37</v>
      </c>
      <c r="I425" s="347">
        <f ca="1">IFERROR(__xludf.DUMMYFUNCTION("IMPORTRANGE(""https://docs.google.com/spreadsheets/d/1IYY_tgx_IHuhSq3AJ5eI5OnqOPBNLWSHKh2a30DoXe8/edit?usp=sharing"",""ตรัง!I320"")"),15)</f>
        <v>15</v>
      </c>
      <c r="J425" s="400">
        <f ca="1">IFERROR(__xludf.DUMMYFUNCTION("IMPORTRANGE(""https://docs.google.com/spreadsheets/d/1IYY_tgx_IHuhSq3AJ5eI5OnqOPBNLWSHKh2a30DoXe8/edit?usp=sharing"",""ตรัง!J320"")"),15)</f>
        <v>15</v>
      </c>
      <c r="K425" s="169">
        <f t="shared" ca="1" si="113"/>
        <v>100</v>
      </c>
      <c r="L425" s="189"/>
      <c r="M425" s="189"/>
      <c r="N425" s="189"/>
      <c r="O425" s="189"/>
      <c r="P425" s="189"/>
    </row>
    <row r="426" spans="1:16" ht="21.75" customHeight="1" x14ac:dyDescent="0.45">
      <c r="A426" s="183"/>
      <c r="B426" s="184"/>
      <c r="C426" s="184"/>
      <c r="D426" s="201"/>
      <c r="E426" s="206"/>
      <c r="F426" s="405" t="s">
        <v>155</v>
      </c>
      <c r="G426" s="204"/>
      <c r="H426" s="207" t="s">
        <v>37</v>
      </c>
      <c r="I426" s="397">
        <f ca="1">IFERROR(__xludf.DUMMYFUNCTION("IMPORTRANGE(""https://docs.google.com/spreadsheets/d/1IYY_tgx_IHuhSq3AJ5eI5OnqOPBNLWSHKh2a30DoXe8/edit?usp=sharing"",""ตรัง!I321"")"),10)</f>
        <v>10</v>
      </c>
      <c r="J426" s="398">
        <f ca="1">IFERROR(__xludf.DUMMYFUNCTION("IMPORTRANGE(""https://docs.google.com/spreadsheets/d/1IYY_tgx_IHuhSq3AJ5eI5OnqOPBNLWSHKh2a30DoXe8/edit?usp=sharing"",""ตรัง!J321"")"),10)</f>
        <v>10</v>
      </c>
      <c r="K426" s="209">
        <f t="shared" ca="1" si="113"/>
        <v>100</v>
      </c>
      <c r="L426" s="189"/>
      <c r="M426" s="189"/>
      <c r="N426" s="189"/>
      <c r="O426" s="189"/>
      <c r="P426" s="189"/>
    </row>
    <row r="427" spans="1:16" ht="21.75" customHeight="1" x14ac:dyDescent="0.45">
      <c r="A427" s="183"/>
      <c r="B427" s="184"/>
      <c r="C427" s="184"/>
      <c r="D427" s="201"/>
      <c r="E427" s="206"/>
      <c r="F427" s="203"/>
      <c r="G427" s="204"/>
      <c r="H427" s="207" t="s">
        <v>122</v>
      </c>
      <c r="I427" s="397">
        <f ca="1">IFERROR(__xludf.DUMMYFUNCTION("IMPORTRANGE(""https://docs.google.com/spreadsheets/d/1IYY_tgx_IHuhSq3AJ5eI5OnqOPBNLWSHKh2a30DoXe8/edit?usp=sharing"",""ตรัง!I322"")"),30)</f>
        <v>30</v>
      </c>
      <c r="J427" s="399">
        <f ca="1">IFERROR(__xludf.DUMMYFUNCTION("IMPORTRANGE(""https://docs.google.com/spreadsheets/d/1IYY_tgx_IHuhSq3AJ5eI5OnqOPBNLWSHKh2a30DoXe8/edit?usp=sharing"",""ตรัง!J322"")"),0)</f>
        <v>0</v>
      </c>
      <c r="K427" s="209">
        <f t="shared" ca="1" si="113"/>
        <v>0</v>
      </c>
      <c r="L427" s="189"/>
      <c r="M427" s="189"/>
      <c r="N427" s="189"/>
      <c r="O427" s="189"/>
      <c r="P427" s="189"/>
    </row>
    <row r="428" spans="1:16" ht="21.75" customHeight="1" x14ac:dyDescent="0.45">
      <c r="A428" s="183"/>
      <c r="B428" s="184"/>
      <c r="C428" s="184"/>
      <c r="D428" s="201"/>
      <c r="E428" s="206"/>
      <c r="F428" s="203"/>
      <c r="G428" s="233" t="s">
        <v>156</v>
      </c>
      <c r="H428" s="188" t="s">
        <v>37</v>
      </c>
      <c r="I428" s="406">
        <f ca="1">IFERROR(__xludf.DUMMYFUNCTION("IMPORTRANGE(""https://docs.google.com/spreadsheets/d/1IYY_tgx_IHuhSq3AJ5eI5OnqOPBNLWSHKh2a30DoXe8/edit?usp=sharing"",""ตรัง!I323"")"),10)</f>
        <v>10</v>
      </c>
      <c r="J428" s="400">
        <f ca="1">IFERROR(__xludf.DUMMYFUNCTION("IMPORTRANGE(""https://docs.google.com/spreadsheets/d/1IYY_tgx_IHuhSq3AJ5eI5OnqOPBNLWSHKh2a30DoXe8/edit?usp=sharing"",""ตรัง!J323"")"),10)</f>
        <v>10</v>
      </c>
      <c r="K428" s="169">
        <f t="shared" ca="1" si="113"/>
        <v>100</v>
      </c>
      <c r="L428" s="189"/>
      <c r="M428" s="189"/>
      <c r="N428" s="189"/>
      <c r="O428" s="189"/>
      <c r="P428" s="189"/>
    </row>
    <row r="429" spans="1:16" ht="21.75" customHeight="1" x14ac:dyDescent="0.45">
      <c r="A429" s="183"/>
      <c r="B429" s="184"/>
      <c r="C429" s="184"/>
      <c r="D429" s="201"/>
      <c r="E429" s="206"/>
      <c r="F429" s="203"/>
      <c r="G429" s="233" t="s">
        <v>157</v>
      </c>
      <c r="H429" s="188" t="s">
        <v>37</v>
      </c>
      <c r="I429" s="406">
        <f ca="1">IFERROR(__xludf.DUMMYFUNCTION("IMPORTRANGE(""https://docs.google.com/spreadsheets/d/1IYY_tgx_IHuhSq3AJ5eI5OnqOPBNLWSHKh2a30DoXe8/edit?usp=sharing"",""ตรัง!I324"")"),10)</f>
        <v>10</v>
      </c>
      <c r="J429" s="400">
        <f ca="1">IFERROR(__xludf.DUMMYFUNCTION("IMPORTRANGE(""https://docs.google.com/spreadsheets/d/1IYY_tgx_IHuhSq3AJ5eI5OnqOPBNLWSHKh2a30DoXe8/edit?usp=sharing"",""ตรัง!J324"")"),10)</f>
        <v>10</v>
      </c>
      <c r="K429" s="169">
        <f t="shared" ca="1" si="113"/>
        <v>100</v>
      </c>
      <c r="L429" s="189"/>
      <c r="M429" s="189"/>
      <c r="N429" s="189"/>
      <c r="O429" s="189"/>
      <c r="P429" s="189"/>
    </row>
    <row r="430" spans="1:16" ht="21.75" customHeight="1" x14ac:dyDescent="0.45">
      <c r="A430" s="183"/>
      <c r="B430" s="184"/>
      <c r="C430" s="184"/>
      <c r="D430" s="201"/>
      <c r="E430" s="206"/>
      <c r="F430" s="202" t="s">
        <v>53</v>
      </c>
      <c r="G430" s="394"/>
      <c r="H430" s="407" t="s">
        <v>37</v>
      </c>
      <c r="I430" s="208">
        <f ca="1">IFERROR(__xludf.DUMMYFUNCTION("IMPORTRANGE(""https://docs.google.com/spreadsheets/d/1IYY_tgx_IHuhSq3AJ5eI5OnqOPBNLWSHKh2a30DoXe8/edit?usp=sharing"",""ตรัง!I325"")"),25)</f>
        <v>25</v>
      </c>
      <c r="J430" s="398">
        <f ca="1">IFERROR(__xludf.DUMMYFUNCTION("IMPORTRANGE(""https://docs.google.com/spreadsheets/d/1IYY_tgx_IHuhSq3AJ5eI5OnqOPBNLWSHKh2a30DoXe8/edit?usp=sharing"",""ตรัง!J325"")"),0)</f>
        <v>0</v>
      </c>
      <c r="K430" s="209">
        <f t="shared" ca="1" si="113"/>
        <v>0</v>
      </c>
      <c r="L430" s="189"/>
      <c r="M430" s="189"/>
      <c r="N430" s="189"/>
      <c r="O430" s="189"/>
      <c r="P430" s="189"/>
    </row>
    <row r="431" spans="1:16" ht="21.75" customHeight="1" x14ac:dyDescent="0.45">
      <c r="A431" s="408"/>
      <c r="B431" s="409"/>
      <c r="C431" s="409"/>
      <c r="D431" s="410"/>
      <c r="E431" s="206"/>
      <c r="F431" s="203"/>
      <c r="G431" s="233" t="s">
        <v>158</v>
      </c>
      <c r="H431" s="188" t="s">
        <v>37</v>
      </c>
      <c r="I431" s="406">
        <f ca="1">IFERROR(__xludf.DUMMYFUNCTION("IMPORTRANGE(""https://docs.google.com/spreadsheets/d/1IYY_tgx_IHuhSq3AJ5eI5OnqOPBNLWSHKh2a30DoXe8/edit?usp=sharing"",""ตรัง!I326"")"),10)</f>
        <v>10</v>
      </c>
      <c r="J431" s="400">
        <f ca="1">IFERROR(__xludf.DUMMYFUNCTION("IMPORTRANGE(""https://docs.google.com/spreadsheets/d/1IYY_tgx_IHuhSq3AJ5eI5OnqOPBNLWSHKh2a30DoXe8/edit?usp=sharing"",""ตรัง!J326"")"),0)</f>
        <v>0</v>
      </c>
      <c r="K431" s="169">
        <f t="shared" ca="1" si="113"/>
        <v>0</v>
      </c>
      <c r="L431" s="189"/>
      <c r="M431" s="189"/>
      <c r="N431" s="189"/>
      <c r="O431" s="189"/>
      <c r="P431" s="189"/>
    </row>
    <row r="432" spans="1:16" ht="21.75" customHeight="1" x14ac:dyDescent="0.45">
      <c r="A432" s="408"/>
      <c r="B432" s="409"/>
      <c r="C432" s="409"/>
      <c r="D432" s="410"/>
      <c r="E432" s="206"/>
      <c r="F432" s="203"/>
      <c r="G432" s="233" t="s">
        <v>159</v>
      </c>
      <c r="H432" s="188" t="s">
        <v>37</v>
      </c>
      <c r="I432" s="406">
        <f ca="1">IFERROR(__xludf.DUMMYFUNCTION("IMPORTRANGE(""https://docs.google.com/spreadsheets/d/1IYY_tgx_IHuhSq3AJ5eI5OnqOPBNLWSHKh2a30DoXe8/edit?usp=sharing"",""ตรัง!I327"")"),15)</f>
        <v>15</v>
      </c>
      <c r="J432" s="400">
        <f ca="1">IFERROR(__xludf.DUMMYFUNCTION("IMPORTRANGE(""https://docs.google.com/spreadsheets/d/1IYY_tgx_IHuhSq3AJ5eI5OnqOPBNLWSHKh2a30DoXe8/edit?usp=sharing"",""ตรัง!J327"")"),0)</f>
        <v>0</v>
      </c>
      <c r="K432" s="169">
        <f t="shared" ca="1" si="113"/>
        <v>0</v>
      </c>
      <c r="L432" s="189"/>
      <c r="M432" s="189"/>
      <c r="N432" s="189"/>
      <c r="O432" s="189"/>
      <c r="P432" s="189"/>
    </row>
    <row r="433" spans="1:16" ht="21.75" customHeight="1" x14ac:dyDescent="0.35">
      <c r="A433" s="183"/>
      <c r="B433" s="184"/>
      <c r="C433" s="184"/>
      <c r="D433" s="201"/>
      <c r="E433" s="202" t="s">
        <v>54</v>
      </c>
      <c r="F433" s="203"/>
      <c r="G433" s="204"/>
      <c r="H433" s="194"/>
      <c r="I433" s="195"/>
      <c r="J433" s="205">
        <f ca="1">IFERROR(__xludf.DUMMYFUNCTION("IMPORTRANGE(""https://docs.google.com/spreadsheets/d/1IYY_tgx_IHuhSq3AJ5eI5OnqOPBNLWSHKh2a30DoXe8/edit?usp=sharing"",""ตรัง!J328"")"),0)</f>
        <v>0</v>
      </c>
      <c r="K433" s="169"/>
      <c r="L433" s="189"/>
      <c r="M433" s="189"/>
      <c r="N433" s="189"/>
      <c r="O433" s="189"/>
      <c r="P433" s="189"/>
    </row>
    <row r="434" spans="1:16" ht="21.75" customHeight="1" x14ac:dyDescent="0.35">
      <c r="A434" s="183"/>
      <c r="B434" s="184"/>
      <c r="C434" s="184"/>
      <c r="D434" s="213">
        <v>3</v>
      </c>
      <c r="E434" s="214" t="s">
        <v>55</v>
      </c>
      <c r="F434" s="215"/>
      <c r="G434" s="216"/>
      <c r="H434" s="194"/>
      <c r="I434" s="195"/>
      <c r="J434" s="217">
        <f ca="1">IFERROR(__xludf.DUMMYFUNCTION("IMPORTRANGE(""https://docs.google.com/spreadsheets/d/1IYY_tgx_IHuhSq3AJ5eI5OnqOPBNLWSHKh2a30DoXe8/edit?usp=sharing"",""ตรัง!J329"")"),0)</f>
        <v>0</v>
      </c>
      <c r="K434" s="169"/>
      <c r="L434" s="189"/>
      <c r="M434" s="189"/>
      <c r="N434" s="189"/>
      <c r="O434" s="189"/>
      <c r="P434" s="189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IFERROR(__xludf.DUMMYFUNCTION("IMPORTRANGE(""https://docs.google.com/spreadsheets/d/1IYY_tgx_IHuhSq3AJ5eI5OnqOPBNLWSHKh2a30DoXe8/edit?usp=sharing"",""ตรัง!I330"")"),15)</f>
        <v>15</v>
      </c>
      <c r="J435" s="416">
        <f ca="1">IFERROR(__xludf.DUMMYFUNCTION("IMPORTRANGE(""https://docs.google.com/spreadsheets/d/1IYY_tgx_IHuhSq3AJ5eI5OnqOPBNLWSHKh2a30DoXe8/edit?usp=sharing"",""ตรัง!J330"")"),15)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IFERROR(__xludf.DUMMYFUNCTION("IMPORTRANGE(""https://docs.google.com/spreadsheets/d/1IYY_tgx_IHuhSq3AJ5eI5OnqOPBNLWSHKh2a30DoXe8/edit?usp=sharing"",""ตรัง!L330"")"),88000)</f>
        <v>88000</v>
      </c>
      <c r="M435" s="418"/>
      <c r="N435" s="418">
        <f ca="1">IFERROR(__xludf.DUMMYFUNCTION("IMPORTRANGE(""https://docs.google.com/spreadsheets/d/1IYY_tgx_IHuhSq3AJ5eI5OnqOPBNLWSHKh2a30DoXe8/edit?usp=sharing"",""ตรัง!M330"")"),39231.87)</f>
        <v>39231.870000000003</v>
      </c>
      <c r="O435" s="418">
        <f t="shared" ref="O435:O439" ca="1" si="114">+IF(L435&gt;0,N435*100/L435,0)</f>
        <v>44.58167045454546</v>
      </c>
      <c r="P435" s="418"/>
    </row>
    <row r="436" spans="1:16" ht="21.75" customHeight="1" x14ac:dyDescent="0.35">
      <c r="A436" s="162"/>
      <c r="B436" s="163"/>
      <c r="C436" s="163" t="s">
        <v>16</v>
      </c>
      <c r="D436" s="164" t="s">
        <v>38</v>
      </c>
      <c r="E436" s="165"/>
      <c r="F436" s="165"/>
      <c r="G436" s="166" t="s">
        <v>39</v>
      </c>
      <c r="H436" s="167" t="s">
        <v>12</v>
      </c>
      <c r="I436" s="168" t="s">
        <v>40</v>
      </c>
      <c r="J436" s="168"/>
      <c r="K436" s="169"/>
      <c r="L436" s="170">
        <f ca="1">IFERROR(__xludf.DUMMYFUNCTION("IMPORTRANGE(""https://docs.google.com/spreadsheets/d/1IYY_tgx_IHuhSq3AJ5eI5OnqOPBNLWSHKh2a30DoXe8/edit?usp=sharing"",""ตรัง!L331"")"),0)</f>
        <v>0</v>
      </c>
      <c r="M436" s="170"/>
      <c r="N436" s="176">
        <f ca="1">IFERROR(__xludf.DUMMYFUNCTION("IMPORTRANGE(""https://docs.google.com/spreadsheets/d/1IYY_tgx_IHuhSq3AJ5eI5OnqOPBNLWSHKh2a30DoXe8/edit?usp=sharing"",""ตรัง!M331"")"),0)</f>
        <v>0</v>
      </c>
      <c r="O436" s="176">
        <f t="shared" ca="1" si="114"/>
        <v>0</v>
      </c>
      <c r="P436" s="176"/>
    </row>
    <row r="437" spans="1:16" ht="21.75" customHeight="1" x14ac:dyDescent="0.35">
      <c r="A437" s="162"/>
      <c r="B437" s="163"/>
      <c r="C437" s="163"/>
      <c r="D437" s="172"/>
      <c r="E437" s="165"/>
      <c r="F437" s="165" t="s">
        <v>40</v>
      </c>
      <c r="G437" s="166" t="s">
        <v>41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IFERROR(__xludf.DUMMYFUNCTION("IMPORTRANGE(""https://docs.google.com/spreadsheets/d/1IYY_tgx_IHuhSq3AJ5eI5OnqOPBNLWSHKh2a30DoXe8/edit?usp=sharing"",""ตรัง!L332"")"),88000)</f>
        <v>88000</v>
      </c>
      <c r="M437" s="171"/>
      <c r="N437" s="176">
        <f ca="1">IFERROR(__xludf.DUMMYFUNCTION("IMPORTRANGE(""https://docs.google.com/spreadsheets/d/1IYY_tgx_IHuhSq3AJ5eI5OnqOPBNLWSHKh2a30DoXe8/edit?usp=sharing"",""ตรัง!M332"")"),39231.87)</f>
        <v>39231.870000000003</v>
      </c>
      <c r="O437" s="176">
        <f t="shared" ca="1" si="114"/>
        <v>44.58167045454546</v>
      </c>
      <c r="P437" s="176"/>
    </row>
    <row r="438" spans="1:16" ht="21.75" customHeight="1" x14ac:dyDescent="0.35">
      <c r="A438" s="162"/>
      <c r="B438" s="163"/>
      <c r="C438" s="163"/>
      <c r="D438" s="172"/>
      <c r="E438" s="165"/>
      <c r="F438" s="165"/>
      <c r="G438" s="380" t="s">
        <v>129</v>
      </c>
      <c r="H438" s="167" t="s">
        <v>12</v>
      </c>
      <c r="I438" s="168"/>
      <c r="J438" s="168"/>
      <c r="K438" s="169"/>
      <c r="L438" s="176">
        <f ca="1">IFERROR(__xludf.DUMMYFUNCTION("IMPORTRANGE(""https://docs.google.com/spreadsheets/d/1IYY_tgx_IHuhSq3AJ5eI5OnqOPBNLWSHKh2a30DoXe8/edit?usp=sharing"",""ตรัง!L333"")"),0)</f>
        <v>0</v>
      </c>
      <c r="M438" s="176"/>
      <c r="N438" s="176">
        <f ca="1">IFERROR(__xludf.DUMMYFUNCTION("IMPORTRANGE(""https://docs.google.com/spreadsheets/d/1IYY_tgx_IHuhSq3AJ5eI5OnqOPBNLWSHKh2a30DoXe8/edit?usp=sharing"",""ตรัง!M333"")"),0)</f>
        <v>0</v>
      </c>
      <c r="O438" s="176">
        <f t="shared" ca="1" si="114"/>
        <v>0</v>
      </c>
      <c r="P438" s="176"/>
    </row>
    <row r="439" spans="1:16" ht="21.75" customHeight="1" x14ac:dyDescent="0.35">
      <c r="A439" s="162"/>
      <c r="B439" s="163"/>
      <c r="C439" s="163"/>
      <c r="D439" s="172"/>
      <c r="E439" s="165"/>
      <c r="F439" s="165"/>
      <c r="G439" s="380" t="s">
        <v>130</v>
      </c>
      <c r="H439" s="167" t="s">
        <v>12</v>
      </c>
      <c r="I439" s="168"/>
      <c r="J439" s="168"/>
      <c r="K439" s="169"/>
      <c r="L439" s="176">
        <f ca="1">IFERROR(__xludf.DUMMYFUNCTION("IMPORTRANGE(""https://docs.google.com/spreadsheets/d/1IYY_tgx_IHuhSq3AJ5eI5OnqOPBNLWSHKh2a30DoXe8/edit?usp=sharing"",""ตรัง!L334"")"),88000)</f>
        <v>88000</v>
      </c>
      <c r="M439" s="176"/>
      <c r="N439" s="176">
        <f ca="1">IFERROR(__xludf.DUMMYFUNCTION("IMPORTRANGE(""https://docs.google.com/spreadsheets/d/1IYY_tgx_IHuhSq3AJ5eI5OnqOPBNLWSHKh2a30DoXe8/edit?usp=sharing"",""ตรัง!M334"")"),39231.87)</f>
        <v>39231.870000000003</v>
      </c>
      <c r="O439" s="176">
        <f t="shared" ca="1" si="114"/>
        <v>44.58167045454546</v>
      </c>
      <c r="P439" s="176"/>
    </row>
    <row r="440" spans="1:16" ht="21.75" customHeight="1" x14ac:dyDescent="0.35">
      <c r="A440" s="381"/>
      <c r="B440" s="382"/>
      <c r="C440" s="163"/>
      <c r="D440" s="383"/>
      <c r="E440" s="165"/>
      <c r="F440" s="165"/>
      <c r="G440" s="384" t="s">
        <v>131</v>
      </c>
      <c r="H440" s="167" t="s">
        <v>12</v>
      </c>
      <c r="I440" s="195"/>
      <c r="J440" s="195"/>
      <c r="K440" s="231"/>
      <c r="L440" s="176"/>
      <c r="M440" s="176"/>
      <c r="N440" s="385">
        <f ca="1">IFERROR(__xludf.DUMMYFUNCTION("IMPORTRANGE(""https://docs.google.com/spreadsheets/d/1IYY_tgx_IHuhSq3AJ5eI5OnqOPBNLWSHKh2a30DoXe8/edit?usp=sharing"",""ตรัง!M335"")"),39231.87)</f>
        <v>39231.870000000003</v>
      </c>
      <c r="O440" s="176"/>
      <c r="P440" s="176"/>
    </row>
    <row r="441" spans="1:16" ht="21.75" customHeight="1" x14ac:dyDescent="0.35">
      <c r="A441" s="381"/>
      <c r="B441" s="382"/>
      <c r="C441" s="163"/>
      <c r="D441" s="383"/>
      <c r="E441" s="165"/>
      <c r="F441" s="165"/>
      <c r="G441" s="384" t="s">
        <v>132</v>
      </c>
      <c r="H441" s="167" t="s">
        <v>12</v>
      </c>
      <c r="I441" s="195"/>
      <c r="J441" s="195"/>
      <c r="K441" s="231"/>
      <c r="L441" s="176"/>
      <c r="M441" s="176"/>
      <c r="N441" s="385">
        <f ca="1">IFERROR(__xludf.DUMMYFUNCTION("IMPORTRANGE(""https://docs.google.com/spreadsheets/d/1IYY_tgx_IHuhSq3AJ5eI5OnqOPBNLWSHKh2a30DoXe8/edit?usp=sharing"",""ตรัง!M336"")"),0)</f>
        <v>0</v>
      </c>
      <c r="O441" s="176"/>
      <c r="P441" s="176"/>
    </row>
    <row r="442" spans="1:16" ht="21.75" customHeight="1" x14ac:dyDescent="0.35">
      <c r="A442" s="381"/>
      <c r="B442" s="382"/>
      <c r="C442" s="163"/>
      <c r="D442" s="383"/>
      <c r="E442" s="165"/>
      <c r="F442" s="165"/>
      <c r="G442" s="384" t="s">
        <v>133</v>
      </c>
      <c r="H442" s="167" t="s">
        <v>12</v>
      </c>
      <c r="I442" s="195"/>
      <c r="J442" s="195"/>
      <c r="K442" s="231"/>
      <c r="L442" s="176"/>
      <c r="M442" s="176"/>
      <c r="N442" s="385">
        <f ca="1">IFERROR(__xludf.DUMMYFUNCTION("IMPORTRANGE(""https://docs.google.com/spreadsheets/d/1IYY_tgx_IHuhSq3AJ5eI5OnqOPBNLWSHKh2a30DoXe8/edit?usp=sharing"",""ตรัง!M337"")"),0)</f>
        <v>0</v>
      </c>
      <c r="O442" s="176"/>
      <c r="P442" s="176"/>
    </row>
    <row r="443" spans="1:16" ht="21.75" customHeight="1" x14ac:dyDescent="0.35">
      <c r="A443" s="381"/>
      <c r="B443" s="382"/>
      <c r="C443" s="163"/>
      <c r="D443" s="383"/>
      <c r="E443" s="165"/>
      <c r="F443" s="165"/>
      <c r="G443" s="384" t="s">
        <v>134</v>
      </c>
      <c r="H443" s="167" t="s">
        <v>12</v>
      </c>
      <c r="I443" s="195"/>
      <c r="J443" s="195"/>
      <c r="K443" s="231"/>
      <c r="L443" s="176"/>
      <c r="M443" s="176"/>
      <c r="N443" s="385">
        <f ca="1">IFERROR(__xludf.DUMMYFUNCTION("IMPORTRANGE(""https://docs.google.com/spreadsheets/d/1IYY_tgx_IHuhSq3AJ5eI5OnqOPBNLWSHKh2a30DoXe8/edit?usp=sharing"",""ตรัง!M338"")"),0)</f>
        <v>0</v>
      </c>
      <c r="O443" s="176"/>
      <c r="P443" s="176"/>
    </row>
    <row r="444" spans="1:16" ht="21.75" customHeight="1" x14ac:dyDescent="0.35">
      <c r="A444" s="183"/>
      <c r="B444" s="184"/>
      <c r="C444" s="163" t="s">
        <v>16</v>
      </c>
      <c r="D444" s="185" t="s">
        <v>44</v>
      </c>
      <c r="E444" s="186"/>
      <c r="F444" s="186"/>
      <c r="G444" s="187"/>
      <c r="H444" s="188"/>
      <c r="I444" s="168"/>
      <c r="J444" s="168"/>
      <c r="K444" s="169"/>
      <c r="L444" s="189"/>
      <c r="M444" s="189"/>
      <c r="N444" s="189"/>
      <c r="O444" s="189"/>
      <c r="P444" s="189"/>
    </row>
    <row r="445" spans="1:16" ht="21.75" customHeight="1" x14ac:dyDescent="0.35">
      <c r="A445" s="183"/>
      <c r="B445" s="184"/>
      <c r="C445" s="184"/>
      <c r="D445" s="190">
        <v>1</v>
      </c>
      <c r="E445" s="191" t="s">
        <v>45</v>
      </c>
      <c r="F445" s="192"/>
      <c r="G445" s="193"/>
      <c r="H445" s="194"/>
      <c r="I445" s="195"/>
      <c r="J445" s="217">
        <f ca="1">IFERROR(__xludf.DUMMYFUNCTION("IMPORTRANGE(""https://docs.google.com/spreadsheets/d/1IYY_tgx_IHuhSq3AJ5eI5OnqOPBNLWSHKh2a30DoXe8/edit?usp=sharing"",""ตรัง!J340"")"),0)</f>
        <v>0</v>
      </c>
      <c r="K445" s="169"/>
      <c r="L445" s="189"/>
      <c r="M445" s="189"/>
      <c r="N445" s="189"/>
      <c r="O445" s="189"/>
      <c r="P445" s="189"/>
    </row>
    <row r="446" spans="1:16" ht="21.75" customHeight="1" x14ac:dyDescent="0.35">
      <c r="A446" s="183"/>
      <c r="B446" s="184"/>
      <c r="C446" s="184"/>
      <c r="D446" s="197">
        <v>2</v>
      </c>
      <c r="E446" s="198" t="s">
        <v>46</v>
      </c>
      <c r="F446" s="199"/>
      <c r="G446" s="200"/>
      <c r="H446" s="194"/>
      <c r="I446" s="195"/>
      <c r="J446" s="419">
        <f ca="1">IFERROR(__xludf.DUMMYFUNCTION("IMPORTRANGE(""https://docs.google.com/spreadsheets/d/1IYY_tgx_IHuhSq3AJ5eI5OnqOPBNLWSHKh2a30DoXe8/edit?usp=sharing"",""ตรัง!J341"")"),1)</f>
        <v>1</v>
      </c>
      <c r="K446" s="169"/>
      <c r="L446" s="189" t="s">
        <v>40</v>
      </c>
      <c r="M446" s="189"/>
      <c r="N446" s="189" t="s">
        <v>40</v>
      </c>
      <c r="O446" s="189"/>
      <c r="P446" s="189"/>
    </row>
    <row r="447" spans="1:16" ht="21.75" customHeight="1" x14ac:dyDescent="0.35">
      <c r="A447" s="183"/>
      <c r="B447" s="184"/>
      <c r="C447" s="184"/>
      <c r="D447" s="201"/>
      <c r="E447" s="202" t="s">
        <v>161</v>
      </c>
      <c r="F447" s="203"/>
      <c r="G447" s="204"/>
      <c r="H447" s="194"/>
      <c r="I447" s="195"/>
      <c r="J447" s="196">
        <f ca="1">IFERROR(__xludf.DUMMYFUNCTION("IMPORTRANGE(""https://docs.google.com/spreadsheets/d/1IYY_tgx_IHuhSq3AJ5eI5OnqOPBNLWSHKh2a30DoXe8/edit?usp=sharing"",""ตรัง!J342"")"),1)</f>
        <v>1</v>
      </c>
      <c r="K447" s="169"/>
      <c r="L447" s="189"/>
      <c r="M447" s="189"/>
      <c r="N447" s="189"/>
      <c r="O447" s="189"/>
      <c r="P447" s="189"/>
    </row>
    <row r="448" spans="1:16" ht="21.75" customHeight="1" x14ac:dyDescent="0.35">
      <c r="A448" s="183"/>
      <c r="B448" s="184"/>
      <c r="C448" s="184"/>
      <c r="D448" s="201"/>
      <c r="E448" s="202" t="s">
        <v>48</v>
      </c>
      <c r="F448" s="203"/>
      <c r="G448" s="204"/>
      <c r="H448" s="194"/>
      <c r="I448" s="195"/>
      <c r="J448" s="196">
        <f ca="1">IFERROR(__xludf.DUMMYFUNCTION("IMPORTRANGE(""https://docs.google.com/spreadsheets/d/1IYY_tgx_IHuhSq3AJ5eI5OnqOPBNLWSHKh2a30DoXe8/edit?usp=sharing"",""ตรัง!J343"")"),1)</f>
        <v>1</v>
      </c>
      <c r="K448" s="169"/>
      <c r="L448" s="189"/>
      <c r="M448" s="189"/>
      <c r="N448" s="189"/>
      <c r="O448" s="189"/>
      <c r="P448" s="189"/>
    </row>
    <row r="449" spans="1:16" ht="21.75" customHeight="1" x14ac:dyDescent="0.35">
      <c r="A449" s="183"/>
      <c r="B449" s="184"/>
      <c r="C449" s="184"/>
      <c r="D449" s="201"/>
      <c r="E449" s="206"/>
      <c r="F449" s="420" t="s">
        <v>101</v>
      </c>
      <c r="G449" s="204"/>
      <c r="H449" s="194" t="s">
        <v>37</v>
      </c>
      <c r="I449" s="397">
        <f ca="1">IFERROR(__xludf.DUMMYFUNCTION("IMPORTRANGE(""https://docs.google.com/spreadsheets/d/1IYY_tgx_IHuhSq3AJ5eI5OnqOPBNLWSHKh2a30DoXe8/edit?usp=sharing"",""ตรัง!I344"")"),15)</f>
        <v>15</v>
      </c>
      <c r="J449" s="208">
        <f ca="1">IFERROR(__xludf.DUMMYFUNCTION("IMPORTRANGE(""https://docs.google.com/spreadsheets/d/1IYY_tgx_IHuhSq3AJ5eI5OnqOPBNLWSHKh2a30DoXe8/edit?usp=sharing"",""ตรัง!J344"")"),15)</f>
        <v>15</v>
      </c>
      <c r="K449" s="169">
        <f t="shared" ref="K449:K452" ca="1" si="115">IF(I449&gt;0,J449*100/I449,0)</f>
        <v>100</v>
      </c>
      <c r="L449" s="189"/>
      <c r="M449" s="189"/>
      <c r="N449" s="189"/>
      <c r="O449" s="189"/>
      <c r="P449" s="189"/>
    </row>
    <row r="450" spans="1:16" ht="21.75" customHeight="1" x14ac:dyDescent="0.35">
      <c r="A450" s="183"/>
      <c r="B450" s="184"/>
      <c r="C450" s="184"/>
      <c r="D450" s="201"/>
      <c r="E450" s="206"/>
      <c r="F450" s="203"/>
      <c r="G450" s="233" t="s">
        <v>162</v>
      </c>
      <c r="H450" s="194" t="s">
        <v>37</v>
      </c>
      <c r="I450" s="347">
        <f ca="1">IFERROR(__xludf.DUMMYFUNCTION("IMPORTRANGE(""https://docs.google.com/spreadsheets/d/1IYY_tgx_IHuhSq3AJ5eI5OnqOPBNLWSHKh2a30DoXe8/edit?usp=sharing"",""ตรัง!I345"")"),15)</f>
        <v>15</v>
      </c>
      <c r="J450" s="196">
        <f ca="1">IFERROR(__xludf.DUMMYFUNCTION("IMPORTRANGE(""https://docs.google.com/spreadsheets/d/1IYY_tgx_IHuhSq3AJ5eI5OnqOPBNLWSHKh2a30DoXe8/edit?usp=sharing"",""ตรัง!J345"")"),15)</f>
        <v>15</v>
      </c>
      <c r="K450" s="169">
        <f t="shared" ca="1" si="115"/>
        <v>100</v>
      </c>
      <c r="L450" s="189"/>
      <c r="M450" s="189"/>
      <c r="N450" s="189"/>
      <c r="O450" s="189"/>
      <c r="P450" s="189"/>
    </row>
    <row r="451" spans="1:16" ht="21.75" customHeight="1" x14ac:dyDescent="0.35">
      <c r="A451" s="183"/>
      <c r="B451" s="184"/>
      <c r="C451" s="184"/>
      <c r="D451" s="201"/>
      <c r="E451" s="206"/>
      <c r="F451" s="203"/>
      <c r="G451" s="287" t="s">
        <v>163</v>
      </c>
      <c r="H451" s="194" t="s">
        <v>37</v>
      </c>
      <c r="I451" s="347">
        <f ca="1">IFERROR(__xludf.DUMMYFUNCTION("IMPORTRANGE(""https://docs.google.com/spreadsheets/d/1IYY_tgx_IHuhSq3AJ5eI5OnqOPBNLWSHKh2a30DoXe8/edit?usp=sharing"",""ตรัง!I346"")"),0)</f>
        <v>0</v>
      </c>
      <c r="J451" s="195">
        <f ca="1">IFERROR(__xludf.DUMMYFUNCTION("IMPORTRANGE(""https://docs.google.com/spreadsheets/d/1IYY_tgx_IHuhSq3AJ5eI5OnqOPBNLWSHKh2a30DoXe8/edit?usp=sharing"",""ตรัง!J346"")"),0)</f>
        <v>0</v>
      </c>
      <c r="K451" s="169">
        <f t="shared" ca="1" si="115"/>
        <v>0</v>
      </c>
      <c r="L451" s="189"/>
      <c r="M451" s="189"/>
      <c r="N451" s="189"/>
      <c r="O451" s="189"/>
      <c r="P451" s="189"/>
    </row>
    <row r="452" spans="1:16" ht="21.75" customHeight="1" x14ac:dyDescent="0.35">
      <c r="A452" s="183"/>
      <c r="B452" s="184"/>
      <c r="C452" s="184"/>
      <c r="D452" s="201"/>
      <c r="E452" s="206"/>
      <c r="F452" s="203"/>
      <c r="G452" s="204" t="s">
        <v>164</v>
      </c>
      <c r="H452" s="194" t="s">
        <v>37</v>
      </c>
      <c r="I452" s="195">
        <f ca="1">IFERROR(__xludf.DUMMYFUNCTION("IMPORTRANGE(""https://docs.google.com/spreadsheets/d/1IYY_tgx_IHuhSq3AJ5eI5OnqOPBNLWSHKh2a30DoXe8/edit?usp=sharing"",""ตรัง!I347"")"),0)</f>
        <v>0</v>
      </c>
      <c r="J452" s="195">
        <f ca="1">IFERROR(__xludf.DUMMYFUNCTION("IMPORTRANGE(""https://docs.google.com/spreadsheets/d/1IYY_tgx_IHuhSq3AJ5eI5OnqOPBNLWSHKh2a30DoXe8/edit?usp=sharing"",""ตรัง!J347"")"),0)</f>
        <v>0</v>
      </c>
      <c r="K452" s="169">
        <f t="shared" ca="1" si="115"/>
        <v>0</v>
      </c>
      <c r="L452" s="189"/>
      <c r="M452" s="189"/>
      <c r="N452" s="189"/>
      <c r="O452" s="189"/>
      <c r="P452" s="189"/>
    </row>
    <row r="453" spans="1:16" ht="21.75" customHeight="1" x14ac:dyDescent="0.35">
      <c r="A453" s="183"/>
      <c r="B453" s="184"/>
      <c r="C453" s="184"/>
      <c r="D453" s="201"/>
      <c r="E453" s="202" t="s">
        <v>54</v>
      </c>
      <c r="F453" s="203"/>
      <c r="G453" s="204"/>
      <c r="H453" s="194"/>
      <c r="I453" s="195"/>
      <c r="J453" s="205">
        <f ca="1">IFERROR(__xludf.DUMMYFUNCTION("IMPORTRANGE(""https://docs.google.com/spreadsheets/d/1IYY_tgx_IHuhSq3AJ5eI5OnqOPBNLWSHKh2a30DoXe8/edit?usp=sharing"",""ตรัง!J348"")"),0)</f>
        <v>0</v>
      </c>
      <c r="K453" s="169"/>
      <c r="L453" s="189"/>
      <c r="M453" s="189"/>
      <c r="N453" s="189"/>
      <c r="O453" s="189"/>
      <c r="P453" s="189"/>
    </row>
    <row r="454" spans="1:16" ht="21.75" customHeight="1" x14ac:dyDescent="0.35">
      <c r="A454" s="183"/>
      <c r="B454" s="184"/>
      <c r="C454" s="184"/>
      <c r="D454" s="213">
        <v>3</v>
      </c>
      <c r="E454" s="214" t="s">
        <v>55</v>
      </c>
      <c r="F454" s="215"/>
      <c r="G454" s="216"/>
      <c r="H454" s="194"/>
      <c r="I454" s="195"/>
      <c r="J454" s="217">
        <f ca="1">IFERROR(__xludf.DUMMYFUNCTION("IMPORTRANGE(""https://docs.google.com/spreadsheets/d/1IYY_tgx_IHuhSq3AJ5eI5OnqOPBNLWSHKh2a30DoXe8/edit?usp=sharing"",""ตรัง!J349"")"),0)</f>
        <v>0</v>
      </c>
      <c r="K454" s="169"/>
      <c r="L454" s="189"/>
      <c r="M454" s="189"/>
      <c r="N454" s="189"/>
      <c r="O454" s="189"/>
      <c r="P454" s="189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IFERROR(__xludf.DUMMYFUNCTION("IMPORTRANGE(""https://docs.google.com/spreadsheets/d/1IYY_tgx_IHuhSq3AJ5eI5OnqOPBNLWSHKh2a30DoXe8/edit?usp=sharing"",""ตรัง!I350"")"),39755)</f>
        <v>39755</v>
      </c>
      <c r="J455" s="377">
        <f ca="1">IFERROR(__xludf.DUMMYFUNCTION("IMPORTRANGE(""https://docs.google.com/spreadsheets/d/1IYY_tgx_IHuhSq3AJ5eI5OnqOPBNLWSHKh2a30DoXe8/edit?usp=sharing"",""ตรัง!J350"")"),36628)</f>
        <v>36628</v>
      </c>
      <c r="K455" s="378">
        <f ca="1">IF(I455&gt;0,J455*100/I455,0)</f>
        <v>92.134322726701043</v>
      </c>
      <c r="L455" s="379">
        <f ca="1">IFERROR(__xludf.DUMMYFUNCTION("IMPORTRANGE(""https://docs.google.com/spreadsheets/d/1IYY_tgx_IHuhSq3AJ5eI5OnqOPBNLWSHKh2a30DoXe8/edit?usp=sharing"",""ตรัง!L350"")"),235518)</f>
        <v>235518</v>
      </c>
      <c r="M455" s="379"/>
      <c r="N455" s="379">
        <f ca="1">IFERROR(__xludf.DUMMYFUNCTION("IMPORTRANGE(""https://docs.google.com/spreadsheets/d/1IYY_tgx_IHuhSq3AJ5eI5OnqOPBNLWSHKh2a30DoXe8/edit?usp=sharing"",""ตรัง!M350"")"),54088)</f>
        <v>54088</v>
      </c>
      <c r="O455" s="379">
        <f t="shared" ref="O455:O459" ca="1" si="116">+IF(L455&gt;0,N455*100/L455,0)</f>
        <v>22.965548280810808</v>
      </c>
      <c r="P455" s="379"/>
    </row>
    <row r="456" spans="1:16" ht="21.75" customHeight="1" x14ac:dyDescent="0.35">
      <c r="A456" s="162"/>
      <c r="B456" s="163"/>
      <c r="C456" s="163" t="s">
        <v>16</v>
      </c>
      <c r="D456" s="164" t="s">
        <v>38</v>
      </c>
      <c r="E456" s="165"/>
      <c r="F456" s="165"/>
      <c r="G456" s="166" t="s">
        <v>39</v>
      </c>
      <c r="H456" s="167" t="s">
        <v>12</v>
      </c>
      <c r="I456" s="168" t="s">
        <v>40</v>
      </c>
      <c r="J456" s="168"/>
      <c r="K456" s="169"/>
      <c r="L456" s="170">
        <f ca="1">IFERROR(__xludf.DUMMYFUNCTION("IMPORTRANGE(""https://docs.google.com/spreadsheets/d/1IYY_tgx_IHuhSq3AJ5eI5OnqOPBNLWSHKh2a30DoXe8/edit?usp=sharing"",""ตรัง!L351"")"),0)</f>
        <v>0</v>
      </c>
      <c r="M456" s="170"/>
      <c r="N456" s="176">
        <f ca="1">IFERROR(__xludf.DUMMYFUNCTION("IMPORTRANGE(""https://docs.google.com/spreadsheets/d/1IYY_tgx_IHuhSq3AJ5eI5OnqOPBNLWSHKh2a30DoXe8/edit?usp=sharing"",""ตรัง!M351"")"),0)</f>
        <v>0</v>
      </c>
      <c r="O456" s="176">
        <f t="shared" ca="1" si="116"/>
        <v>0</v>
      </c>
      <c r="P456" s="176"/>
    </row>
    <row r="457" spans="1:16" ht="21.75" customHeight="1" x14ac:dyDescent="0.35">
      <c r="A457" s="162"/>
      <c r="B457" s="163"/>
      <c r="C457" s="163"/>
      <c r="D457" s="172"/>
      <c r="E457" s="165"/>
      <c r="F457" s="165" t="s">
        <v>40</v>
      </c>
      <c r="G457" s="166" t="s">
        <v>41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IFERROR(__xludf.DUMMYFUNCTION("IMPORTRANGE(""https://docs.google.com/spreadsheets/d/1IYY_tgx_IHuhSq3AJ5eI5OnqOPBNLWSHKh2a30DoXe8/edit?usp=sharing"",""ตรัง!L352"")"),235518)</f>
        <v>235518</v>
      </c>
      <c r="M457" s="171"/>
      <c r="N457" s="176">
        <f ca="1">IFERROR(__xludf.DUMMYFUNCTION("IMPORTRANGE(""https://docs.google.com/spreadsheets/d/1IYY_tgx_IHuhSq3AJ5eI5OnqOPBNLWSHKh2a30DoXe8/edit?usp=sharing"",""ตรัง!M352"")"),54088)</f>
        <v>54088</v>
      </c>
      <c r="O457" s="176">
        <f t="shared" ca="1" si="116"/>
        <v>22.965548280810808</v>
      </c>
      <c r="P457" s="176"/>
    </row>
    <row r="458" spans="1:16" ht="21.75" customHeight="1" x14ac:dyDescent="0.35">
      <c r="A458" s="162"/>
      <c r="B458" s="163"/>
      <c r="C458" s="163"/>
      <c r="D458" s="172"/>
      <c r="E458" s="165"/>
      <c r="F458" s="165"/>
      <c r="G458" s="380" t="s">
        <v>129</v>
      </c>
      <c r="H458" s="167" t="s">
        <v>12</v>
      </c>
      <c r="I458" s="168"/>
      <c r="J458" s="168"/>
      <c r="K458" s="169"/>
      <c r="L458" s="176">
        <f ca="1">IFERROR(__xludf.DUMMYFUNCTION("IMPORTRANGE(""https://docs.google.com/spreadsheets/d/1IYY_tgx_IHuhSq3AJ5eI5OnqOPBNLWSHKh2a30DoXe8/edit?usp=sharing"",""ตรัง!L353"")"),0)</f>
        <v>0</v>
      </c>
      <c r="M458" s="176"/>
      <c r="N458" s="176">
        <f ca="1">IFERROR(__xludf.DUMMYFUNCTION("IMPORTRANGE(""https://docs.google.com/spreadsheets/d/1IYY_tgx_IHuhSq3AJ5eI5OnqOPBNLWSHKh2a30DoXe8/edit?usp=sharing"",""ตรัง!M353"")"),0)</f>
        <v>0</v>
      </c>
      <c r="O458" s="176">
        <f t="shared" ca="1" si="116"/>
        <v>0</v>
      </c>
      <c r="P458" s="176"/>
    </row>
    <row r="459" spans="1:16" ht="21.75" customHeight="1" x14ac:dyDescent="0.35">
      <c r="A459" s="162"/>
      <c r="B459" s="163"/>
      <c r="C459" s="163"/>
      <c r="D459" s="172"/>
      <c r="E459" s="165"/>
      <c r="F459" s="165"/>
      <c r="G459" s="380" t="s">
        <v>130</v>
      </c>
      <c r="H459" s="167" t="s">
        <v>12</v>
      </c>
      <c r="I459" s="168"/>
      <c r="J459" s="168"/>
      <c r="K459" s="169"/>
      <c r="L459" s="176">
        <f ca="1">IFERROR(__xludf.DUMMYFUNCTION("IMPORTRANGE(""https://docs.google.com/spreadsheets/d/1IYY_tgx_IHuhSq3AJ5eI5OnqOPBNLWSHKh2a30DoXe8/edit?usp=sharing"",""ตรัง!L354"")"),235518)</f>
        <v>235518</v>
      </c>
      <c r="M459" s="176"/>
      <c r="N459" s="176">
        <f ca="1">IFERROR(__xludf.DUMMYFUNCTION("IMPORTRANGE(""https://docs.google.com/spreadsheets/d/1IYY_tgx_IHuhSq3AJ5eI5OnqOPBNLWSHKh2a30DoXe8/edit?usp=sharing"",""ตรัง!M354"")"),54088)</f>
        <v>54088</v>
      </c>
      <c r="O459" s="176">
        <f t="shared" ca="1" si="116"/>
        <v>22.965548280810808</v>
      </c>
      <c r="P459" s="176"/>
    </row>
    <row r="460" spans="1:16" ht="21.75" customHeight="1" x14ac:dyDescent="0.35">
      <c r="A460" s="381"/>
      <c r="B460" s="382"/>
      <c r="C460" s="163"/>
      <c r="D460" s="383"/>
      <c r="E460" s="165"/>
      <c r="F460" s="165"/>
      <c r="G460" s="384" t="s">
        <v>131</v>
      </c>
      <c r="H460" s="167" t="s">
        <v>12</v>
      </c>
      <c r="I460" s="195"/>
      <c r="J460" s="195"/>
      <c r="K460" s="231"/>
      <c r="L460" s="176"/>
      <c r="M460" s="176"/>
      <c r="N460" s="173">
        <f ca="1">IFERROR(__xludf.DUMMYFUNCTION("IMPORTRANGE(""https://docs.google.com/spreadsheets/d/1IYY_tgx_IHuhSq3AJ5eI5OnqOPBNLWSHKh2a30DoXe8/edit?usp=sharing"",""ตรัง!M355"")"),0)</f>
        <v>0</v>
      </c>
      <c r="O460" s="176"/>
      <c r="P460" s="176"/>
    </row>
    <row r="461" spans="1:16" ht="21.75" customHeight="1" x14ac:dyDescent="0.35">
      <c r="A461" s="381"/>
      <c r="B461" s="382"/>
      <c r="C461" s="163"/>
      <c r="D461" s="383"/>
      <c r="E461" s="165"/>
      <c r="F461" s="165"/>
      <c r="G461" s="384" t="s">
        <v>132</v>
      </c>
      <c r="H461" s="167" t="s">
        <v>12</v>
      </c>
      <c r="I461" s="195"/>
      <c r="J461" s="195"/>
      <c r="K461" s="231"/>
      <c r="L461" s="176"/>
      <c r="M461" s="176"/>
      <c r="N461" s="173">
        <f ca="1">IFERROR(__xludf.DUMMYFUNCTION("IMPORTRANGE(""https://docs.google.com/spreadsheets/d/1IYY_tgx_IHuhSq3AJ5eI5OnqOPBNLWSHKh2a30DoXe8/edit?usp=sharing"",""ตรัง!M356"")"),0)</f>
        <v>0</v>
      </c>
      <c r="O461" s="176"/>
      <c r="P461" s="176"/>
    </row>
    <row r="462" spans="1:16" ht="21.75" customHeight="1" x14ac:dyDescent="0.35">
      <c r="A462" s="381"/>
      <c r="B462" s="382"/>
      <c r="C462" s="163"/>
      <c r="D462" s="383"/>
      <c r="E462" s="165"/>
      <c r="F462" s="165"/>
      <c r="G462" s="384" t="s">
        <v>133</v>
      </c>
      <c r="H462" s="167" t="s">
        <v>12</v>
      </c>
      <c r="I462" s="195"/>
      <c r="J462" s="195"/>
      <c r="K462" s="231"/>
      <c r="L462" s="176"/>
      <c r="M462" s="176"/>
      <c r="N462" s="385">
        <f ca="1">IFERROR(__xludf.DUMMYFUNCTION("IMPORTRANGE(""https://docs.google.com/spreadsheets/d/1IYY_tgx_IHuhSq3AJ5eI5OnqOPBNLWSHKh2a30DoXe8/edit?usp=sharing"",""ตรัง!M357"")"),0)</f>
        <v>0</v>
      </c>
      <c r="O462" s="176"/>
      <c r="P462" s="176"/>
    </row>
    <row r="463" spans="1:16" ht="21.75" customHeight="1" x14ac:dyDescent="0.35">
      <c r="A463" s="381"/>
      <c r="B463" s="382"/>
      <c r="C463" s="163"/>
      <c r="D463" s="383"/>
      <c r="E463" s="165"/>
      <c r="F463" s="165"/>
      <c r="G463" s="384" t="s">
        <v>134</v>
      </c>
      <c r="H463" s="167" t="s">
        <v>12</v>
      </c>
      <c r="I463" s="195"/>
      <c r="J463" s="195"/>
      <c r="K463" s="231"/>
      <c r="L463" s="176"/>
      <c r="M463" s="176"/>
      <c r="N463" s="385">
        <f ca="1">IFERROR(__xludf.DUMMYFUNCTION("IMPORTRANGE(""https://docs.google.com/spreadsheets/d/1IYY_tgx_IHuhSq3AJ5eI5OnqOPBNLWSHKh2a30DoXe8/edit?usp=sharing"",""ตรัง!M358"")"),54088)</f>
        <v>54088</v>
      </c>
      <c r="O463" s="176"/>
      <c r="P463" s="176"/>
    </row>
    <row r="464" spans="1:16" ht="21.75" customHeight="1" x14ac:dyDescent="0.35">
      <c r="A464" s="183"/>
      <c r="B464" s="184"/>
      <c r="C464" s="421" t="s">
        <v>166</v>
      </c>
      <c r="D464" s="421"/>
      <c r="E464" s="422"/>
      <c r="F464" s="422"/>
      <c r="G464" s="423"/>
      <c r="H464" s="273" t="s">
        <v>122</v>
      </c>
      <c r="I464" s="274">
        <f ca="1">IFERROR(__xludf.DUMMYFUNCTION("IMPORTRANGE(""https://docs.google.com/spreadsheets/d/1IYY_tgx_IHuhSq3AJ5eI5OnqOPBNLWSHKh2a30DoXe8/edit?usp=sharing"",""ตรัง!I359"")"),39755)</f>
        <v>39755</v>
      </c>
      <c r="J464" s="274">
        <f ca="1">IFERROR(__xludf.DUMMYFUNCTION("IMPORTRANGE(""https://docs.google.com/spreadsheets/d/1IYY_tgx_IHuhSq3AJ5eI5OnqOPBNLWSHKh2a30DoXe8/edit?usp=sharing"",""ตรัง!J359"")"),36628)</f>
        <v>36628</v>
      </c>
      <c r="K464" s="275">
        <f t="shared" ref="K464:K515" ca="1" si="117">IF(I464&gt;0,J464*100/I464,0)</f>
        <v>92.134322726701043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1" t="s">
        <v>167</v>
      </c>
      <c r="F465" s="203"/>
      <c r="G465" s="204"/>
      <c r="H465" s="424" t="s">
        <v>122</v>
      </c>
      <c r="I465" s="425">
        <f ca="1">IFERROR(__xludf.DUMMYFUNCTION("IMPORTRANGE(""https://docs.google.com/spreadsheets/d/1IYY_tgx_IHuhSq3AJ5eI5OnqOPBNLWSHKh2a30DoXe8/edit?usp=sharing"",""ตรัง!I360"")"),39755)</f>
        <v>39755</v>
      </c>
      <c r="J465" s="426">
        <f ca="1">IFERROR(__xludf.DUMMYFUNCTION("IMPORTRANGE(""https://docs.google.com/spreadsheets/d/1IYY_tgx_IHuhSq3AJ5eI5OnqOPBNLWSHKh2a30DoXe8/edit?usp=sharing"",""ตรัง!J360"")"),39755)</f>
        <v>39755</v>
      </c>
      <c r="K465" s="209">
        <f t="shared" ca="1" si="117"/>
        <v>100</v>
      </c>
      <c r="L465" s="189"/>
      <c r="M465" s="189"/>
      <c r="N465" s="189"/>
      <c r="O465" s="189"/>
      <c r="P465" s="189"/>
    </row>
    <row r="466" spans="1:16" ht="21.75" customHeight="1" x14ac:dyDescent="0.35">
      <c r="A466" s="408"/>
      <c r="B466" s="409"/>
      <c r="C466" s="409"/>
      <c r="D466" s="410"/>
      <c r="E466" s="203"/>
      <c r="F466" s="203"/>
      <c r="G466" s="204"/>
      <c r="H466" s="424" t="s">
        <v>36</v>
      </c>
      <c r="I466" s="425">
        <f ca="1">IFERROR(__xludf.DUMMYFUNCTION("IMPORTRANGE(""https://docs.google.com/spreadsheets/d/1IYY_tgx_IHuhSq3AJ5eI5OnqOPBNLWSHKh2a30DoXe8/edit?usp=sharing"",""ตรัง!I361"")"),3513)</f>
        <v>3513</v>
      </c>
      <c r="J466" s="426">
        <f ca="1">IFERROR(__xludf.DUMMYFUNCTION("IMPORTRANGE(""https://docs.google.com/spreadsheets/d/1IYY_tgx_IHuhSq3AJ5eI5OnqOPBNLWSHKh2a30DoXe8/edit?usp=sharing"",""ตรัง!J361"")"),3512)</f>
        <v>3512</v>
      </c>
      <c r="K466" s="209">
        <f t="shared" ca="1" si="117"/>
        <v>99.971534301167097</v>
      </c>
      <c r="L466" s="189"/>
      <c r="M466" s="189"/>
      <c r="N466" s="189"/>
      <c r="O466" s="189"/>
      <c r="P466" s="189"/>
    </row>
    <row r="467" spans="1:16" ht="21.75" customHeight="1" x14ac:dyDescent="0.35">
      <c r="A467" s="408"/>
      <c r="B467" s="409"/>
      <c r="C467" s="409"/>
      <c r="D467" s="410"/>
      <c r="E467" s="203"/>
      <c r="F467" s="396" t="s">
        <v>168</v>
      </c>
      <c r="G467" s="427"/>
      <c r="H467" s="428" t="s">
        <v>122</v>
      </c>
      <c r="I467" s="210">
        <f ca="1">IFERROR(__xludf.DUMMYFUNCTION("IMPORTRANGE(""https://docs.google.com/spreadsheets/d/1IYY_tgx_IHuhSq3AJ5eI5OnqOPBNLWSHKh2a30DoXe8/edit?usp=sharing"",""ตรัง!I362"")"),0)</f>
        <v>0</v>
      </c>
      <c r="J467" s="196">
        <f ca="1">IFERROR(__xludf.DUMMYFUNCTION("IMPORTRANGE(""https://docs.google.com/spreadsheets/d/1IYY_tgx_IHuhSq3AJ5eI5OnqOPBNLWSHKh2a30DoXe8/edit?usp=sharing"",""ตรัง!J362"")"),36628)</f>
        <v>36628</v>
      </c>
      <c r="K467" s="169">
        <f t="shared" ca="1" si="117"/>
        <v>0</v>
      </c>
      <c r="L467" s="189"/>
      <c r="M467" s="189"/>
      <c r="N467" s="189"/>
      <c r="O467" s="189"/>
      <c r="P467" s="189"/>
    </row>
    <row r="468" spans="1:16" ht="21.75" customHeight="1" x14ac:dyDescent="0.35">
      <c r="A468" s="408"/>
      <c r="B468" s="409"/>
      <c r="C468" s="409"/>
      <c r="D468" s="410"/>
      <c r="E468" s="203"/>
      <c r="F468" s="203"/>
      <c r="G468" s="427"/>
      <c r="H468" s="428" t="s">
        <v>36</v>
      </c>
      <c r="I468" s="210">
        <f ca="1">IFERROR(__xludf.DUMMYFUNCTION("IMPORTRANGE(""https://docs.google.com/spreadsheets/d/1IYY_tgx_IHuhSq3AJ5eI5OnqOPBNLWSHKh2a30DoXe8/edit?usp=sharing"",""ตรัง!I363"")"),0)</f>
        <v>0</v>
      </c>
      <c r="J468" s="196">
        <f ca="1">IFERROR(__xludf.DUMMYFUNCTION("IMPORTRANGE(""https://docs.google.com/spreadsheets/d/1IYY_tgx_IHuhSq3AJ5eI5OnqOPBNLWSHKh2a30DoXe8/edit?usp=sharing"",""ตรัง!J363"")"),3274)</f>
        <v>3274</v>
      </c>
      <c r="K468" s="169">
        <f t="shared" ca="1" si="117"/>
        <v>0</v>
      </c>
      <c r="L468" s="189"/>
      <c r="M468" s="189"/>
      <c r="N468" s="189"/>
      <c r="O468" s="189"/>
      <c r="P468" s="189"/>
    </row>
    <row r="469" spans="1:16" ht="21.75" customHeight="1" x14ac:dyDescent="0.35">
      <c r="A469" s="408"/>
      <c r="B469" s="409"/>
      <c r="C469" s="409"/>
      <c r="D469" s="410"/>
      <c r="E469" s="203"/>
      <c r="F469" s="396" t="s">
        <v>169</v>
      </c>
      <c r="G469" s="427"/>
      <c r="H469" s="428" t="s">
        <v>122</v>
      </c>
      <c r="I469" s="210">
        <f ca="1">IFERROR(__xludf.DUMMYFUNCTION("IMPORTRANGE(""https://docs.google.com/spreadsheets/d/1IYY_tgx_IHuhSq3AJ5eI5OnqOPBNLWSHKh2a30DoXe8/edit?usp=sharing"",""ตรัง!I364"")"),0)</f>
        <v>0</v>
      </c>
      <c r="J469" s="196">
        <f ca="1">IFERROR(__xludf.DUMMYFUNCTION("IMPORTRANGE(""https://docs.google.com/spreadsheets/d/1IYY_tgx_IHuhSq3AJ5eI5OnqOPBNLWSHKh2a30DoXe8/edit?usp=sharing"",""ตรัง!J364"")"),1659)</f>
        <v>1659</v>
      </c>
      <c r="K469" s="169">
        <f t="shared" ca="1" si="117"/>
        <v>0</v>
      </c>
      <c r="L469" s="189"/>
      <c r="M469" s="189"/>
      <c r="N469" s="189"/>
      <c r="O469" s="189"/>
      <c r="P469" s="189"/>
    </row>
    <row r="470" spans="1:16" ht="21.75" customHeight="1" x14ac:dyDescent="0.35">
      <c r="A470" s="408"/>
      <c r="B470" s="409"/>
      <c r="C470" s="409"/>
      <c r="D470" s="410"/>
      <c r="E470" s="203"/>
      <c r="F470" s="203"/>
      <c r="G470" s="427"/>
      <c r="H470" s="428" t="s">
        <v>36</v>
      </c>
      <c r="I470" s="210">
        <f ca="1">IFERROR(__xludf.DUMMYFUNCTION("IMPORTRANGE(""https://docs.google.com/spreadsheets/d/1IYY_tgx_IHuhSq3AJ5eI5OnqOPBNLWSHKh2a30DoXe8/edit?usp=sharing"",""ตรัง!I365"")"),0)</f>
        <v>0</v>
      </c>
      <c r="J470" s="196">
        <f ca="1">IFERROR(__xludf.DUMMYFUNCTION("IMPORTRANGE(""https://docs.google.com/spreadsheets/d/1IYY_tgx_IHuhSq3AJ5eI5OnqOPBNLWSHKh2a30DoXe8/edit?usp=sharing"",""ตรัง!J365"")"),133)</f>
        <v>133</v>
      </c>
      <c r="K470" s="169">
        <f t="shared" ca="1" si="117"/>
        <v>0</v>
      </c>
      <c r="L470" s="189"/>
      <c r="M470" s="189"/>
      <c r="N470" s="189"/>
      <c r="O470" s="189"/>
      <c r="P470" s="189"/>
    </row>
    <row r="471" spans="1:16" ht="21.75" customHeight="1" x14ac:dyDescent="0.35">
      <c r="A471" s="408"/>
      <c r="B471" s="409"/>
      <c r="C471" s="409"/>
      <c r="D471" s="410"/>
      <c r="E471" s="203"/>
      <c r="F471" s="396" t="s">
        <v>170</v>
      </c>
      <c r="G471" s="427"/>
      <c r="H471" s="428" t="s">
        <v>122</v>
      </c>
      <c r="I471" s="210">
        <f ca="1">IFERROR(__xludf.DUMMYFUNCTION("IMPORTRANGE(""https://docs.google.com/spreadsheets/d/1IYY_tgx_IHuhSq3AJ5eI5OnqOPBNLWSHKh2a30DoXe8/edit?usp=sharing"",""ตรัง!I366"")"),0)</f>
        <v>0</v>
      </c>
      <c r="J471" s="196">
        <f ca="1">IFERROR(__xludf.DUMMYFUNCTION("IMPORTRANGE(""https://docs.google.com/spreadsheets/d/1IYY_tgx_IHuhSq3AJ5eI5OnqOPBNLWSHKh2a30DoXe8/edit?usp=sharing"",""ตรัง!J366"")"),1468)</f>
        <v>1468</v>
      </c>
      <c r="K471" s="169">
        <f t="shared" ca="1" si="117"/>
        <v>0</v>
      </c>
      <c r="L471" s="189"/>
      <c r="M471" s="189"/>
      <c r="N471" s="189"/>
      <c r="O471" s="189"/>
      <c r="P471" s="189"/>
    </row>
    <row r="472" spans="1:16" ht="21.75" customHeight="1" x14ac:dyDescent="0.35">
      <c r="A472" s="408"/>
      <c r="B472" s="409"/>
      <c r="C472" s="409"/>
      <c r="D472" s="410"/>
      <c r="E472" s="203"/>
      <c r="F472" s="203"/>
      <c r="G472" s="203"/>
      <c r="H472" s="428" t="s">
        <v>36</v>
      </c>
      <c r="I472" s="210">
        <f ca="1">IFERROR(__xludf.DUMMYFUNCTION("IMPORTRANGE(""https://docs.google.com/spreadsheets/d/1IYY_tgx_IHuhSq3AJ5eI5OnqOPBNLWSHKh2a30DoXe8/edit?usp=sharing"",""ตรัง!I367"")"),0)</f>
        <v>0</v>
      </c>
      <c r="J472" s="196">
        <f ca="1">IFERROR(__xludf.DUMMYFUNCTION("IMPORTRANGE(""https://docs.google.com/spreadsheets/d/1IYY_tgx_IHuhSq3AJ5eI5OnqOPBNLWSHKh2a30DoXe8/edit?usp=sharing"",""ตรัง!J367"")"),105)</f>
        <v>105</v>
      </c>
      <c r="K472" s="169">
        <f t="shared" ca="1" si="117"/>
        <v>0</v>
      </c>
      <c r="L472" s="189"/>
      <c r="M472" s="189"/>
      <c r="N472" s="189"/>
      <c r="O472" s="189"/>
      <c r="P472" s="189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3"/>
      <c r="G473" s="204"/>
      <c r="H473" s="424" t="s">
        <v>122</v>
      </c>
      <c r="I473" s="426">
        <f ca="1">IFERROR(__xludf.DUMMYFUNCTION("IMPORTRANGE(""https://docs.google.com/spreadsheets/d/1IYY_tgx_IHuhSq3AJ5eI5OnqOPBNLWSHKh2a30DoXe8/edit?usp=sharing"",""ตรัง!I368"")"),39755)</f>
        <v>39755</v>
      </c>
      <c r="J473" s="426">
        <f ca="1">IFERROR(__xludf.DUMMYFUNCTION("IMPORTRANGE(""https://docs.google.com/spreadsheets/d/1IYY_tgx_IHuhSq3AJ5eI5OnqOPBNLWSHKh2a30DoXe8/edit?usp=sharing"",""ตรัง!J368"")"),39755)</f>
        <v>39755</v>
      </c>
      <c r="K473" s="209">
        <f t="shared" ca="1" si="117"/>
        <v>100</v>
      </c>
      <c r="L473" s="189"/>
      <c r="M473" s="189"/>
      <c r="N473" s="189"/>
      <c r="O473" s="189"/>
      <c r="P473" s="189"/>
    </row>
    <row r="474" spans="1:16" ht="21.75" customHeight="1" x14ac:dyDescent="0.35">
      <c r="A474" s="408"/>
      <c r="B474" s="409"/>
      <c r="C474" s="409"/>
      <c r="D474" s="410"/>
      <c r="E474" s="203"/>
      <c r="F474" s="203"/>
      <c r="G474" s="204"/>
      <c r="H474" s="424" t="s">
        <v>36</v>
      </c>
      <c r="I474" s="425">
        <f ca="1">IFERROR(__xludf.DUMMYFUNCTION("IMPORTRANGE(""https://docs.google.com/spreadsheets/d/1IYY_tgx_IHuhSq3AJ5eI5OnqOPBNLWSHKh2a30DoXe8/edit?usp=sharing"",""ตรัง!I369"")"),3513)</f>
        <v>3513</v>
      </c>
      <c r="J474" s="426">
        <f ca="1">IFERROR(__xludf.DUMMYFUNCTION("IMPORTRANGE(""https://docs.google.com/spreadsheets/d/1IYY_tgx_IHuhSq3AJ5eI5OnqOPBNLWSHKh2a30DoXe8/edit?usp=sharing"",""ตรัง!J369"")"),3512)</f>
        <v>3512</v>
      </c>
      <c r="K474" s="169">
        <f t="shared" ca="1" si="117"/>
        <v>99.971534301167097</v>
      </c>
      <c r="L474" s="189"/>
      <c r="M474" s="189"/>
      <c r="N474" s="189"/>
      <c r="O474" s="189"/>
      <c r="P474" s="189"/>
    </row>
    <row r="475" spans="1:16" ht="21.75" customHeight="1" x14ac:dyDescent="0.35">
      <c r="A475" s="408"/>
      <c r="B475" s="409"/>
      <c r="C475" s="409"/>
      <c r="D475" s="410"/>
      <c r="E475" s="203"/>
      <c r="F475" s="202" t="s">
        <v>172</v>
      </c>
      <c r="G475" s="427"/>
      <c r="H475" s="428" t="s">
        <v>122</v>
      </c>
      <c r="I475" s="210">
        <f ca="1">IFERROR(__xludf.DUMMYFUNCTION("IMPORTRANGE(""https://docs.google.com/spreadsheets/d/1IYY_tgx_IHuhSq3AJ5eI5OnqOPBNLWSHKh2a30DoXe8/edit?usp=sharing"",""ตรัง!I370"")"),0)</f>
        <v>0</v>
      </c>
      <c r="J475" s="196">
        <f ca="1">IFERROR(__xludf.DUMMYFUNCTION("IMPORTRANGE(""https://docs.google.com/spreadsheets/d/1IYY_tgx_IHuhSq3AJ5eI5OnqOPBNLWSHKh2a30DoXe8/edit?usp=sharing"",""ตรัง!J370"")"),36628)</f>
        <v>36628</v>
      </c>
      <c r="K475" s="169">
        <f t="shared" ca="1" si="117"/>
        <v>0</v>
      </c>
      <c r="L475" s="189"/>
      <c r="M475" s="189"/>
      <c r="N475" s="189"/>
      <c r="O475" s="189"/>
      <c r="P475" s="189"/>
    </row>
    <row r="476" spans="1:16" ht="21.75" customHeight="1" x14ac:dyDescent="0.35">
      <c r="A476" s="408"/>
      <c r="B476" s="409"/>
      <c r="C476" s="409"/>
      <c r="D476" s="410"/>
      <c r="E476" s="203"/>
      <c r="F476" s="203"/>
      <c r="G476" s="427"/>
      <c r="H476" s="428" t="s">
        <v>36</v>
      </c>
      <c r="I476" s="210">
        <f ca="1">IFERROR(__xludf.DUMMYFUNCTION("IMPORTRANGE(""https://docs.google.com/spreadsheets/d/1IYY_tgx_IHuhSq3AJ5eI5OnqOPBNLWSHKh2a30DoXe8/edit?usp=sharing"",""ตรัง!I371"")"),0)</f>
        <v>0</v>
      </c>
      <c r="J476" s="196">
        <f ca="1">IFERROR(__xludf.DUMMYFUNCTION("IMPORTRANGE(""https://docs.google.com/spreadsheets/d/1IYY_tgx_IHuhSq3AJ5eI5OnqOPBNLWSHKh2a30DoXe8/edit?usp=sharing"",""ตรัง!J371"")"),3274)</f>
        <v>3274</v>
      </c>
      <c r="K476" s="169">
        <f t="shared" ca="1" si="117"/>
        <v>0</v>
      </c>
      <c r="L476" s="189"/>
      <c r="M476" s="189"/>
      <c r="N476" s="189"/>
      <c r="O476" s="189"/>
      <c r="P476" s="189"/>
    </row>
    <row r="477" spans="1:16" ht="21.75" customHeight="1" x14ac:dyDescent="0.35">
      <c r="A477" s="408"/>
      <c r="B477" s="409"/>
      <c r="C477" s="409"/>
      <c r="D477" s="410"/>
      <c r="E477" s="203"/>
      <c r="F477" s="202" t="s">
        <v>173</v>
      </c>
      <c r="G477" s="427"/>
      <c r="H477" s="428" t="s">
        <v>122</v>
      </c>
      <c r="I477" s="210">
        <f ca="1">IFERROR(__xludf.DUMMYFUNCTION("IMPORTRANGE(""https://docs.google.com/spreadsheets/d/1IYY_tgx_IHuhSq3AJ5eI5OnqOPBNLWSHKh2a30DoXe8/edit?usp=sharing"",""ตรัง!I372"")"),0)</f>
        <v>0</v>
      </c>
      <c r="J477" s="196">
        <f ca="1">IFERROR(__xludf.DUMMYFUNCTION("IMPORTRANGE(""https://docs.google.com/spreadsheets/d/1IYY_tgx_IHuhSq3AJ5eI5OnqOPBNLWSHKh2a30DoXe8/edit?usp=sharing"",""ตรัง!J372"")"),1659)</f>
        <v>1659</v>
      </c>
      <c r="K477" s="169">
        <f t="shared" ca="1" si="117"/>
        <v>0</v>
      </c>
      <c r="L477" s="189"/>
      <c r="M477" s="189"/>
      <c r="N477" s="189"/>
      <c r="O477" s="189"/>
      <c r="P477" s="189"/>
    </row>
    <row r="478" spans="1:16" ht="21.75" customHeight="1" x14ac:dyDescent="0.35">
      <c r="A478" s="408"/>
      <c r="B478" s="409"/>
      <c r="C478" s="409"/>
      <c r="D478" s="410"/>
      <c r="E478" s="203"/>
      <c r="F478" s="203"/>
      <c r="G478" s="427"/>
      <c r="H478" s="428" t="s">
        <v>36</v>
      </c>
      <c r="I478" s="210">
        <f ca="1">IFERROR(__xludf.DUMMYFUNCTION("IMPORTRANGE(""https://docs.google.com/spreadsheets/d/1IYY_tgx_IHuhSq3AJ5eI5OnqOPBNLWSHKh2a30DoXe8/edit?usp=sharing"",""ตรัง!I373"")"),0)</f>
        <v>0</v>
      </c>
      <c r="J478" s="196">
        <f ca="1">IFERROR(__xludf.DUMMYFUNCTION("IMPORTRANGE(""https://docs.google.com/spreadsheets/d/1IYY_tgx_IHuhSq3AJ5eI5OnqOPBNLWSHKh2a30DoXe8/edit?usp=sharing"",""ตรัง!J373"")"),133)</f>
        <v>133</v>
      </c>
      <c r="K478" s="169">
        <f t="shared" ca="1" si="117"/>
        <v>0</v>
      </c>
      <c r="L478" s="189"/>
      <c r="M478" s="189"/>
      <c r="N478" s="189"/>
      <c r="O478" s="189"/>
      <c r="P478" s="189"/>
    </row>
    <row r="479" spans="1:16" ht="21.75" customHeight="1" x14ac:dyDescent="0.35">
      <c r="A479" s="408"/>
      <c r="B479" s="409"/>
      <c r="C479" s="409"/>
      <c r="D479" s="410"/>
      <c r="E479" s="203"/>
      <c r="F479" s="202" t="s">
        <v>174</v>
      </c>
      <c r="G479" s="427"/>
      <c r="H479" s="428" t="s">
        <v>122</v>
      </c>
      <c r="I479" s="210">
        <f ca="1">IFERROR(__xludf.DUMMYFUNCTION("IMPORTRANGE(""https://docs.google.com/spreadsheets/d/1IYY_tgx_IHuhSq3AJ5eI5OnqOPBNLWSHKh2a30DoXe8/edit?usp=sharing"",""ตรัง!I374"")"),0)</f>
        <v>0</v>
      </c>
      <c r="J479" s="196">
        <f ca="1">IFERROR(__xludf.DUMMYFUNCTION("IMPORTRANGE(""https://docs.google.com/spreadsheets/d/1IYY_tgx_IHuhSq3AJ5eI5OnqOPBNLWSHKh2a30DoXe8/edit?usp=sharing"",""ตรัง!J374"")"),1468)</f>
        <v>1468</v>
      </c>
      <c r="K479" s="169">
        <f t="shared" ca="1" si="117"/>
        <v>0</v>
      </c>
      <c r="L479" s="189"/>
      <c r="M479" s="189"/>
      <c r="N479" s="189"/>
      <c r="O479" s="189"/>
      <c r="P479" s="189"/>
    </row>
    <row r="480" spans="1:16" ht="21.75" customHeight="1" x14ac:dyDescent="0.35">
      <c r="A480" s="408"/>
      <c r="B480" s="409"/>
      <c r="C480" s="409"/>
      <c r="D480" s="410"/>
      <c r="E480" s="203"/>
      <c r="F480" s="203"/>
      <c r="G480" s="204"/>
      <c r="H480" s="428" t="s">
        <v>36</v>
      </c>
      <c r="I480" s="210">
        <f ca="1">IFERROR(__xludf.DUMMYFUNCTION("IMPORTRANGE(""https://docs.google.com/spreadsheets/d/1IYY_tgx_IHuhSq3AJ5eI5OnqOPBNLWSHKh2a30DoXe8/edit?usp=sharing"",""ตรัง!I375"")"),0)</f>
        <v>0</v>
      </c>
      <c r="J480" s="196">
        <f ca="1">IFERROR(__xludf.DUMMYFUNCTION("IMPORTRANGE(""https://docs.google.com/spreadsheets/d/1IYY_tgx_IHuhSq3AJ5eI5OnqOPBNLWSHKh2a30DoXe8/edit?usp=sharing"",""ตรัง!J375"")"),105)</f>
        <v>105</v>
      </c>
      <c r="K480" s="169">
        <f t="shared" ca="1" si="117"/>
        <v>0</v>
      </c>
      <c r="L480" s="189"/>
      <c r="M480" s="189"/>
      <c r="N480" s="189"/>
      <c r="O480" s="189"/>
      <c r="P480" s="189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IFERROR(__xludf.DUMMYFUNCTION("IMPORTRANGE(""https://docs.google.com/spreadsheets/d/1IYY_tgx_IHuhSq3AJ5eI5OnqOPBNLWSHKh2a30DoXe8/edit?usp=sharing"",""ตรัง!I376"")"),39755)</f>
        <v>39755</v>
      </c>
      <c r="J481" s="426">
        <f ca="1">IFERROR(__xludf.DUMMYFUNCTION("IMPORTRANGE(""https://docs.google.com/spreadsheets/d/1IYY_tgx_IHuhSq3AJ5eI5OnqOPBNLWSHKh2a30DoXe8/edit?usp=sharing"",""ตรัง!J376"")"),36628)</f>
        <v>36628</v>
      </c>
      <c r="K481" s="209">
        <f t="shared" ca="1" si="117"/>
        <v>92.134322726701043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3"/>
      <c r="F482" s="203"/>
      <c r="G482" s="204"/>
      <c r="H482" s="424" t="s">
        <v>36</v>
      </c>
      <c r="I482" s="425">
        <f ca="1">IFERROR(__xludf.DUMMYFUNCTION("IMPORTRANGE(""https://docs.google.com/spreadsheets/d/1IYY_tgx_IHuhSq3AJ5eI5OnqOPBNLWSHKh2a30DoXe8/edit?usp=sharing"",""ตรัง!I377"")"),3513)</f>
        <v>3513</v>
      </c>
      <c r="J482" s="426">
        <f ca="1">IFERROR(__xludf.DUMMYFUNCTION("IMPORTRANGE(""https://docs.google.com/spreadsheets/d/1IYY_tgx_IHuhSq3AJ5eI5OnqOPBNLWSHKh2a30DoXe8/edit?usp=sharing"",""ตรัง!J377"")"),3274)</f>
        <v>3274</v>
      </c>
      <c r="K482" s="169">
        <f t="shared" ca="1" si="117"/>
        <v>93.196697978935376</v>
      </c>
      <c r="L482" s="189"/>
      <c r="M482" s="189"/>
      <c r="N482" s="189"/>
      <c r="O482" s="189"/>
      <c r="P482" s="189"/>
    </row>
    <row r="483" spans="1:16" ht="21.75" customHeight="1" x14ac:dyDescent="0.35">
      <c r="A483" s="408"/>
      <c r="B483" s="409"/>
      <c r="C483" s="409"/>
      <c r="D483" s="410"/>
      <c r="E483" s="203"/>
      <c r="F483" s="202" t="s">
        <v>176</v>
      </c>
      <c r="G483" s="427"/>
      <c r="H483" s="428" t="s">
        <v>122</v>
      </c>
      <c r="I483" s="210">
        <f ca="1">IFERROR(__xludf.DUMMYFUNCTION("IMPORTRANGE(""https://docs.google.com/spreadsheets/d/1IYY_tgx_IHuhSq3AJ5eI5OnqOPBNLWSHKh2a30DoXe8/edit?usp=sharing"",""ตรัง!I378"")"),0)</f>
        <v>0</v>
      </c>
      <c r="J483" s="196">
        <f ca="1">IFERROR(__xludf.DUMMYFUNCTION("IMPORTRANGE(""https://docs.google.com/spreadsheets/d/1IYY_tgx_IHuhSq3AJ5eI5OnqOPBNLWSHKh2a30DoXe8/edit?usp=sharing"",""ตรัง!J378"")"),36628)</f>
        <v>36628</v>
      </c>
      <c r="K483" s="169">
        <f t="shared" ca="1" si="117"/>
        <v>0</v>
      </c>
      <c r="L483" s="189"/>
      <c r="M483" s="189"/>
      <c r="N483" s="189"/>
      <c r="O483" s="189"/>
      <c r="P483" s="189"/>
    </row>
    <row r="484" spans="1:16" ht="21.75" customHeight="1" x14ac:dyDescent="0.35">
      <c r="A484" s="408"/>
      <c r="B484" s="409"/>
      <c r="C484" s="409"/>
      <c r="D484" s="410"/>
      <c r="E484" s="203"/>
      <c r="F484" s="203"/>
      <c r="G484" s="427"/>
      <c r="H484" s="428" t="s">
        <v>36</v>
      </c>
      <c r="I484" s="210">
        <f ca="1">IFERROR(__xludf.DUMMYFUNCTION("IMPORTRANGE(""https://docs.google.com/spreadsheets/d/1IYY_tgx_IHuhSq3AJ5eI5OnqOPBNLWSHKh2a30DoXe8/edit?usp=sharing"",""ตรัง!I379"")"),0)</f>
        <v>0</v>
      </c>
      <c r="J484" s="196">
        <f ca="1">IFERROR(__xludf.DUMMYFUNCTION("IMPORTRANGE(""https://docs.google.com/spreadsheets/d/1IYY_tgx_IHuhSq3AJ5eI5OnqOPBNLWSHKh2a30DoXe8/edit?usp=sharing"",""ตรัง!J379"")"),3274)</f>
        <v>3274</v>
      </c>
      <c r="K484" s="169">
        <f t="shared" ca="1" si="117"/>
        <v>0</v>
      </c>
      <c r="L484" s="189"/>
      <c r="M484" s="189"/>
      <c r="N484" s="189"/>
      <c r="O484" s="189"/>
      <c r="P484" s="189"/>
    </row>
    <row r="485" spans="1:16" ht="21.75" customHeight="1" x14ac:dyDescent="0.35">
      <c r="A485" s="408"/>
      <c r="B485" s="409"/>
      <c r="C485" s="409"/>
      <c r="D485" s="410"/>
      <c r="E485" s="203"/>
      <c r="F485" s="202" t="s">
        <v>177</v>
      </c>
      <c r="G485" s="427"/>
      <c r="H485" s="428" t="s">
        <v>122</v>
      </c>
      <c r="I485" s="210">
        <f ca="1">IFERROR(__xludf.DUMMYFUNCTION("IMPORTRANGE(""https://docs.google.com/spreadsheets/d/1IYY_tgx_IHuhSq3AJ5eI5OnqOPBNLWSHKh2a30DoXe8/edit?usp=sharing"",""ตรัง!I380"")"),0)</f>
        <v>0</v>
      </c>
      <c r="J485" s="196">
        <f ca="1">IFERROR(__xludf.DUMMYFUNCTION("IMPORTRANGE(""https://docs.google.com/spreadsheets/d/1IYY_tgx_IHuhSq3AJ5eI5OnqOPBNLWSHKh2a30DoXe8/edit?usp=sharing"",""ตรัง!J380"")"),0)</f>
        <v>0</v>
      </c>
      <c r="K485" s="169">
        <f t="shared" ca="1" si="117"/>
        <v>0</v>
      </c>
      <c r="L485" s="189"/>
      <c r="M485" s="189"/>
      <c r="N485" s="189"/>
      <c r="O485" s="189"/>
      <c r="P485" s="189"/>
    </row>
    <row r="486" spans="1:16" ht="21.75" customHeight="1" x14ac:dyDescent="0.35">
      <c r="A486" s="408"/>
      <c r="B486" s="409"/>
      <c r="C486" s="409"/>
      <c r="D486" s="410"/>
      <c r="E486" s="203"/>
      <c r="F486" s="203"/>
      <c r="G486" s="427"/>
      <c r="H486" s="428" t="s">
        <v>36</v>
      </c>
      <c r="I486" s="210">
        <f ca="1">IFERROR(__xludf.DUMMYFUNCTION("IMPORTRANGE(""https://docs.google.com/spreadsheets/d/1IYY_tgx_IHuhSq3AJ5eI5OnqOPBNLWSHKh2a30DoXe8/edit?usp=sharing"",""ตรัง!I381"")"),0)</f>
        <v>0</v>
      </c>
      <c r="J486" s="196">
        <f ca="1">IFERROR(__xludf.DUMMYFUNCTION("IMPORTRANGE(""https://docs.google.com/spreadsheets/d/1IYY_tgx_IHuhSq3AJ5eI5OnqOPBNLWSHKh2a30DoXe8/edit?usp=sharing"",""ตรัง!J381"")"),0)</f>
        <v>0</v>
      </c>
      <c r="K486" s="169">
        <f t="shared" ca="1" si="117"/>
        <v>0</v>
      </c>
      <c r="L486" s="189"/>
      <c r="M486" s="189"/>
      <c r="N486" s="189"/>
      <c r="O486" s="189"/>
      <c r="P486" s="189"/>
    </row>
    <row r="487" spans="1:16" ht="21.75" customHeight="1" x14ac:dyDescent="0.35">
      <c r="A487" s="408"/>
      <c r="B487" s="409"/>
      <c r="C487" s="409"/>
      <c r="D487" s="410"/>
      <c r="E487" s="203"/>
      <c r="F487" s="202" t="s">
        <v>178</v>
      </c>
      <c r="G487" s="427"/>
      <c r="H487" s="428" t="s">
        <v>122</v>
      </c>
      <c r="I487" s="210">
        <f ca="1">IFERROR(__xludf.DUMMYFUNCTION("IMPORTRANGE(""https://docs.google.com/spreadsheets/d/1IYY_tgx_IHuhSq3AJ5eI5OnqOPBNLWSHKh2a30DoXe8/edit?usp=sharing"",""ตรัง!I382"")"),0)</f>
        <v>0</v>
      </c>
      <c r="J487" s="426">
        <f ca="1">IFERROR(__xludf.DUMMYFUNCTION("IMPORTRANGE(""https://docs.google.com/spreadsheets/d/1IYY_tgx_IHuhSq3AJ5eI5OnqOPBNLWSHKh2a30DoXe8/edit?usp=sharing"",""ตรัง!J382"")"),0)</f>
        <v>0</v>
      </c>
      <c r="K487" s="169">
        <f t="shared" ca="1" si="117"/>
        <v>0</v>
      </c>
      <c r="L487" s="189"/>
      <c r="M487" s="189"/>
      <c r="N487" s="189"/>
      <c r="O487" s="189"/>
      <c r="P487" s="189"/>
    </row>
    <row r="488" spans="1:16" ht="21.75" customHeight="1" x14ac:dyDescent="0.35">
      <c r="A488" s="408"/>
      <c r="B488" s="409"/>
      <c r="C488" s="409"/>
      <c r="D488" s="410"/>
      <c r="E488" s="203"/>
      <c r="F488" s="203"/>
      <c r="G488" s="203"/>
      <c r="H488" s="428" t="s">
        <v>36</v>
      </c>
      <c r="I488" s="210">
        <f ca="1">IFERROR(__xludf.DUMMYFUNCTION("IMPORTRANGE(""https://docs.google.com/spreadsheets/d/1IYY_tgx_IHuhSq3AJ5eI5OnqOPBNLWSHKh2a30DoXe8/edit?usp=sharing"",""ตรัง!I383"")"),0)</f>
        <v>0</v>
      </c>
      <c r="J488" s="426">
        <f ca="1">IFERROR(__xludf.DUMMYFUNCTION("IMPORTRANGE(""https://docs.google.com/spreadsheets/d/1IYY_tgx_IHuhSq3AJ5eI5OnqOPBNLWSHKh2a30DoXe8/edit?usp=sharing"",""ตรัง!J383"")"),0)</f>
        <v>0</v>
      </c>
      <c r="K488" s="169">
        <f t="shared" ca="1" si="117"/>
        <v>0</v>
      </c>
      <c r="L488" s="189"/>
      <c r="M488" s="189"/>
      <c r="N488" s="189"/>
      <c r="O488" s="189"/>
      <c r="P488" s="189"/>
    </row>
    <row r="489" spans="1:16" ht="21.75" customHeight="1" x14ac:dyDescent="0.35">
      <c r="A489" s="408"/>
      <c r="B489" s="409"/>
      <c r="C489" s="409"/>
      <c r="D489" s="410"/>
      <c r="E489" s="203"/>
      <c r="F489" s="203"/>
      <c r="G489" s="202" t="s">
        <v>179</v>
      </c>
      <c r="H489" s="428" t="s">
        <v>122</v>
      </c>
      <c r="I489" s="210">
        <f ca="1">IFERROR(__xludf.DUMMYFUNCTION("IMPORTRANGE(""https://docs.google.com/spreadsheets/d/1IYY_tgx_IHuhSq3AJ5eI5OnqOPBNLWSHKh2a30DoXe8/edit?usp=sharing"",""ตรัง!I384"")"),0)</f>
        <v>0</v>
      </c>
      <c r="J489" s="196">
        <f ca="1">IFERROR(__xludf.DUMMYFUNCTION("IMPORTRANGE(""https://docs.google.com/spreadsheets/d/1IYY_tgx_IHuhSq3AJ5eI5OnqOPBNLWSHKh2a30DoXe8/edit?usp=sharing"",""ตรัง!J384"")"),0)</f>
        <v>0</v>
      </c>
      <c r="K489" s="169">
        <f t="shared" ca="1" si="117"/>
        <v>0</v>
      </c>
      <c r="L489" s="189"/>
      <c r="M489" s="189"/>
      <c r="N489" s="189"/>
      <c r="O489" s="189"/>
      <c r="P489" s="189"/>
    </row>
    <row r="490" spans="1:16" ht="21.75" customHeight="1" x14ac:dyDescent="0.35">
      <c r="A490" s="408"/>
      <c r="B490" s="409"/>
      <c r="C490" s="409"/>
      <c r="D490" s="410"/>
      <c r="E490" s="203"/>
      <c r="F490" s="203"/>
      <c r="G490" s="203"/>
      <c r="H490" s="428" t="s">
        <v>36</v>
      </c>
      <c r="I490" s="210">
        <f ca="1">IFERROR(__xludf.DUMMYFUNCTION("IMPORTRANGE(""https://docs.google.com/spreadsheets/d/1IYY_tgx_IHuhSq3AJ5eI5OnqOPBNLWSHKh2a30DoXe8/edit?usp=sharing"",""ตรัง!I385"")"),0)</f>
        <v>0</v>
      </c>
      <c r="J490" s="196">
        <f ca="1">IFERROR(__xludf.DUMMYFUNCTION("IMPORTRANGE(""https://docs.google.com/spreadsheets/d/1IYY_tgx_IHuhSq3AJ5eI5OnqOPBNLWSHKh2a30DoXe8/edit?usp=sharing"",""ตรัง!J385"")"),0)</f>
        <v>0</v>
      </c>
      <c r="K490" s="169">
        <f t="shared" ca="1" si="117"/>
        <v>0</v>
      </c>
      <c r="L490" s="189"/>
      <c r="M490" s="189"/>
      <c r="N490" s="189"/>
      <c r="O490" s="189"/>
      <c r="P490" s="189"/>
    </row>
    <row r="491" spans="1:16" ht="21.75" customHeight="1" x14ac:dyDescent="0.35">
      <c r="A491" s="408"/>
      <c r="B491" s="409"/>
      <c r="C491" s="409"/>
      <c r="D491" s="410"/>
      <c r="E491" s="203"/>
      <c r="F491" s="203"/>
      <c r="G491" s="202" t="s">
        <v>180</v>
      </c>
      <c r="H491" s="428" t="s">
        <v>122</v>
      </c>
      <c r="I491" s="210">
        <f ca="1">IFERROR(__xludf.DUMMYFUNCTION("IMPORTRANGE(""https://docs.google.com/spreadsheets/d/1IYY_tgx_IHuhSq3AJ5eI5OnqOPBNLWSHKh2a30DoXe8/edit?usp=sharing"",""ตรัง!I386"")"),0)</f>
        <v>0</v>
      </c>
      <c r="J491" s="196">
        <f ca="1">IFERROR(__xludf.DUMMYFUNCTION("IMPORTRANGE(""https://docs.google.com/spreadsheets/d/1IYY_tgx_IHuhSq3AJ5eI5OnqOPBNLWSHKh2a30DoXe8/edit?usp=sharing"",""ตรัง!J386"")"),0)</f>
        <v>0</v>
      </c>
      <c r="K491" s="169">
        <f t="shared" ca="1" si="117"/>
        <v>0</v>
      </c>
      <c r="L491" s="189"/>
      <c r="M491" s="189"/>
      <c r="N491" s="189"/>
      <c r="O491" s="189"/>
      <c r="P491" s="189"/>
    </row>
    <row r="492" spans="1:16" ht="21.75" customHeight="1" x14ac:dyDescent="0.35">
      <c r="A492" s="408"/>
      <c r="B492" s="409"/>
      <c r="C492" s="409"/>
      <c r="D492" s="410"/>
      <c r="E492" s="203"/>
      <c r="F492" s="203"/>
      <c r="G492" s="204"/>
      <c r="H492" s="428" t="s">
        <v>36</v>
      </c>
      <c r="I492" s="210">
        <f ca="1">IFERROR(__xludf.DUMMYFUNCTION("IMPORTRANGE(""https://docs.google.com/spreadsheets/d/1IYY_tgx_IHuhSq3AJ5eI5OnqOPBNLWSHKh2a30DoXe8/edit?usp=sharing"",""ตรัง!I387"")"),0)</f>
        <v>0</v>
      </c>
      <c r="J492" s="196">
        <f ca="1">IFERROR(__xludf.DUMMYFUNCTION("IMPORTRANGE(""https://docs.google.com/spreadsheets/d/1IYY_tgx_IHuhSq3AJ5eI5OnqOPBNLWSHKh2a30DoXe8/edit?usp=sharing"",""ตรัง!J387"")"),0)</f>
        <v>0</v>
      </c>
      <c r="K492" s="169">
        <f t="shared" ca="1" si="117"/>
        <v>0</v>
      </c>
      <c r="L492" s="189"/>
      <c r="M492" s="189"/>
      <c r="N492" s="189"/>
      <c r="O492" s="189"/>
      <c r="P492" s="189"/>
    </row>
    <row r="493" spans="1:16" ht="21.75" customHeight="1" x14ac:dyDescent="0.35">
      <c r="A493" s="408"/>
      <c r="B493" s="409"/>
      <c r="C493" s="409"/>
      <c r="D493" s="410"/>
      <c r="E493" s="203"/>
      <c r="F493" s="202" t="s">
        <v>181</v>
      </c>
      <c r="G493" s="427"/>
      <c r="H493" s="428" t="s">
        <v>122</v>
      </c>
      <c r="I493" s="210">
        <f ca="1">IFERROR(__xludf.DUMMYFUNCTION("IMPORTRANGE(""https://docs.google.com/spreadsheets/d/1IYY_tgx_IHuhSq3AJ5eI5OnqOPBNLWSHKh2a30DoXe8/edit?usp=sharing"",""ตรัง!I388"")"),0)</f>
        <v>0</v>
      </c>
      <c r="J493" s="196">
        <f ca="1">IFERROR(__xludf.DUMMYFUNCTION("IMPORTRANGE(""https://docs.google.com/spreadsheets/d/1IYY_tgx_IHuhSq3AJ5eI5OnqOPBNLWSHKh2a30DoXe8/edit?usp=sharing"",""ตรัง!J388"")"),0)</f>
        <v>0</v>
      </c>
      <c r="K493" s="169">
        <f t="shared" ca="1" si="117"/>
        <v>0</v>
      </c>
      <c r="L493" s="189"/>
      <c r="M493" s="189"/>
      <c r="N493" s="189"/>
      <c r="O493" s="189"/>
      <c r="P493" s="189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IFERROR(__xludf.DUMMYFUNCTION("IMPORTRANGE(""https://docs.google.com/spreadsheets/d/1IYY_tgx_IHuhSq3AJ5eI5OnqOPBNLWSHKh2a30DoXe8/edit?usp=sharing"",""ตรัง!I389"")"),0)</f>
        <v>0</v>
      </c>
      <c r="J494" s="442">
        <f ca="1">IFERROR(__xludf.DUMMYFUNCTION("IMPORTRANGE(""https://docs.google.com/spreadsheets/d/1IYY_tgx_IHuhSq3AJ5eI5OnqOPBNLWSHKh2a30DoXe8/edit?usp=sharing"",""ตรัง!J389"")"),0)</f>
        <v>0</v>
      </c>
      <c r="K494" s="294">
        <f t="shared" ca="1" si="117"/>
        <v>0</v>
      </c>
      <c r="L494" s="252"/>
      <c r="M494" s="252"/>
      <c r="N494" s="252"/>
      <c r="O494" s="252"/>
      <c r="P494" s="252"/>
    </row>
    <row r="495" spans="1:16" ht="21.75" customHeight="1" x14ac:dyDescent="0.35">
      <c r="A495" s="408"/>
      <c r="B495" s="409"/>
      <c r="C495" s="409"/>
      <c r="D495" s="410"/>
      <c r="E495" s="203"/>
      <c r="F495" s="203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IFERROR(__xludf.DUMMYFUNCTION("IMPORTRANGE(""https://docs.google.com/spreadsheets/d/1IYY_tgx_IHuhSq3AJ5eI5OnqOPBNLWSHKh2a30DoXe8/edit?usp=sharing"",""ตรัง!I390"")"),0)</f>
        <v>0</v>
      </c>
      <c r="J495" s="442">
        <f ca="1">IFERROR(__xludf.DUMMYFUNCTION("IMPORTRANGE(""https://docs.google.com/spreadsheets/d/1IYY_tgx_IHuhSq3AJ5eI5OnqOPBNLWSHKh2a30DoXe8/edit?usp=sharing"",""ตรัง!J390"")"),0)</f>
        <v>0</v>
      </c>
      <c r="K495" s="169">
        <f t="shared" ca="1" si="117"/>
        <v>0</v>
      </c>
      <c r="L495" s="189"/>
      <c r="M495" s="189"/>
      <c r="N495" s="189"/>
      <c r="O495" s="189"/>
      <c r="P495" s="189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IFERROR(__xludf.DUMMYFUNCTION("IMPORTRANGE(""https://docs.google.com/spreadsheets/d/1IYY_tgx_IHuhSq3AJ5eI5OnqOPBNLWSHKh2a30DoXe8/edit?usp=sharing"",""ตรัง!I391"")"),0)</f>
        <v>0</v>
      </c>
      <c r="J496" s="442">
        <f ca="1">IFERROR(__xludf.DUMMYFUNCTION("IMPORTRANGE(""https://docs.google.com/spreadsheets/d/1IYY_tgx_IHuhSq3AJ5eI5OnqOPBNLWSHKh2a30DoXe8/edit?usp=sharing"",""ตรัง!J391"")"),0)</f>
        <v>0</v>
      </c>
      <c r="K496" s="294">
        <f t="shared" ca="1" si="117"/>
        <v>0</v>
      </c>
      <c r="L496" s="252"/>
      <c r="M496" s="252"/>
      <c r="N496" s="252"/>
      <c r="O496" s="252"/>
      <c r="P496" s="252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IFERROR(__xludf.DUMMYFUNCTION("IMPORTRANGE(""https://docs.google.com/spreadsheets/d/1IYY_tgx_IHuhSq3AJ5eI5OnqOPBNLWSHKh2a30DoXe8/edit?usp=sharing"",""ตรัง!I392"")"),1066)</f>
        <v>1066</v>
      </c>
      <c r="J497" s="449">
        <f ca="1">IFERROR(__xludf.DUMMYFUNCTION("IMPORTRANGE(""https://docs.google.com/spreadsheets/d/1IYY_tgx_IHuhSq3AJ5eI5OnqOPBNLWSHKh2a30DoXe8/edit?usp=sharing"",""ตรัง!J392"")"),0)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3"/>
      <c r="B498" s="184"/>
      <c r="C498" s="184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IFERROR(__xludf.DUMMYFUNCTION("IMPORTRANGE(""https://docs.google.com/spreadsheets/d/1IYY_tgx_IHuhSq3AJ5eI5OnqOPBNLWSHKh2a30DoXe8/edit?usp=sharing"",""ตรัง!I393"")"),1066)</f>
        <v>1066</v>
      </c>
      <c r="J498" s="426">
        <f ca="1">IFERROR(__xludf.DUMMYFUNCTION("IMPORTRANGE(""https://docs.google.com/spreadsheets/d/1IYY_tgx_IHuhSq3AJ5eI5OnqOPBNLWSHKh2a30DoXe8/edit?usp=sharing"",""ตรัง!J393"")"),0)</f>
        <v>0</v>
      </c>
      <c r="K498" s="169">
        <f t="shared" ca="1" si="117"/>
        <v>0</v>
      </c>
      <c r="L498" s="189"/>
      <c r="M498" s="189"/>
      <c r="N498" s="189"/>
      <c r="O498" s="189"/>
      <c r="P498" s="189"/>
    </row>
    <row r="499" spans="1:16" ht="21.75" customHeight="1" x14ac:dyDescent="0.35">
      <c r="A499" s="183"/>
      <c r="B499" s="184"/>
      <c r="C499" s="184"/>
      <c r="D499" s="201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IFERROR(__xludf.DUMMYFUNCTION("IMPORTRANGE(""https://docs.google.com/spreadsheets/d/1IYY_tgx_IHuhSq3AJ5eI5OnqOPBNLWSHKh2a30DoXe8/edit?usp=sharing"",""ตรัง!I394"")"),164)</f>
        <v>164</v>
      </c>
      <c r="J499" s="426">
        <f ca="1">IFERROR(__xludf.DUMMYFUNCTION("IMPORTRANGE(""https://docs.google.com/spreadsheets/d/1IYY_tgx_IHuhSq3AJ5eI5OnqOPBNLWSHKh2a30DoXe8/edit?usp=sharing"",""ตรัง!J394"")"),0)</f>
        <v>0</v>
      </c>
      <c r="K499" s="209">
        <f t="shared" ca="1" si="117"/>
        <v>0</v>
      </c>
      <c r="L499" s="189"/>
      <c r="M499" s="189"/>
      <c r="N499" s="189"/>
      <c r="O499" s="189"/>
      <c r="P499" s="189"/>
    </row>
    <row r="500" spans="1:16" ht="21.75" customHeight="1" x14ac:dyDescent="0.35">
      <c r="A500" s="183"/>
      <c r="B500" s="184"/>
      <c r="C500" s="184"/>
      <c r="D500" s="410"/>
      <c r="E500" s="410" t="s">
        <v>185</v>
      </c>
      <c r="F500" s="203"/>
      <c r="G500" s="204"/>
      <c r="H500" s="428" t="s">
        <v>122</v>
      </c>
      <c r="I500" s="210">
        <f ca="1">IFERROR(__xludf.DUMMYFUNCTION("IMPORTRANGE(""https://docs.google.com/spreadsheets/d/1IYY_tgx_IHuhSq3AJ5eI5OnqOPBNLWSHKh2a30DoXe8/edit?usp=sharing"",""ตรัง!I395"")"),0)</f>
        <v>0</v>
      </c>
      <c r="J500" s="168">
        <f ca="1">IFERROR(__xludf.DUMMYFUNCTION("IMPORTRANGE(""https://docs.google.com/spreadsheets/d/1IYY_tgx_IHuhSq3AJ5eI5OnqOPBNLWSHKh2a30DoXe8/edit?usp=sharing"",""ตรัง!J395"")"),0)</f>
        <v>0</v>
      </c>
      <c r="K500" s="169">
        <f t="shared" ca="1" si="117"/>
        <v>0</v>
      </c>
      <c r="L500" s="189"/>
      <c r="M500" s="189"/>
      <c r="N500" s="189"/>
      <c r="O500" s="189"/>
      <c r="P500" s="189"/>
    </row>
    <row r="501" spans="1:16" ht="21.75" customHeight="1" x14ac:dyDescent="0.35">
      <c r="A501" s="183"/>
      <c r="B501" s="184"/>
      <c r="C501" s="184"/>
      <c r="D501" s="201"/>
      <c r="E501" s="203"/>
      <c r="F501" s="203"/>
      <c r="G501" s="204"/>
      <c r="H501" s="428" t="s">
        <v>36</v>
      </c>
      <c r="I501" s="210">
        <f ca="1">IFERROR(__xludf.DUMMYFUNCTION("IMPORTRANGE(""https://docs.google.com/spreadsheets/d/1IYY_tgx_IHuhSq3AJ5eI5OnqOPBNLWSHKh2a30DoXe8/edit?usp=sharing"",""ตรัง!I396"")"),0)</f>
        <v>0</v>
      </c>
      <c r="J501" s="168">
        <f ca="1">IFERROR(__xludf.DUMMYFUNCTION("IMPORTRANGE(""https://docs.google.com/spreadsheets/d/1IYY_tgx_IHuhSq3AJ5eI5OnqOPBNLWSHKh2a30DoXe8/edit?usp=sharing"",""ตรัง!J396"")"),0)</f>
        <v>0</v>
      </c>
      <c r="K501" s="169">
        <f t="shared" ca="1" si="117"/>
        <v>0</v>
      </c>
      <c r="L501" s="189"/>
      <c r="M501" s="189"/>
      <c r="N501" s="189"/>
      <c r="O501" s="189"/>
      <c r="P501" s="189"/>
    </row>
    <row r="502" spans="1:16" ht="21.75" customHeight="1" x14ac:dyDescent="0.35">
      <c r="A502" s="183"/>
      <c r="B502" s="184"/>
      <c r="C502" s="184"/>
      <c r="D502" s="201"/>
      <c r="E502" s="203"/>
      <c r="F502" s="405" t="s">
        <v>186</v>
      </c>
      <c r="G502" s="427"/>
      <c r="H502" s="428" t="s">
        <v>122</v>
      </c>
      <c r="I502" s="210">
        <f ca="1">IFERROR(__xludf.DUMMYFUNCTION("IMPORTRANGE(""https://docs.google.com/spreadsheets/d/1IYY_tgx_IHuhSq3AJ5eI5OnqOPBNLWSHKh2a30DoXe8/edit?usp=sharing"",""ตรัง!I397"")"),0)</f>
        <v>0</v>
      </c>
      <c r="J502" s="196">
        <f ca="1">IFERROR(__xludf.DUMMYFUNCTION("IMPORTRANGE(""https://docs.google.com/spreadsheets/d/1IYY_tgx_IHuhSq3AJ5eI5OnqOPBNLWSHKh2a30DoXe8/edit?usp=sharing"",""ตรัง!J397"")"),0)</f>
        <v>0</v>
      </c>
      <c r="K502" s="169">
        <f t="shared" ca="1" si="117"/>
        <v>0</v>
      </c>
      <c r="L502" s="189"/>
      <c r="M502" s="189"/>
      <c r="N502" s="189"/>
      <c r="O502" s="189"/>
      <c r="P502" s="189"/>
    </row>
    <row r="503" spans="1:16" ht="21.75" customHeight="1" x14ac:dyDescent="0.35">
      <c r="A503" s="183"/>
      <c r="B503" s="184"/>
      <c r="C503" s="184"/>
      <c r="D503" s="201"/>
      <c r="E503" s="203"/>
      <c r="F503" s="203"/>
      <c r="G503" s="427"/>
      <c r="H503" s="428" t="s">
        <v>36</v>
      </c>
      <c r="I503" s="195">
        <f ca="1">IFERROR(__xludf.DUMMYFUNCTION("IMPORTRANGE(""https://docs.google.com/spreadsheets/d/1IYY_tgx_IHuhSq3AJ5eI5OnqOPBNLWSHKh2a30DoXe8/edit?usp=sharing"",""ตรัง!I398"")"),0)</f>
        <v>0</v>
      </c>
      <c r="J503" s="205">
        <f ca="1">IFERROR(__xludf.DUMMYFUNCTION("IMPORTRANGE(""https://docs.google.com/spreadsheets/d/1IYY_tgx_IHuhSq3AJ5eI5OnqOPBNLWSHKh2a30DoXe8/edit?usp=sharing"",""ตรัง!J398"")"),0)</f>
        <v>0</v>
      </c>
      <c r="K503" s="169">
        <f t="shared" ca="1" si="117"/>
        <v>0</v>
      </c>
      <c r="L503" s="189"/>
      <c r="M503" s="189"/>
      <c r="N503" s="189"/>
      <c r="O503" s="189"/>
      <c r="P503" s="189"/>
    </row>
    <row r="504" spans="1:16" ht="21.75" customHeight="1" x14ac:dyDescent="0.35">
      <c r="A504" s="183"/>
      <c r="B504" s="184"/>
      <c r="C504" s="184"/>
      <c r="D504" s="201"/>
      <c r="E504" s="203"/>
      <c r="F504" s="396" t="s">
        <v>187</v>
      </c>
      <c r="G504" s="427"/>
      <c r="H504" s="428" t="s">
        <v>122</v>
      </c>
      <c r="I504" s="211">
        <f ca="1">IFERROR(__xludf.DUMMYFUNCTION("IMPORTRANGE(""https://docs.google.com/spreadsheets/d/1IYY_tgx_IHuhSq3AJ5eI5OnqOPBNLWSHKh2a30DoXe8/edit?usp=sharing"",""ตรัง!I399"")"),0)</f>
        <v>0</v>
      </c>
      <c r="J504" s="196">
        <f ca="1">IFERROR(__xludf.DUMMYFUNCTION("IMPORTRANGE(""https://docs.google.com/spreadsheets/d/1IYY_tgx_IHuhSq3AJ5eI5OnqOPBNLWSHKh2a30DoXe8/edit?usp=sharing"",""ตรัง!J399"")"),0)</f>
        <v>0</v>
      </c>
      <c r="K504" s="169">
        <f t="shared" ca="1" si="117"/>
        <v>0</v>
      </c>
      <c r="L504" s="189"/>
      <c r="M504" s="189"/>
      <c r="N504" s="189"/>
      <c r="O504" s="189"/>
      <c r="P504" s="189"/>
    </row>
    <row r="505" spans="1:16" ht="21.75" customHeight="1" x14ac:dyDescent="0.35">
      <c r="A505" s="183"/>
      <c r="B505" s="184"/>
      <c r="C505" s="184"/>
      <c r="D505" s="201"/>
      <c r="E505" s="203"/>
      <c r="F505" s="203"/>
      <c r="G505" s="427"/>
      <c r="H505" s="428" t="s">
        <v>36</v>
      </c>
      <c r="I505" s="195">
        <f ca="1">IFERROR(__xludf.DUMMYFUNCTION("IMPORTRANGE(""https://docs.google.com/spreadsheets/d/1IYY_tgx_IHuhSq3AJ5eI5OnqOPBNLWSHKh2a30DoXe8/edit?usp=sharing"",""ตรัง!I400"")"),0)</f>
        <v>0</v>
      </c>
      <c r="J505" s="205">
        <f ca="1">IFERROR(__xludf.DUMMYFUNCTION("IMPORTRANGE(""https://docs.google.com/spreadsheets/d/1IYY_tgx_IHuhSq3AJ5eI5OnqOPBNLWSHKh2a30DoXe8/edit?usp=sharing"",""ตรัง!J400"")"),0)</f>
        <v>0</v>
      </c>
      <c r="K505" s="169">
        <f t="shared" ca="1" si="117"/>
        <v>0</v>
      </c>
      <c r="L505" s="189"/>
      <c r="M505" s="189"/>
      <c r="N505" s="189"/>
      <c r="O505" s="189"/>
      <c r="P505" s="189"/>
    </row>
    <row r="506" spans="1:16" ht="21.75" customHeight="1" x14ac:dyDescent="0.35">
      <c r="A506" s="183"/>
      <c r="B506" s="184"/>
      <c r="C506" s="184"/>
      <c r="D506" s="201"/>
      <c r="E506" s="203"/>
      <c r="F506" s="405" t="s">
        <v>188</v>
      </c>
      <c r="G506" s="427"/>
      <c r="H506" s="428" t="s">
        <v>122</v>
      </c>
      <c r="I506" s="211">
        <f ca="1">IFERROR(__xludf.DUMMYFUNCTION("IMPORTRANGE(""https://docs.google.com/spreadsheets/d/1IYY_tgx_IHuhSq3AJ5eI5OnqOPBNLWSHKh2a30DoXe8/edit?usp=sharing"",""ตรัง!I401"")"),0)</f>
        <v>0</v>
      </c>
      <c r="J506" s="196">
        <f ca="1">IFERROR(__xludf.DUMMYFUNCTION("IMPORTRANGE(""https://docs.google.com/spreadsheets/d/1IYY_tgx_IHuhSq3AJ5eI5OnqOPBNLWSHKh2a30DoXe8/edit?usp=sharing"",""ตรัง!J401"")"),0)</f>
        <v>0</v>
      </c>
      <c r="K506" s="169">
        <f t="shared" ca="1" si="117"/>
        <v>0</v>
      </c>
      <c r="L506" s="189"/>
      <c r="M506" s="189"/>
      <c r="N506" s="189"/>
      <c r="O506" s="189"/>
      <c r="P506" s="189"/>
    </row>
    <row r="507" spans="1:16" ht="21.75" customHeight="1" x14ac:dyDescent="0.35">
      <c r="A507" s="183"/>
      <c r="B507" s="184"/>
      <c r="C507" s="184"/>
      <c r="D507" s="201"/>
      <c r="E507" s="203"/>
      <c r="F507" s="203"/>
      <c r="G507" s="203"/>
      <c r="H507" s="428" t="s">
        <v>36</v>
      </c>
      <c r="I507" s="195">
        <f ca="1">IFERROR(__xludf.DUMMYFUNCTION("IMPORTRANGE(""https://docs.google.com/spreadsheets/d/1IYY_tgx_IHuhSq3AJ5eI5OnqOPBNLWSHKh2a30DoXe8/edit?usp=sharing"",""ตรัง!I402"")"),0)</f>
        <v>0</v>
      </c>
      <c r="J507" s="205">
        <f ca="1">IFERROR(__xludf.DUMMYFUNCTION("IMPORTRANGE(""https://docs.google.com/spreadsheets/d/1IYY_tgx_IHuhSq3AJ5eI5OnqOPBNLWSHKh2a30DoXe8/edit?usp=sharing"",""ตรัง!J402"")"),0)</f>
        <v>0</v>
      </c>
      <c r="K507" s="169">
        <f t="shared" ca="1" si="117"/>
        <v>0</v>
      </c>
      <c r="L507" s="189"/>
      <c r="M507" s="189"/>
      <c r="N507" s="189"/>
      <c r="O507" s="189"/>
      <c r="P507" s="189"/>
    </row>
    <row r="508" spans="1:16" ht="21.75" customHeight="1" x14ac:dyDescent="0.35">
      <c r="A508" s="183"/>
      <c r="B508" s="184"/>
      <c r="C508" s="184"/>
      <c r="D508" s="201"/>
      <c r="E508" s="202" t="s">
        <v>189</v>
      </c>
      <c r="F508" s="203"/>
      <c r="G508" s="427"/>
      <c r="H508" s="428" t="s">
        <v>122</v>
      </c>
      <c r="I508" s="195">
        <f ca="1">IFERROR(__xludf.DUMMYFUNCTION("IMPORTRANGE(""https://docs.google.com/spreadsheets/d/1IYY_tgx_IHuhSq3AJ5eI5OnqOPBNLWSHKh2a30DoXe8/edit?usp=sharing"",""ตรัง!I403"")"),0)</f>
        <v>0</v>
      </c>
      <c r="J508" s="168">
        <f ca="1">IFERROR(__xludf.DUMMYFUNCTION("IMPORTRANGE(""https://docs.google.com/spreadsheets/d/1IYY_tgx_IHuhSq3AJ5eI5OnqOPBNLWSHKh2a30DoXe8/edit?usp=sharing"",""ตรัง!J403"")"),0)</f>
        <v>0</v>
      </c>
      <c r="K508" s="169">
        <f t="shared" ca="1" si="117"/>
        <v>0</v>
      </c>
      <c r="L508" s="189"/>
      <c r="M508" s="189"/>
      <c r="N508" s="189"/>
      <c r="O508" s="189"/>
      <c r="P508" s="189"/>
    </row>
    <row r="509" spans="1:16" ht="21.75" customHeight="1" x14ac:dyDescent="0.35">
      <c r="A509" s="183"/>
      <c r="B509" s="184"/>
      <c r="C509" s="184"/>
      <c r="D509" s="201"/>
      <c r="E509" s="203"/>
      <c r="F509" s="203"/>
      <c r="G509" s="203"/>
      <c r="H509" s="428" t="s">
        <v>36</v>
      </c>
      <c r="I509" s="195">
        <f ca="1">IFERROR(__xludf.DUMMYFUNCTION("IMPORTRANGE(""https://docs.google.com/spreadsheets/d/1IYY_tgx_IHuhSq3AJ5eI5OnqOPBNLWSHKh2a30DoXe8/edit?usp=sharing"",""ตรัง!I404"")"),0)</f>
        <v>0</v>
      </c>
      <c r="J509" s="168">
        <f ca="1">IFERROR(__xludf.DUMMYFUNCTION("IMPORTRANGE(""https://docs.google.com/spreadsheets/d/1IYY_tgx_IHuhSq3AJ5eI5OnqOPBNLWSHKh2a30DoXe8/edit?usp=sharing"",""ตรัง!J404"")"),0)</f>
        <v>0</v>
      </c>
      <c r="K509" s="169">
        <f t="shared" ca="1" si="117"/>
        <v>0</v>
      </c>
      <c r="L509" s="189"/>
      <c r="M509" s="189"/>
      <c r="N509" s="189"/>
      <c r="O509" s="189"/>
      <c r="P509" s="189"/>
    </row>
    <row r="510" spans="1:16" ht="21.75" customHeight="1" x14ac:dyDescent="0.35">
      <c r="A510" s="183"/>
      <c r="B510" s="184"/>
      <c r="C510" s="184"/>
      <c r="D510" s="201"/>
      <c r="E510" s="203"/>
      <c r="F510" s="202" t="s">
        <v>190</v>
      </c>
      <c r="G510" s="203"/>
      <c r="H510" s="428" t="s">
        <v>122</v>
      </c>
      <c r="I510" s="195">
        <f ca="1">IFERROR(__xludf.DUMMYFUNCTION("IMPORTRANGE(""https://docs.google.com/spreadsheets/d/1IYY_tgx_IHuhSq3AJ5eI5OnqOPBNLWSHKh2a30DoXe8/edit?usp=sharing"",""ตรัง!I405"")"),0)</f>
        <v>0</v>
      </c>
      <c r="J510" s="205">
        <f ca="1">IFERROR(__xludf.DUMMYFUNCTION("IMPORTRANGE(""https://docs.google.com/spreadsheets/d/1IYY_tgx_IHuhSq3AJ5eI5OnqOPBNLWSHKh2a30DoXe8/edit?usp=sharing"",""ตรัง!J405"")"),0)</f>
        <v>0</v>
      </c>
      <c r="K510" s="169">
        <f t="shared" ca="1" si="117"/>
        <v>0</v>
      </c>
      <c r="L510" s="189"/>
      <c r="M510" s="189"/>
      <c r="N510" s="189"/>
      <c r="O510" s="189"/>
      <c r="P510" s="189"/>
    </row>
    <row r="511" spans="1:16" ht="21.75" customHeight="1" x14ac:dyDescent="0.35">
      <c r="A511" s="183"/>
      <c r="B511" s="184"/>
      <c r="C511" s="184"/>
      <c r="D511" s="201"/>
      <c r="E511" s="203"/>
      <c r="F511" s="203"/>
      <c r="G511" s="203"/>
      <c r="H511" s="428" t="s">
        <v>36</v>
      </c>
      <c r="I511" s="195">
        <f ca="1">IFERROR(__xludf.DUMMYFUNCTION("IMPORTRANGE(""https://docs.google.com/spreadsheets/d/1IYY_tgx_IHuhSq3AJ5eI5OnqOPBNLWSHKh2a30DoXe8/edit?usp=sharing"",""ตรัง!I406"")"),0)</f>
        <v>0</v>
      </c>
      <c r="J511" s="205">
        <f ca="1">IFERROR(__xludf.DUMMYFUNCTION("IMPORTRANGE(""https://docs.google.com/spreadsheets/d/1IYY_tgx_IHuhSq3AJ5eI5OnqOPBNLWSHKh2a30DoXe8/edit?usp=sharing"",""ตรัง!J406"")"),0)</f>
        <v>0</v>
      </c>
      <c r="K511" s="169">
        <f t="shared" ca="1" si="117"/>
        <v>0</v>
      </c>
      <c r="L511" s="189"/>
      <c r="M511" s="189"/>
      <c r="N511" s="189"/>
      <c r="O511" s="189"/>
      <c r="P511" s="189"/>
    </row>
    <row r="512" spans="1:16" ht="21.75" customHeight="1" x14ac:dyDescent="0.35">
      <c r="A512" s="183"/>
      <c r="B512" s="184"/>
      <c r="C512" s="184"/>
      <c r="D512" s="201"/>
      <c r="E512" s="203"/>
      <c r="F512" s="202" t="s">
        <v>191</v>
      </c>
      <c r="G512" s="203"/>
      <c r="H512" s="428" t="s">
        <v>122</v>
      </c>
      <c r="I512" s="195">
        <f ca="1">IFERROR(__xludf.DUMMYFUNCTION("IMPORTRANGE(""https://docs.google.com/spreadsheets/d/1IYY_tgx_IHuhSq3AJ5eI5OnqOPBNLWSHKh2a30DoXe8/edit?usp=sharing"",""ตรัง!I407"")"),0)</f>
        <v>0</v>
      </c>
      <c r="J512" s="205">
        <f ca="1">IFERROR(__xludf.DUMMYFUNCTION("IMPORTRANGE(""https://docs.google.com/spreadsheets/d/1IYY_tgx_IHuhSq3AJ5eI5OnqOPBNLWSHKh2a30DoXe8/edit?usp=sharing"",""ตรัง!J407"")"),0)</f>
        <v>0</v>
      </c>
      <c r="K512" s="169">
        <f t="shared" ca="1" si="117"/>
        <v>0</v>
      </c>
      <c r="L512" s="189"/>
      <c r="M512" s="189"/>
      <c r="N512" s="189"/>
      <c r="O512" s="189"/>
      <c r="P512" s="189"/>
    </row>
    <row r="513" spans="1:16" ht="21.75" customHeight="1" x14ac:dyDescent="0.35">
      <c r="A513" s="183"/>
      <c r="B513" s="184"/>
      <c r="C513" s="184"/>
      <c r="D513" s="201"/>
      <c r="E513" s="203"/>
      <c r="F513" s="203"/>
      <c r="G513" s="204"/>
      <c r="H513" s="428" t="s">
        <v>36</v>
      </c>
      <c r="I513" s="195">
        <f ca="1">IFERROR(__xludf.DUMMYFUNCTION("IMPORTRANGE(""https://docs.google.com/spreadsheets/d/1IYY_tgx_IHuhSq3AJ5eI5OnqOPBNLWSHKh2a30DoXe8/edit?usp=sharing"",""ตรัง!I408"")"),0)</f>
        <v>0</v>
      </c>
      <c r="J513" s="205">
        <f ca="1">IFERROR(__xludf.DUMMYFUNCTION("IMPORTRANGE(""https://docs.google.com/spreadsheets/d/1IYY_tgx_IHuhSq3AJ5eI5OnqOPBNLWSHKh2a30DoXe8/edit?usp=sharing"",""ตรัง!J408"")"),0)</f>
        <v>0</v>
      </c>
      <c r="K513" s="169">
        <f t="shared" ca="1" si="117"/>
        <v>0</v>
      </c>
      <c r="L513" s="189"/>
      <c r="M513" s="189"/>
      <c r="N513" s="189"/>
      <c r="O513" s="189"/>
      <c r="P513" s="189"/>
    </row>
    <row r="514" spans="1:16" ht="21.75" customHeight="1" x14ac:dyDescent="0.35">
      <c r="A514" s="183"/>
      <c r="B514" s="184"/>
      <c r="C514" s="184"/>
      <c r="D514" s="410"/>
      <c r="E514" s="456" t="s">
        <v>192</v>
      </c>
      <c r="F514" s="203"/>
      <c r="G514" s="204"/>
      <c r="H514" s="428" t="s">
        <v>122</v>
      </c>
      <c r="I514" s="195">
        <f ca="1">IFERROR(__xludf.DUMMYFUNCTION("IMPORTRANGE(""https://docs.google.com/spreadsheets/d/1IYY_tgx_IHuhSq3AJ5eI5OnqOPBNLWSHKh2a30DoXe8/edit?usp=sharing"",""ตรัง!I409"")"),0)</f>
        <v>0</v>
      </c>
      <c r="J514" s="205">
        <f ca="1">IFERROR(__xludf.DUMMYFUNCTION("IMPORTRANGE(""https://docs.google.com/spreadsheets/d/1IYY_tgx_IHuhSq3AJ5eI5OnqOPBNLWSHKh2a30DoXe8/edit?usp=sharing"",""ตรัง!J409"")"),0)</f>
        <v>0</v>
      </c>
      <c r="K514" s="169">
        <f t="shared" ca="1" si="117"/>
        <v>0</v>
      </c>
      <c r="L514" s="189"/>
      <c r="M514" s="189"/>
      <c r="N514" s="189"/>
      <c r="O514" s="189"/>
      <c r="P514" s="189"/>
    </row>
    <row r="515" spans="1:16" ht="21.75" customHeight="1" x14ac:dyDescent="0.35">
      <c r="A515" s="183"/>
      <c r="B515" s="184"/>
      <c r="C515" s="184"/>
      <c r="D515" s="201"/>
      <c r="E515" s="203"/>
      <c r="F515" s="203"/>
      <c r="G515" s="204"/>
      <c r="H515" s="428" t="s">
        <v>36</v>
      </c>
      <c r="I515" s="195">
        <f ca="1">IFERROR(__xludf.DUMMYFUNCTION("IMPORTRANGE(""https://docs.google.com/spreadsheets/d/1IYY_tgx_IHuhSq3AJ5eI5OnqOPBNLWSHKh2a30DoXe8/edit?usp=sharing"",""ตรัง!I410"")"),0)</f>
        <v>0</v>
      </c>
      <c r="J515" s="205">
        <f ca="1">IFERROR(__xludf.DUMMYFUNCTION("IMPORTRANGE(""https://docs.google.com/spreadsheets/d/1IYY_tgx_IHuhSq3AJ5eI5OnqOPBNLWSHKh2a30DoXe8/edit?usp=sharing"",""ตรัง!J410"")"),0)</f>
        <v>0</v>
      </c>
      <c r="K515" s="169">
        <f t="shared" ca="1" si="117"/>
        <v>0</v>
      </c>
      <c r="L515" s="189"/>
      <c r="M515" s="189"/>
      <c r="N515" s="189"/>
      <c r="O515" s="189"/>
      <c r="P515" s="189"/>
    </row>
    <row r="516" spans="1:16" ht="21.75" customHeight="1" x14ac:dyDescent="0.35">
      <c r="A516" s="183"/>
      <c r="B516" s="184"/>
      <c r="C516" s="421" t="s">
        <v>193</v>
      </c>
      <c r="D516" s="421"/>
      <c r="E516" s="457"/>
      <c r="F516" s="457"/>
      <c r="G516" s="458"/>
      <c r="H516" s="459" t="s">
        <v>122</v>
      </c>
      <c r="I516" s="274">
        <f ca="1">IFERROR(__xludf.DUMMYFUNCTION("IMPORTRANGE(""https://docs.google.com/spreadsheets/d/1IYY_tgx_IHuhSq3AJ5eI5OnqOPBNLWSHKh2a30DoXe8/edit?usp=sharing"",""ตรัง!I411"")"),0)</f>
        <v>0</v>
      </c>
      <c r="J516" s="274">
        <f ca="1">IFERROR(__xludf.DUMMYFUNCTION("IMPORTRANGE(""https://docs.google.com/spreadsheets/d/1IYY_tgx_IHuhSq3AJ5eI5OnqOPBNLWSHKh2a30DoXe8/edit?usp=sharing"",""ตรัง!J411"")"),0)</f>
        <v>0</v>
      </c>
      <c r="K516" s="275">
        <v>0</v>
      </c>
      <c r="L516" s="189"/>
      <c r="M516" s="189"/>
      <c r="N516" s="189"/>
      <c r="O516" s="189"/>
      <c r="P516" s="189"/>
    </row>
    <row r="517" spans="1:16" ht="21.75" customHeight="1" x14ac:dyDescent="0.35">
      <c r="A517" s="183"/>
      <c r="B517" s="184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IFERROR(__xludf.DUMMYFUNCTION("IMPORTRANGE(""https://docs.google.com/spreadsheets/d/1IYY_tgx_IHuhSq3AJ5eI5OnqOPBNLWSHKh2a30DoXe8/edit?usp=sharing"",""ตรัง!I412"")"),0)</f>
        <v>0</v>
      </c>
      <c r="J517" s="290">
        <f ca="1">IFERROR(__xludf.DUMMYFUNCTION("IMPORTRANGE(""https://docs.google.com/spreadsheets/d/1IYY_tgx_IHuhSq3AJ5eI5OnqOPBNLWSHKh2a30DoXe8/edit?usp=sharing"",""ตรัง!J412"")"),0)</f>
        <v>0</v>
      </c>
      <c r="K517" s="291">
        <v>0</v>
      </c>
      <c r="L517" s="189"/>
      <c r="M517" s="189"/>
      <c r="N517" s="189"/>
      <c r="O517" s="189"/>
      <c r="P517" s="189"/>
    </row>
    <row r="518" spans="1:16" ht="21.75" customHeight="1" x14ac:dyDescent="0.35">
      <c r="A518" s="183"/>
      <c r="B518" s="184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IFERROR(__xludf.DUMMYFUNCTION("IMPORTRANGE(""https://docs.google.com/spreadsheets/d/1IYY_tgx_IHuhSq3AJ5eI5OnqOPBNLWSHKh2a30DoXe8/edit?usp=sharing"",""ตรัง!I413"")"),0)</f>
        <v>0</v>
      </c>
      <c r="J518" s="290">
        <f ca="1">IFERROR(__xludf.DUMMYFUNCTION("IMPORTRANGE(""https://docs.google.com/spreadsheets/d/1IYY_tgx_IHuhSq3AJ5eI5OnqOPBNLWSHKh2a30DoXe8/edit?usp=sharing"",""ตรัง!J413"")"),0)</f>
        <v>0</v>
      </c>
      <c r="K518" s="291">
        <v>0</v>
      </c>
      <c r="L518" s="189"/>
      <c r="M518" s="189"/>
      <c r="N518" s="189"/>
      <c r="O518" s="189"/>
      <c r="P518" s="189"/>
    </row>
    <row r="519" spans="1:16" ht="21.75" customHeight="1" x14ac:dyDescent="0.35">
      <c r="A519" s="183"/>
      <c r="B519" s="184"/>
      <c r="C519" s="184"/>
      <c r="D519" s="201"/>
      <c r="E519" s="203"/>
      <c r="F519" s="203"/>
      <c r="G519" s="233" t="s">
        <v>196</v>
      </c>
      <c r="H519" s="428" t="s">
        <v>122</v>
      </c>
      <c r="I519" s="195">
        <f ca="1">IFERROR(__xludf.DUMMYFUNCTION("IMPORTRANGE(""https://docs.google.com/spreadsheets/d/1IYY_tgx_IHuhSq3AJ5eI5OnqOPBNLWSHKh2a30DoXe8/edit?usp=sharing"",""ตรัง!I414"")"),0)</f>
        <v>0</v>
      </c>
      <c r="J519" s="195">
        <f ca="1">IFERROR(__xludf.DUMMYFUNCTION("IMPORTRANGE(""https://docs.google.com/spreadsheets/d/1IYY_tgx_IHuhSq3AJ5eI5OnqOPBNLWSHKh2a30DoXe8/edit?usp=sharing"",""ตรัง!J414"")"),0)</f>
        <v>0</v>
      </c>
      <c r="K519" s="169">
        <v>0</v>
      </c>
      <c r="L519" s="189"/>
      <c r="M519" s="189"/>
      <c r="N519" s="189"/>
      <c r="O519" s="189"/>
      <c r="P519" s="189"/>
    </row>
    <row r="520" spans="1:16" ht="21.75" customHeight="1" x14ac:dyDescent="0.35">
      <c r="A520" s="183"/>
      <c r="B520" s="184"/>
      <c r="C520" s="184"/>
      <c r="D520" s="201"/>
      <c r="E520" s="203"/>
      <c r="F520" s="203"/>
      <c r="G520" s="204"/>
      <c r="H520" s="428" t="s">
        <v>36</v>
      </c>
      <c r="I520" s="195">
        <f ca="1">IFERROR(__xludf.DUMMYFUNCTION("IMPORTRANGE(""https://docs.google.com/spreadsheets/d/1IYY_tgx_IHuhSq3AJ5eI5OnqOPBNLWSHKh2a30DoXe8/edit?usp=sharing"",""ตรัง!I415"")"),0)</f>
        <v>0</v>
      </c>
      <c r="J520" s="195">
        <f ca="1">IFERROR(__xludf.DUMMYFUNCTION("IMPORTRANGE(""https://docs.google.com/spreadsheets/d/1IYY_tgx_IHuhSq3AJ5eI5OnqOPBNLWSHKh2a30DoXe8/edit?usp=sharing"",""ตรัง!J415"")"),0)</f>
        <v>0</v>
      </c>
      <c r="K520" s="169">
        <v>0</v>
      </c>
      <c r="L520" s="189"/>
      <c r="M520" s="189"/>
      <c r="N520" s="189"/>
      <c r="O520" s="189"/>
      <c r="P520" s="189"/>
    </row>
    <row r="521" spans="1:16" ht="21.75" customHeight="1" x14ac:dyDescent="0.35">
      <c r="A521" s="183"/>
      <c r="B521" s="184"/>
      <c r="C521" s="184"/>
      <c r="D521" s="201"/>
      <c r="E521" s="203"/>
      <c r="F521" s="203"/>
      <c r="G521" s="233" t="s">
        <v>197</v>
      </c>
      <c r="H521" s="428" t="s">
        <v>122</v>
      </c>
      <c r="I521" s="195">
        <f ca="1">IFERROR(__xludf.DUMMYFUNCTION("IMPORTRANGE(""https://docs.google.com/spreadsheets/d/1IYY_tgx_IHuhSq3AJ5eI5OnqOPBNLWSHKh2a30DoXe8/edit?usp=sharing"",""ตรัง!I416"")"),0)</f>
        <v>0</v>
      </c>
      <c r="J521" s="195">
        <f ca="1">IFERROR(__xludf.DUMMYFUNCTION("IMPORTRANGE(""https://docs.google.com/spreadsheets/d/1IYY_tgx_IHuhSq3AJ5eI5OnqOPBNLWSHKh2a30DoXe8/edit?usp=sharing"",""ตรัง!J416"")"),0)</f>
        <v>0</v>
      </c>
      <c r="K521" s="169">
        <v>0</v>
      </c>
      <c r="L521" s="189"/>
      <c r="M521" s="189"/>
      <c r="N521" s="189"/>
      <c r="O521" s="189"/>
      <c r="P521" s="189"/>
    </row>
    <row r="522" spans="1:16" ht="21.75" customHeight="1" x14ac:dyDescent="0.35">
      <c r="A522" s="183"/>
      <c r="B522" s="184"/>
      <c r="C522" s="184"/>
      <c r="D522" s="201"/>
      <c r="E522" s="203"/>
      <c r="F522" s="203"/>
      <c r="G522" s="204"/>
      <c r="H522" s="428" t="s">
        <v>36</v>
      </c>
      <c r="I522" s="195">
        <f ca="1">IFERROR(__xludf.DUMMYFUNCTION("IMPORTRANGE(""https://docs.google.com/spreadsheets/d/1IYY_tgx_IHuhSq3AJ5eI5OnqOPBNLWSHKh2a30DoXe8/edit?usp=sharing"",""ตรัง!I417"")"),0)</f>
        <v>0</v>
      </c>
      <c r="J522" s="195">
        <f ca="1">IFERROR(__xludf.DUMMYFUNCTION("IMPORTRANGE(""https://docs.google.com/spreadsheets/d/1IYY_tgx_IHuhSq3AJ5eI5OnqOPBNLWSHKh2a30DoXe8/edit?usp=sharing"",""ตรัง!J417"")"),0)</f>
        <v>0</v>
      </c>
      <c r="K522" s="169">
        <v>0</v>
      </c>
      <c r="L522" s="189"/>
      <c r="M522" s="189"/>
      <c r="N522" s="189"/>
      <c r="O522" s="189"/>
      <c r="P522" s="189"/>
    </row>
    <row r="523" spans="1:16" ht="21.75" customHeight="1" x14ac:dyDescent="0.35">
      <c r="A523" s="183"/>
      <c r="B523" s="184"/>
      <c r="C523" s="184"/>
      <c r="D523" s="201"/>
      <c r="E523" s="203"/>
      <c r="F523" s="203"/>
      <c r="G523" s="464" t="s">
        <v>198</v>
      </c>
      <c r="H523" s="428" t="s">
        <v>122</v>
      </c>
      <c r="I523" s="195">
        <f ca="1">IFERROR(__xludf.DUMMYFUNCTION("IMPORTRANGE(""https://docs.google.com/spreadsheets/d/1IYY_tgx_IHuhSq3AJ5eI5OnqOPBNLWSHKh2a30DoXe8/edit?usp=sharing"",""ตรัง!I418"")"),0)</f>
        <v>0</v>
      </c>
      <c r="J523" s="195">
        <f ca="1">IFERROR(__xludf.DUMMYFUNCTION("IMPORTRANGE(""https://docs.google.com/spreadsheets/d/1IYY_tgx_IHuhSq3AJ5eI5OnqOPBNLWSHKh2a30DoXe8/edit?usp=sharing"",""ตรัง!J418"")"),0)</f>
        <v>0</v>
      </c>
      <c r="K523" s="169">
        <v>0</v>
      </c>
      <c r="L523" s="189"/>
      <c r="M523" s="189"/>
      <c r="N523" s="189"/>
      <c r="O523" s="189"/>
      <c r="P523" s="189"/>
    </row>
    <row r="524" spans="1:16" ht="21.75" customHeight="1" x14ac:dyDescent="0.35">
      <c r="A524" s="183"/>
      <c r="B524" s="184"/>
      <c r="C524" s="184"/>
      <c r="D524" s="201"/>
      <c r="E524" s="203"/>
      <c r="F524" s="203"/>
      <c r="G524" s="204"/>
      <c r="H524" s="428" t="s">
        <v>36</v>
      </c>
      <c r="I524" s="195">
        <f ca="1">IFERROR(__xludf.DUMMYFUNCTION("IMPORTRANGE(""https://docs.google.com/spreadsheets/d/1IYY_tgx_IHuhSq3AJ5eI5OnqOPBNLWSHKh2a30DoXe8/edit?usp=sharing"",""ตรัง!I419"")"),0)</f>
        <v>0</v>
      </c>
      <c r="J524" s="195">
        <f ca="1">IFERROR(__xludf.DUMMYFUNCTION("IMPORTRANGE(""https://docs.google.com/spreadsheets/d/1IYY_tgx_IHuhSq3AJ5eI5OnqOPBNLWSHKh2a30DoXe8/edit?usp=sharing"",""ตรัง!J419"")"),0)</f>
        <v>0</v>
      </c>
      <c r="K524" s="169">
        <v>0</v>
      </c>
      <c r="L524" s="189"/>
      <c r="M524" s="189"/>
      <c r="N524" s="189"/>
      <c r="O524" s="189"/>
      <c r="P524" s="189"/>
    </row>
    <row r="525" spans="1:16" ht="21.75" customHeight="1" x14ac:dyDescent="0.35">
      <c r="A525" s="183"/>
      <c r="B525" s="184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IFERROR(__xludf.DUMMYFUNCTION("IMPORTRANGE(""https://docs.google.com/spreadsheets/d/1IYY_tgx_IHuhSq3AJ5eI5OnqOPBNLWSHKh2a30DoXe8/edit?usp=sharing"",""ตรัง!I420"")"),0)</f>
        <v>0</v>
      </c>
      <c r="J525" s="290">
        <f ca="1">IFERROR(__xludf.DUMMYFUNCTION("IMPORTRANGE(""https://docs.google.com/spreadsheets/d/1IYY_tgx_IHuhSq3AJ5eI5OnqOPBNLWSHKh2a30DoXe8/edit?usp=sharing"",""ตรัง!J420"")"),0)</f>
        <v>0</v>
      </c>
      <c r="K525" s="291">
        <v>0</v>
      </c>
      <c r="L525" s="189"/>
      <c r="M525" s="189"/>
      <c r="N525" s="189"/>
      <c r="O525" s="189"/>
      <c r="P525" s="189"/>
    </row>
    <row r="526" spans="1:16" ht="21.75" customHeight="1" x14ac:dyDescent="0.35">
      <c r="A526" s="183"/>
      <c r="B526" s="184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IFERROR(__xludf.DUMMYFUNCTION("IMPORTRANGE(""https://docs.google.com/spreadsheets/d/1IYY_tgx_IHuhSq3AJ5eI5OnqOPBNLWSHKh2a30DoXe8/edit?usp=sharing"",""ตรัง!I421"")"),0)</f>
        <v>0</v>
      </c>
      <c r="J526" s="290">
        <f ca="1">IFERROR(__xludf.DUMMYFUNCTION("IMPORTRANGE(""https://docs.google.com/spreadsheets/d/1IYY_tgx_IHuhSq3AJ5eI5OnqOPBNLWSHKh2a30DoXe8/edit?usp=sharing"",""ตรัง!J421"")"),0)</f>
        <v>0</v>
      </c>
      <c r="K526" s="291">
        <v>0</v>
      </c>
      <c r="L526" s="189"/>
      <c r="M526" s="189"/>
      <c r="N526" s="189"/>
      <c r="O526" s="189"/>
      <c r="P526" s="189"/>
    </row>
    <row r="527" spans="1:16" ht="21.75" customHeight="1" x14ac:dyDescent="0.35">
      <c r="A527" s="183"/>
      <c r="B527" s="184"/>
      <c r="C527" s="184"/>
      <c r="D527" s="201"/>
      <c r="E527" s="203"/>
      <c r="F527" s="203"/>
      <c r="G527" s="233" t="s">
        <v>196</v>
      </c>
      <c r="H527" s="428" t="s">
        <v>122</v>
      </c>
      <c r="I527" s="195">
        <f ca="1">IFERROR(__xludf.DUMMYFUNCTION("IMPORTRANGE(""https://docs.google.com/spreadsheets/d/1IYY_tgx_IHuhSq3AJ5eI5OnqOPBNLWSHKh2a30DoXe8/edit?usp=sharing"",""ตรัง!I422"")"),0)</f>
        <v>0</v>
      </c>
      <c r="J527" s="205">
        <f ca="1">IFERROR(__xludf.DUMMYFUNCTION("IMPORTRANGE(""https://docs.google.com/spreadsheets/d/1IYY_tgx_IHuhSq3AJ5eI5OnqOPBNLWSHKh2a30DoXe8/edit?usp=sharing"",""ตรัง!J422"")"),0)</f>
        <v>0</v>
      </c>
      <c r="K527" s="169">
        <v>0</v>
      </c>
      <c r="L527" s="189"/>
      <c r="M527" s="189"/>
      <c r="N527" s="189"/>
      <c r="O527" s="189"/>
      <c r="P527" s="189"/>
    </row>
    <row r="528" spans="1:16" ht="21.75" customHeight="1" x14ac:dyDescent="0.35">
      <c r="A528" s="183"/>
      <c r="B528" s="184"/>
      <c r="C528" s="184"/>
      <c r="D528" s="201"/>
      <c r="E528" s="203"/>
      <c r="F528" s="203"/>
      <c r="G528" s="204"/>
      <c r="H528" s="428" t="s">
        <v>36</v>
      </c>
      <c r="I528" s="195">
        <f ca="1">IFERROR(__xludf.DUMMYFUNCTION("IMPORTRANGE(""https://docs.google.com/spreadsheets/d/1IYY_tgx_IHuhSq3AJ5eI5OnqOPBNLWSHKh2a30DoXe8/edit?usp=sharing"",""ตรัง!I423"")"),0)</f>
        <v>0</v>
      </c>
      <c r="J528" s="205">
        <f ca="1">IFERROR(__xludf.DUMMYFUNCTION("IMPORTRANGE(""https://docs.google.com/spreadsheets/d/1IYY_tgx_IHuhSq3AJ5eI5OnqOPBNLWSHKh2a30DoXe8/edit?usp=sharing"",""ตรัง!J423"")"),0)</f>
        <v>0</v>
      </c>
      <c r="K528" s="169">
        <v>0</v>
      </c>
      <c r="L528" s="189"/>
      <c r="M528" s="189"/>
      <c r="N528" s="189"/>
      <c r="O528" s="189"/>
      <c r="P528" s="189"/>
    </row>
    <row r="529" spans="1:16" ht="21.75" customHeight="1" x14ac:dyDescent="0.35">
      <c r="A529" s="183"/>
      <c r="B529" s="184"/>
      <c r="C529" s="184"/>
      <c r="D529" s="201"/>
      <c r="E529" s="203"/>
      <c r="F529" s="203"/>
      <c r="G529" s="233" t="s">
        <v>197</v>
      </c>
      <c r="H529" s="428" t="s">
        <v>122</v>
      </c>
      <c r="I529" s="195">
        <f ca="1">IFERROR(__xludf.DUMMYFUNCTION("IMPORTRANGE(""https://docs.google.com/spreadsheets/d/1IYY_tgx_IHuhSq3AJ5eI5OnqOPBNLWSHKh2a30DoXe8/edit?usp=sharing"",""ตรัง!I424"")"),0)</f>
        <v>0</v>
      </c>
      <c r="J529" s="205">
        <f ca="1">IFERROR(__xludf.DUMMYFUNCTION("IMPORTRANGE(""https://docs.google.com/spreadsheets/d/1IYY_tgx_IHuhSq3AJ5eI5OnqOPBNLWSHKh2a30DoXe8/edit?usp=sharing"",""ตรัง!J424"")"),0)</f>
        <v>0</v>
      </c>
      <c r="K529" s="169">
        <v>0</v>
      </c>
      <c r="L529" s="189"/>
      <c r="M529" s="189"/>
      <c r="N529" s="189"/>
      <c r="O529" s="189"/>
      <c r="P529" s="189"/>
    </row>
    <row r="530" spans="1:16" ht="21.75" customHeight="1" x14ac:dyDescent="0.35">
      <c r="A530" s="183"/>
      <c r="B530" s="184"/>
      <c r="C530" s="184"/>
      <c r="D530" s="201"/>
      <c r="E530" s="203"/>
      <c r="F530" s="203"/>
      <c r="G530" s="204"/>
      <c r="H530" s="428" t="s">
        <v>36</v>
      </c>
      <c r="I530" s="195">
        <f ca="1">IFERROR(__xludf.DUMMYFUNCTION("IMPORTRANGE(""https://docs.google.com/spreadsheets/d/1IYY_tgx_IHuhSq3AJ5eI5OnqOPBNLWSHKh2a30DoXe8/edit?usp=sharing"",""ตรัง!I425"")"),0)</f>
        <v>0</v>
      </c>
      <c r="J530" s="205">
        <f ca="1">IFERROR(__xludf.DUMMYFUNCTION("IMPORTRANGE(""https://docs.google.com/spreadsheets/d/1IYY_tgx_IHuhSq3AJ5eI5OnqOPBNLWSHKh2a30DoXe8/edit?usp=sharing"",""ตรัง!J425"")"),0)</f>
        <v>0</v>
      </c>
      <c r="K530" s="169">
        <v>0</v>
      </c>
      <c r="L530" s="189"/>
      <c r="M530" s="189"/>
      <c r="N530" s="189"/>
      <c r="O530" s="189"/>
      <c r="P530" s="189"/>
    </row>
    <row r="531" spans="1:16" ht="21.75" customHeight="1" x14ac:dyDescent="0.35">
      <c r="A531" s="183"/>
      <c r="B531" s="184"/>
      <c r="C531" s="184"/>
      <c r="D531" s="201"/>
      <c r="E531" s="203"/>
      <c r="F531" s="203"/>
      <c r="G531" s="233" t="s">
        <v>201</v>
      </c>
      <c r="H531" s="428" t="s">
        <v>122</v>
      </c>
      <c r="I531" s="195">
        <f ca="1">IFERROR(__xludf.DUMMYFUNCTION("IMPORTRANGE(""https://docs.google.com/spreadsheets/d/1IYY_tgx_IHuhSq3AJ5eI5OnqOPBNLWSHKh2a30DoXe8/edit?usp=sharing"",""ตรัง!I426"")"),0)</f>
        <v>0</v>
      </c>
      <c r="J531" s="205">
        <f ca="1">IFERROR(__xludf.DUMMYFUNCTION("IMPORTRANGE(""https://docs.google.com/spreadsheets/d/1IYY_tgx_IHuhSq3AJ5eI5OnqOPBNLWSHKh2a30DoXe8/edit?usp=sharing"",""ตรัง!J426"")"),0)</f>
        <v>0</v>
      </c>
      <c r="K531" s="169">
        <v>0</v>
      </c>
      <c r="L531" s="189"/>
      <c r="M531" s="189"/>
      <c r="N531" s="189"/>
      <c r="O531" s="189"/>
      <c r="P531" s="189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IFERROR(__xludf.DUMMYFUNCTION("IMPORTRANGE(""https://docs.google.com/spreadsheets/d/1IYY_tgx_IHuhSq3AJ5eI5OnqOPBNLWSHKh2a30DoXe8/edit?usp=sharing"",""ตรัง!I427"")"),0)</f>
        <v>0</v>
      </c>
      <c r="J532" s="472">
        <f ca="1">IFERROR(__xludf.DUMMYFUNCTION("IMPORTRANGE(""https://docs.google.com/spreadsheets/d/1IYY_tgx_IHuhSq3AJ5eI5OnqOPBNLWSHKh2a30DoXe8/edit?usp=sharing"",""ตรัง!J427"")"),0)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IFERROR(__xludf.DUMMYFUNCTION("IMPORTRANGE(""https://docs.google.com/spreadsheets/d/1IYY_tgx_IHuhSq3AJ5eI5OnqOPBNLWSHKh2a30DoXe8/edit?usp=sharing"",""ตรัง!I428"")"),22)</f>
        <v>22</v>
      </c>
      <c r="J533" s="416">
        <f ca="1">IFERROR(__xludf.DUMMYFUNCTION("IMPORTRANGE(""https://docs.google.com/spreadsheets/d/1IYY_tgx_IHuhSq3AJ5eI5OnqOPBNLWSHKh2a30DoXe8/edit?usp=sharing"",""ตรัง!J428"")"),22)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IFERROR(__xludf.DUMMYFUNCTION("IMPORTRANGE(""https://docs.google.com/spreadsheets/d/1IYY_tgx_IHuhSq3AJ5eI5OnqOPBNLWSHKh2a30DoXe8/edit?usp=sharing"",""ตรัง!L428"")"),34340)</f>
        <v>34340</v>
      </c>
      <c r="M533" s="418"/>
      <c r="N533" s="418">
        <f ca="1">IFERROR(__xludf.DUMMYFUNCTION("IMPORTRANGE(""https://docs.google.com/spreadsheets/d/1IYY_tgx_IHuhSq3AJ5eI5OnqOPBNLWSHKh2a30DoXe8/edit?usp=sharing"",""ตรัง!M428"")"),21539.48)</f>
        <v>21539.48</v>
      </c>
      <c r="O533" s="418">
        <f t="shared" ref="O533:O537" ca="1" si="118">+IF(L533&gt;0,N533*100/L533,0)</f>
        <v>62.724170064065227</v>
      </c>
      <c r="P533" s="418"/>
    </row>
    <row r="534" spans="1:16" ht="21.75" customHeight="1" x14ac:dyDescent="0.35">
      <c r="A534" s="162"/>
      <c r="B534" s="163"/>
      <c r="C534" s="163" t="s">
        <v>16</v>
      </c>
      <c r="D534" s="164" t="s">
        <v>38</v>
      </c>
      <c r="E534" s="165"/>
      <c r="F534" s="165"/>
      <c r="G534" s="166" t="s">
        <v>39</v>
      </c>
      <c r="H534" s="167" t="s">
        <v>12</v>
      </c>
      <c r="I534" s="168" t="s">
        <v>40</v>
      </c>
      <c r="J534" s="168"/>
      <c r="K534" s="169"/>
      <c r="L534" s="170">
        <f ca="1">IFERROR(__xludf.DUMMYFUNCTION("IMPORTRANGE(""https://docs.google.com/spreadsheets/d/1IYY_tgx_IHuhSq3AJ5eI5OnqOPBNLWSHKh2a30DoXe8/edit?usp=sharing"",""ตรัง!L429"")"),0)</f>
        <v>0</v>
      </c>
      <c r="M534" s="170"/>
      <c r="N534" s="176">
        <f ca="1">IFERROR(__xludf.DUMMYFUNCTION("IMPORTRANGE(""https://docs.google.com/spreadsheets/d/1IYY_tgx_IHuhSq3AJ5eI5OnqOPBNLWSHKh2a30DoXe8/edit?usp=sharing"",""ตรัง!M429"")"),0)</f>
        <v>0</v>
      </c>
      <c r="O534" s="176">
        <f t="shared" ca="1" si="118"/>
        <v>0</v>
      </c>
      <c r="P534" s="176"/>
    </row>
    <row r="535" spans="1:16" ht="21.75" customHeight="1" x14ac:dyDescent="0.35">
      <c r="A535" s="162"/>
      <c r="B535" s="163"/>
      <c r="C535" s="163"/>
      <c r="D535" s="172"/>
      <c r="E535" s="165"/>
      <c r="F535" s="165" t="s">
        <v>40</v>
      </c>
      <c r="G535" s="166" t="s">
        <v>41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IFERROR(__xludf.DUMMYFUNCTION("IMPORTRANGE(""https://docs.google.com/spreadsheets/d/1IYY_tgx_IHuhSq3AJ5eI5OnqOPBNLWSHKh2a30DoXe8/edit?usp=sharing"",""ตรัง!L430"")"),34340)</f>
        <v>34340</v>
      </c>
      <c r="M535" s="171"/>
      <c r="N535" s="176">
        <f ca="1">IFERROR(__xludf.DUMMYFUNCTION("IMPORTRANGE(""https://docs.google.com/spreadsheets/d/1IYY_tgx_IHuhSq3AJ5eI5OnqOPBNLWSHKh2a30DoXe8/edit?usp=sharing"",""ตรัง!M430"")"),21539.48)</f>
        <v>21539.48</v>
      </c>
      <c r="O535" s="176">
        <f t="shared" ca="1" si="118"/>
        <v>62.724170064065227</v>
      </c>
      <c r="P535" s="176"/>
    </row>
    <row r="536" spans="1:16" ht="21.75" customHeight="1" x14ac:dyDescent="0.35">
      <c r="A536" s="162"/>
      <c r="B536" s="163"/>
      <c r="C536" s="163"/>
      <c r="D536" s="172"/>
      <c r="E536" s="165"/>
      <c r="F536" s="165"/>
      <c r="G536" s="380" t="s">
        <v>129</v>
      </c>
      <c r="H536" s="167" t="s">
        <v>12</v>
      </c>
      <c r="I536" s="168"/>
      <c r="J536" s="168"/>
      <c r="K536" s="169"/>
      <c r="L536" s="176">
        <f ca="1">IFERROR(__xludf.DUMMYFUNCTION("IMPORTRANGE(""https://docs.google.com/spreadsheets/d/1IYY_tgx_IHuhSq3AJ5eI5OnqOPBNLWSHKh2a30DoXe8/edit?usp=sharing"",""ตรัง!L431"")"),0)</f>
        <v>0</v>
      </c>
      <c r="M536" s="176"/>
      <c r="N536" s="176">
        <f ca="1">IFERROR(__xludf.DUMMYFUNCTION("IMPORTRANGE(""https://docs.google.com/spreadsheets/d/1IYY_tgx_IHuhSq3AJ5eI5OnqOPBNLWSHKh2a30DoXe8/edit?usp=sharing"",""ตรัง!M431"")"),0)</f>
        <v>0</v>
      </c>
      <c r="O536" s="176">
        <f t="shared" ca="1" si="118"/>
        <v>0</v>
      </c>
      <c r="P536" s="176"/>
    </row>
    <row r="537" spans="1:16" ht="21.75" customHeight="1" x14ac:dyDescent="0.35">
      <c r="A537" s="162"/>
      <c r="B537" s="163"/>
      <c r="C537" s="163"/>
      <c r="D537" s="172"/>
      <c r="E537" s="165"/>
      <c r="F537" s="165"/>
      <c r="G537" s="380" t="s">
        <v>130</v>
      </c>
      <c r="H537" s="167" t="s">
        <v>12</v>
      </c>
      <c r="I537" s="168"/>
      <c r="J537" s="168"/>
      <c r="K537" s="169"/>
      <c r="L537" s="176">
        <f ca="1">IFERROR(__xludf.DUMMYFUNCTION("IMPORTRANGE(""https://docs.google.com/spreadsheets/d/1IYY_tgx_IHuhSq3AJ5eI5OnqOPBNLWSHKh2a30DoXe8/edit?usp=sharing"",""ตรัง!L432"")"),34340)</f>
        <v>34340</v>
      </c>
      <c r="M537" s="176"/>
      <c r="N537" s="176">
        <f ca="1">IFERROR(__xludf.DUMMYFUNCTION("IMPORTRANGE(""https://docs.google.com/spreadsheets/d/1IYY_tgx_IHuhSq3AJ5eI5OnqOPBNLWSHKh2a30DoXe8/edit?usp=sharing"",""ตรัง!M432"")"),21539.48)</f>
        <v>21539.48</v>
      </c>
      <c r="O537" s="176">
        <f t="shared" ca="1" si="118"/>
        <v>62.724170064065227</v>
      </c>
      <c r="P537" s="176"/>
    </row>
    <row r="538" spans="1:16" ht="21.75" customHeight="1" x14ac:dyDescent="0.35">
      <c r="A538" s="381"/>
      <c r="B538" s="382"/>
      <c r="C538" s="163"/>
      <c r="D538" s="383"/>
      <c r="E538" s="165"/>
      <c r="F538" s="165"/>
      <c r="G538" s="384" t="s">
        <v>131</v>
      </c>
      <c r="H538" s="167" t="s">
        <v>12</v>
      </c>
      <c r="I538" s="195"/>
      <c r="J538" s="195"/>
      <c r="K538" s="231"/>
      <c r="L538" s="176"/>
      <c r="M538" s="176"/>
      <c r="N538" s="385">
        <f ca="1">IFERROR(__xludf.DUMMYFUNCTION("IMPORTRANGE(""https://docs.google.com/spreadsheets/d/1IYY_tgx_IHuhSq3AJ5eI5OnqOPBNLWSHKh2a30DoXe8/edit?usp=sharing"",""ตรัง!M433"")"),21059.48)</f>
        <v>21059.48</v>
      </c>
      <c r="O538" s="176"/>
      <c r="P538" s="176"/>
    </row>
    <row r="539" spans="1:16" ht="21.75" customHeight="1" x14ac:dyDescent="0.35">
      <c r="A539" s="381"/>
      <c r="B539" s="382"/>
      <c r="C539" s="163"/>
      <c r="D539" s="383"/>
      <c r="E539" s="165"/>
      <c r="F539" s="165"/>
      <c r="G539" s="384" t="s">
        <v>132</v>
      </c>
      <c r="H539" s="167" t="s">
        <v>12</v>
      </c>
      <c r="I539" s="195"/>
      <c r="J539" s="195"/>
      <c r="K539" s="231"/>
      <c r="L539" s="176"/>
      <c r="M539" s="176"/>
      <c r="N539" s="385">
        <f ca="1">IFERROR(__xludf.DUMMYFUNCTION("IMPORTRANGE(""https://docs.google.com/spreadsheets/d/1IYY_tgx_IHuhSq3AJ5eI5OnqOPBNLWSHKh2a30DoXe8/edit?usp=sharing"",""ตรัง!M434"")"),0)</f>
        <v>0</v>
      </c>
      <c r="O539" s="176"/>
      <c r="P539" s="176"/>
    </row>
    <row r="540" spans="1:16" ht="21.75" customHeight="1" x14ac:dyDescent="0.35">
      <c r="A540" s="381"/>
      <c r="B540" s="382"/>
      <c r="C540" s="163"/>
      <c r="D540" s="383"/>
      <c r="E540" s="165"/>
      <c r="F540" s="165"/>
      <c r="G540" s="384" t="s">
        <v>133</v>
      </c>
      <c r="H540" s="167" t="s">
        <v>12</v>
      </c>
      <c r="I540" s="195"/>
      <c r="J540" s="195"/>
      <c r="K540" s="231"/>
      <c r="L540" s="176"/>
      <c r="M540" s="176"/>
      <c r="N540" s="385">
        <f ca="1">IFERROR(__xludf.DUMMYFUNCTION("IMPORTRANGE(""https://docs.google.com/spreadsheets/d/1IYY_tgx_IHuhSq3AJ5eI5OnqOPBNLWSHKh2a30DoXe8/edit?usp=sharing"",""ตรัง!M435"")"),0)</f>
        <v>0</v>
      </c>
      <c r="O540" s="176"/>
      <c r="P540" s="176"/>
    </row>
    <row r="541" spans="1:16" ht="21.75" customHeight="1" x14ac:dyDescent="0.35">
      <c r="A541" s="381"/>
      <c r="B541" s="382"/>
      <c r="C541" s="163"/>
      <c r="D541" s="383"/>
      <c r="E541" s="165"/>
      <c r="F541" s="165"/>
      <c r="G541" s="384" t="s">
        <v>134</v>
      </c>
      <c r="H541" s="167" t="s">
        <v>12</v>
      </c>
      <c r="I541" s="195"/>
      <c r="J541" s="195"/>
      <c r="K541" s="231"/>
      <c r="L541" s="176"/>
      <c r="M541" s="176"/>
      <c r="N541" s="385">
        <f ca="1">IFERROR(__xludf.DUMMYFUNCTION("IMPORTRANGE(""https://docs.google.com/spreadsheets/d/1IYY_tgx_IHuhSq3AJ5eI5OnqOPBNLWSHKh2a30DoXe8/edit?usp=sharing"",""ตรัง!M436"")"),480)</f>
        <v>480</v>
      </c>
      <c r="O541" s="176"/>
      <c r="P541" s="176"/>
    </row>
    <row r="542" spans="1:16" ht="21.75" customHeight="1" x14ac:dyDescent="0.35">
      <c r="A542" s="183"/>
      <c r="B542" s="184"/>
      <c r="C542" s="163" t="s">
        <v>16</v>
      </c>
      <c r="D542" s="185" t="s">
        <v>44</v>
      </c>
      <c r="E542" s="186"/>
      <c r="F542" s="186"/>
      <c r="G542" s="187"/>
      <c r="H542" s="188"/>
      <c r="I542" s="168"/>
      <c r="J542" s="168"/>
      <c r="K542" s="169"/>
      <c r="L542" s="189"/>
      <c r="M542" s="189"/>
      <c r="N542" s="189"/>
      <c r="O542" s="189"/>
      <c r="P542" s="189"/>
    </row>
    <row r="543" spans="1:16" ht="21.75" customHeight="1" x14ac:dyDescent="0.35">
      <c r="A543" s="183"/>
      <c r="B543" s="184"/>
      <c r="C543" s="184"/>
      <c r="D543" s="190">
        <v>1</v>
      </c>
      <c r="E543" s="191" t="s">
        <v>45</v>
      </c>
      <c r="F543" s="192"/>
      <c r="G543" s="193"/>
      <c r="H543" s="194"/>
      <c r="I543" s="195"/>
      <c r="J543" s="205">
        <f ca="1">IFERROR(__xludf.DUMMYFUNCTION("IMPORTRANGE(""https://docs.google.com/spreadsheets/d/1IYY_tgx_IHuhSq3AJ5eI5OnqOPBNLWSHKh2a30DoXe8/edit?usp=sharing"",""ตรัง!J438"")"),0)</f>
        <v>0</v>
      </c>
      <c r="K543" s="169"/>
      <c r="L543" s="189"/>
      <c r="M543" s="189"/>
      <c r="N543" s="189"/>
      <c r="O543" s="189"/>
      <c r="P543" s="189"/>
    </row>
    <row r="544" spans="1:16" ht="21.75" customHeight="1" x14ac:dyDescent="0.35">
      <c r="A544" s="183"/>
      <c r="B544" s="184"/>
      <c r="C544" s="184"/>
      <c r="D544" s="197">
        <v>2</v>
      </c>
      <c r="E544" s="198" t="s">
        <v>46</v>
      </c>
      <c r="F544" s="199"/>
      <c r="G544" s="200"/>
      <c r="H544" s="194"/>
      <c r="I544" s="195"/>
      <c r="J544" s="196">
        <f ca="1">IFERROR(__xludf.DUMMYFUNCTION("IMPORTRANGE(""https://docs.google.com/spreadsheets/d/1IYY_tgx_IHuhSq3AJ5eI5OnqOPBNLWSHKh2a30DoXe8/edit?usp=sharing"",""ตรัง!J439"")"),1)</f>
        <v>1</v>
      </c>
      <c r="K544" s="169"/>
      <c r="L544" s="189" t="s">
        <v>40</v>
      </c>
      <c r="M544" s="189"/>
      <c r="N544" s="189" t="s">
        <v>40</v>
      </c>
      <c r="O544" s="189"/>
      <c r="P544" s="189"/>
    </row>
    <row r="545" spans="1:16" ht="21.75" customHeight="1" x14ac:dyDescent="0.35">
      <c r="A545" s="183"/>
      <c r="B545" s="184"/>
      <c r="C545" s="184"/>
      <c r="D545" s="201"/>
      <c r="E545" s="202" t="s">
        <v>47</v>
      </c>
      <c r="F545" s="203"/>
      <c r="G545" s="204"/>
      <c r="H545" s="194"/>
      <c r="I545" s="195"/>
      <c r="J545" s="196">
        <f ca="1">IFERROR(__xludf.DUMMYFUNCTION("IMPORTRANGE(""https://docs.google.com/spreadsheets/d/1IYY_tgx_IHuhSq3AJ5eI5OnqOPBNLWSHKh2a30DoXe8/edit?usp=sharing"",""ตรัง!J440"")"),1)</f>
        <v>1</v>
      </c>
      <c r="K545" s="169"/>
      <c r="L545" s="189"/>
      <c r="M545" s="189"/>
      <c r="N545" s="189"/>
      <c r="O545" s="189"/>
      <c r="P545" s="189"/>
    </row>
    <row r="546" spans="1:16" ht="21.75" customHeight="1" x14ac:dyDescent="0.35">
      <c r="A546" s="183"/>
      <c r="B546" s="184"/>
      <c r="C546" s="184"/>
      <c r="D546" s="201"/>
      <c r="E546" s="202" t="s">
        <v>48</v>
      </c>
      <c r="F546" s="203"/>
      <c r="G546" s="204"/>
      <c r="H546" s="194"/>
      <c r="I546" s="195"/>
      <c r="J546" s="205">
        <f ca="1">IFERROR(__xludf.DUMMYFUNCTION("IMPORTRANGE(""https://docs.google.com/spreadsheets/d/1IYY_tgx_IHuhSq3AJ5eI5OnqOPBNLWSHKh2a30DoXe8/edit?usp=sharing"",""ตรัง!J441"")"),1)</f>
        <v>1</v>
      </c>
      <c r="K546" s="169"/>
      <c r="L546" s="189"/>
      <c r="M546" s="189"/>
      <c r="N546" s="189"/>
      <c r="O546" s="189"/>
      <c r="P546" s="189"/>
    </row>
    <row r="547" spans="1:16" ht="21.75" customHeight="1" x14ac:dyDescent="0.35">
      <c r="A547" s="183"/>
      <c r="B547" s="184"/>
      <c r="C547" s="184"/>
      <c r="D547" s="201"/>
      <c r="E547" s="206"/>
      <c r="F547" s="203"/>
      <c r="G547" s="233" t="s">
        <v>203</v>
      </c>
      <c r="H547" s="194" t="s">
        <v>37</v>
      </c>
      <c r="I547" s="211">
        <f ca="1">IFERROR(__xludf.DUMMYFUNCTION("IMPORTRANGE(""https://docs.google.com/spreadsheets/d/1IYY_tgx_IHuhSq3AJ5eI5OnqOPBNLWSHKh2a30DoXe8/edit?usp=sharing"",""ตรัง!I442"")"),22)</f>
        <v>22</v>
      </c>
      <c r="J547" s="196">
        <f ca="1">IFERROR(__xludf.DUMMYFUNCTION("IMPORTRANGE(""https://docs.google.com/spreadsheets/d/1IYY_tgx_IHuhSq3AJ5eI5OnqOPBNLWSHKh2a30DoXe8/edit?usp=sharing"",""ตรัง!J442"")"),22)</f>
        <v>22</v>
      </c>
      <c r="K547" s="169">
        <f t="shared" ref="K547:K548" ca="1" si="119">IF(I547&gt;0,J547*100/I547,0)</f>
        <v>100</v>
      </c>
      <c r="L547" s="189"/>
      <c r="M547" s="189"/>
      <c r="N547" s="189"/>
      <c r="O547" s="189"/>
      <c r="P547" s="189"/>
    </row>
    <row r="548" spans="1:16" ht="21.75" hidden="1" customHeight="1" x14ac:dyDescent="0.35">
      <c r="A548" s="183"/>
      <c r="B548" s="184"/>
      <c r="C548" s="184"/>
      <c r="D548" s="201"/>
      <c r="E548" s="206"/>
      <c r="F548" s="203"/>
      <c r="G548" s="233" t="s">
        <v>204</v>
      </c>
      <c r="H548" s="194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5">
        <f ca="1">IFERROR(__xludf.DUMMYFUNCTION("IMPORTRANGE(""https://docs.google.com/spreadsheets/d/1IYY_tgx_IHuhSq3AJ5eI5OnqOPBNLWSHKh2a30DoXe8/edit?usp=sharing"",""ตรัง!J166"")"),0)</f>
        <v>0</v>
      </c>
      <c r="K548" s="169">
        <f t="shared" ca="1" si="119"/>
        <v>0</v>
      </c>
      <c r="L548" s="189"/>
      <c r="M548" s="189"/>
      <c r="N548" s="189"/>
      <c r="O548" s="189"/>
      <c r="P548" s="189"/>
    </row>
    <row r="549" spans="1:16" ht="21.75" customHeight="1" x14ac:dyDescent="0.35">
      <c r="A549" s="183"/>
      <c r="B549" s="184"/>
      <c r="C549" s="184"/>
      <c r="D549" s="201"/>
      <c r="E549" s="202" t="s">
        <v>54</v>
      </c>
      <c r="F549" s="203"/>
      <c r="G549" s="204"/>
      <c r="H549" s="194"/>
      <c r="I549" s="195"/>
      <c r="J549" s="205">
        <f ca="1">IFERROR(__xludf.DUMMYFUNCTION("IMPORTRANGE(""https://docs.google.com/spreadsheets/d/1IYY_tgx_IHuhSq3AJ5eI5OnqOPBNLWSHKh2a30DoXe8/edit?usp=sharing"",""ตรัง!J444"")"),0)</f>
        <v>0</v>
      </c>
      <c r="K549" s="169"/>
      <c r="L549" s="189"/>
      <c r="M549" s="189"/>
      <c r="N549" s="189"/>
      <c r="O549" s="189"/>
      <c r="P549" s="189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IFERROR(__xludf.DUMMYFUNCTION("IMPORTRANGE(""https://docs.google.com/spreadsheets/d/1IYY_tgx_IHuhSq3AJ5eI5OnqOPBNLWSHKh2a30DoXe8/edit?usp=sharing"",""ตรัง!J445"")"),0)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IFERROR(__xludf.DUMMYFUNCTION("IMPORTRANGE(""https://docs.google.com/spreadsheets/d/1IYY_tgx_IHuhSq3AJ5eI5OnqOPBNLWSHKh2a30DoXe8/edit?usp=sharing"",""ตรัง!I446"")"),0)</f>
        <v>0</v>
      </c>
      <c r="J551" s="416">
        <f ca="1">IFERROR(__xludf.DUMMYFUNCTION("IMPORTRANGE(""https://docs.google.com/spreadsheets/d/1IYY_tgx_IHuhSq3AJ5eI5OnqOPBNLWSHKh2a30DoXe8/edit?usp=sharing"",""ตรัง!J446"")"),0)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IFERROR(__xludf.DUMMYFUNCTION("IMPORTRANGE(""https://docs.google.com/spreadsheets/d/1IYY_tgx_IHuhSq3AJ5eI5OnqOPBNLWSHKh2a30DoXe8/edit?usp=sharing"",""ตรัง!L446"")"),0)</f>
        <v>0</v>
      </c>
      <c r="M551" s="418"/>
      <c r="N551" s="418">
        <f ca="1">IFERROR(__xludf.DUMMYFUNCTION("IMPORTRANGE(""https://docs.google.com/spreadsheets/d/1IYY_tgx_IHuhSq3AJ5eI5OnqOPBNLWSHKh2a30DoXe8/edit?usp=sharing"",""ตรัง!M446"")"),0)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164" t="s">
        <v>38</v>
      </c>
      <c r="E552" s="165"/>
      <c r="F552" s="165"/>
      <c r="G552" s="166" t="s">
        <v>39</v>
      </c>
      <c r="H552" s="167" t="s">
        <v>12</v>
      </c>
      <c r="I552" s="168" t="s">
        <v>40</v>
      </c>
      <c r="J552" s="168"/>
      <c r="K552" s="169"/>
      <c r="L552" s="170">
        <f ca="1">IFERROR(__xludf.DUMMYFUNCTION("IMPORTRANGE(""https://docs.google.com/spreadsheets/d/1IYY_tgx_IHuhSq3AJ5eI5OnqOPBNLWSHKh2a30DoXe8/edit?usp=sharing"",""ตรัง!L447"")"),0)</f>
        <v>0</v>
      </c>
      <c r="M552" s="170"/>
      <c r="N552" s="176">
        <f ca="1">IFERROR(__xludf.DUMMYFUNCTION("IMPORTRANGE(""https://docs.google.com/spreadsheets/d/1IYY_tgx_IHuhSq3AJ5eI5OnqOPBNLWSHKh2a30DoXe8/edit?usp=sharing"",""ตรัง!M447"")"),0)</f>
        <v>0</v>
      </c>
      <c r="O552" s="176">
        <f t="shared" ca="1" si="120"/>
        <v>0</v>
      </c>
      <c r="P552" s="176"/>
    </row>
    <row r="553" spans="1:16" ht="21.75" customHeight="1" x14ac:dyDescent="0.35">
      <c r="A553" s="162"/>
      <c r="B553" s="163"/>
      <c r="C553" s="163"/>
      <c r="D553" s="172"/>
      <c r="E553" s="165"/>
      <c r="F553" s="165" t="s">
        <v>40</v>
      </c>
      <c r="G553" s="166" t="s">
        <v>41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IFERROR(__xludf.DUMMYFUNCTION("IMPORTRANGE(""https://docs.google.com/spreadsheets/d/1IYY_tgx_IHuhSq3AJ5eI5OnqOPBNLWSHKh2a30DoXe8/edit?usp=sharing"",""ตรัง!L448"")"),0)</f>
        <v>0</v>
      </c>
      <c r="M553" s="171"/>
      <c r="N553" s="176">
        <f ca="1">IFERROR(__xludf.DUMMYFUNCTION("IMPORTRANGE(""https://docs.google.com/spreadsheets/d/1IYY_tgx_IHuhSq3AJ5eI5OnqOPBNLWSHKh2a30DoXe8/edit?usp=sharing"",""ตรัง!M448"")"),0)</f>
        <v>0</v>
      </c>
      <c r="O553" s="176">
        <f t="shared" ca="1" si="120"/>
        <v>0</v>
      </c>
      <c r="P553" s="176"/>
    </row>
    <row r="554" spans="1:16" ht="21.75" customHeight="1" x14ac:dyDescent="0.35">
      <c r="A554" s="162"/>
      <c r="B554" s="163"/>
      <c r="C554" s="163"/>
      <c r="D554" s="172"/>
      <c r="E554" s="165"/>
      <c r="F554" s="165"/>
      <c r="G554" s="380" t="s">
        <v>129</v>
      </c>
      <c r="H554" s="167" t="s">
        <v>12</v>
      </c>
      <c r="I554" s="168"/>
      <c r="J554" s="168"/>
      <c r="K554" s="169"/>
      <c r="L554" s="176">
        <f ca="1">IFERROR(__xludf.DUMMYFUNCTION("IMPORTRANGE(""https://docs.google.com/spreadsheets/d/1IYY_tgx_IHuhSq3AJ5eI5OnqOPBNLWSHKh2a30DoXe8/edit?usp=sharing"",""ตรัง!L449"")"),0)</f>
        <v>0</v>
      </c>
      <c r="M554" s="176"/>
      <c r="N554" s="176">
        <f ca="1">IFERROR(__xludf.DUMMYFUNCTION("IMPORTRANGE(""https://docs.google.com/spreadsheets/d/1IYY_tgx_IHuhSq3AJ5eI5OnqOPBNLWSHKh2a30DoXe8/edit?usp=sharing"",""ตรัง!M449"")"),0)</f>
        <v>0</v>
      </c>
      <c r="O554" s="176">
        <f t="shared" ca="1" si="120"/>
        <v>0</v>
      </c>
      <c r="P554" s="176"/>
    </row>
    <row r="555" spans="1:16" ht="21.75" customHeight="1" x14ac:dyDescent="0.35">
      <c r="A555" s="162"/>
      <c r="B555" s="163"/>
      <c r="C555" s="163"/>
      <c r="D555" s="172"/>
      <c r="E555" s="165"/>
      <c r="F555" s="165"/>
      <c r="G555" s="380" t="s">
        <v>130</v>
      </c>
      <c r="H555" s="167" t="s">
        <v>12</v>
      </c>
      <c r="I555" s="168"/>
      <c r="J555" s="168"/>
      <c r="K555" s="169"/>
      <c r="L555" s="176">
        <f ca="1">IFERROR(__xludf.DUMMYFUNCTION("IMPORTRANGE(""https://docs.google.com/spreadsheets/d/1IYY_tgx_IHuhSq3AJ5eI5OnqOPBNLWSHKh2a30DoXe8/edit?usp=sharing"",""ตรัง!L450"")"),0)</f>
        <v>0</v>
      </c>
      <c r="M555" s="176"/>
      <c r="N555" s="176">
        <f ca="1">IFERROR(__xludf.DUMMYFUNCTION("IMPORTRANGE(""https://docs.google.com/spreadsheets/d/1IYY_tgx_IHuhSq3AJ5eI5OnqOPBNLWSHKh2a30DoXe8/edit?usp=sharing"",""ตรัง!M450"")"),0)</f>
        <v>0</v>
      </c>
      <c r="O555" s="176">
        <f t="shared" ca="1" si="120"/>
        <v>0</v>
      </c>
      <c r="P555" s="176"/>
    </row>
    <row r="556" spans="1:16" ht="21.75" customHeight="1" x14ac:dyDescent="0.35">
      <c r="A556" s="381"/>
      <c r="B556" s="382"/>
      <c r="C556" s="163"/>
      <c r="D556" s="383"/>
      <c r="E556" s="165"/>
      <c r="F556" s="165"/>
      <c r="G556" s="384" t="s">
        <v>131</v>
      </c>
      <c r="H556" s="167" t="s">
        <v>12</v>
      </c>
      <c r="I556" s="195"/>
      <c r="J556" s="195"/>
      <c r="K556" s="231"/>
      <c r="L556" s="176"/>
      <c r="M556" s="176"/>
      <c r="N556" s="173">
        <f ca="1">IFERROR(__xludf.DUMMYFUNCTION("IMPORTRANGE(""https://docs.google.com/spreadsheets/d/1IYY_tgx_IHuhSq3AJ5eI5OnqOPBNLWSHKh2a30DoXe8/edit?usp=sharing"",""ตรัง!M451"")"),0)</f>
        <v>0</v>
      </c>
      <c r="O556" s="176"/>
      <c r="P556" s="176"/>
    </row>
    <row r="557" spans="1:16" ht="21.75" customHeight="1" x14ac:dyDescent="0.35">
      <c r="A557" s="381"/>
      <c r="B557" s="382"/>
      <c r="C557" s="163"/>
      <c r="D557" s="383"/>
      <c r="E557" s="165"/>
      <c r="F557" s="165"/>
      <c r="G557" s="384" t="s">
        <v>132</v>
      </c>
      <c r="H557" s="167" t="s">
        <v>12</v>
      </c>
      <c r="I557" s="195"/>
      <c r="J557" s="195"/>
      <c r="K557" s="231"/>
      <c r="L557" s="176"/>
      <c r="M557" s="176"/>
      <c r="N557" s="173">
        <f ca="1">IFERROR(__xludf.DUMMYFUNCTION("IMPORTRANGE(""https://docs.google.com/spreadsheets/d/1IYY_tgx_IHuhSq3AJ5eI5OnqOPBNLWSHKh2a30DoXe8/edit?usp=sharing"",""ตรัง!M452"")"),0)</f>
        <v>0</v>
      </c>
      <c r="O557" s="176"/>
      <c r="P557" s="176"/>
    </row>
    <row r="558" spans="1:16" ht="21.75" customHeight="1" x14ac:dyDescent="0.35">
      <c r="A558" s="381"/>
      <c r="B558" s="382"/>
      <c r="C558" s="163"/>
      <c r="D558" s="383"/>
      <c r="E558" s="165"/>
      <c r="F558" s="165"/>
      <c r="G558" s="384" t="s">
        <v>133</v>
      </c>
      <c r="H558" s="167" t="s">
        <v>12</v>
      </c>
      <c r="I558" s="195"/>
      <c r="J558" s="195"/>
      <c r="K558" s="231"/>
      <c r="L558" s="176"/>
      <c r="M558" s="176"/>
      <c r="N558" s="173">
        <f ca="1">IFERROR(__xludf.DUMMYFUNCTION("IMPORTRANGE(""https://docs.google.com/spreadsheets/d/1IYY_tgx_IHuhSq3AJ5eI5OnqOPBNLWSHKh2a30DoXe8/edit?usp=sharing"",""ตรัง!M453"")"),0)</f>
        <v>0</v>
      </c>
      <c r="O558" s="176"/>
      <c r="P558" s="176"/>
    </row>
    <row r="559" spans="1:16" ht="21.75" customHeight="1" x14ac:dyDescent="0.35">
      <c r="A559" s="381"/>
      <c r="B559" s="382"/>
      <c r="C559" s="163"/>
      <c r="D559" s="383"/>
      <c r="E559" s="165"/>
      <c r="F559" s="165"/>
      <c r="G559" s="384" t="s">
        <v>134</v>
      </c>
      <c r="H559" s="167" t="s">
        <v>12</v>
      </c>
      <c r="I559" s="195"/>
      <c r="J559" s="195"/>
      <c r="K559" s="231"/>
      <c r="L559" s="176"/>
      <c r="M559" s="176"/>
      <c r="N559" s="173">
        <f ca="1">IFERROR(__xludf.DUMMYFUNCTION("IMPORTRANGE(""https://docs.google.com/spreadsheets/d/1IYY_tgx_IHuhSq3AJ5eI5OnqOPBNLWSHKh2a30DoXe8/edit?usp=sharing"",""ตรัง!M454"")"),0)</f>
        <v>0</v>
      </c>
      <c r="O559" s="176"/>
      <c r="P559" s="176"/>
    </row>
    <row r="560" spans="1:16" ht="21.75" customHeight="1" x14ac:dyDescent="0.35">
      <c r="A560" s="183"/>
      <c r="B560" s="184"/>
      <c r="C560" s="184"/>
      <c r="D560" s="201"/>
      <c r="E560" s="203"/>
      <c r="F560" s="285" t="s">
        <v>206</v>
      </c>
      <c r="G560" s="204"/>
      <c r="H560" s="481" t="s">
        <v>122</v>
      </c>
      <c r="I560" s="168">
        <f ca="1">IFERROR(__xludf.DUMMYFUNCTION("IMPORTRANGE(""https://docs.google.com/spreadsheets/d/1IYY_tgx_IHuhSq3AJ5eI5OnqOPBNLWSHKh2a30DoXe8/edit?usp=sharing"",""ตรัง!I455"")"),0)</f>
        <v>0</v>
      </c>
      <c r="J560" s="168">
        <f ca="1">IFERROR(__xludf.DUMMYFUNCTION("IMPORTRANGE(""https://docs.google.com/spreadsheets/d/1IYY_tgx_IHuhSq3AJ5eI5OnqOPBNLWSHKh2a30DoXe8/edit?usp=sharing"",""ตรัง!J455"")"),0)</f>
        <v>0</v>
      </c>
      <c r="K560" s="231">
        <f t="shared" ref="K560:K564" ca="1" si="121">IF(I560&gt;0,J560*100/I560,0)</f>
        <v>0</v>
      </c>
      <c r="L560" s="176"/>
      <c r="M560" s="176"/>
      <c r="N560" s="176"/>
      <c r="O560" s="189"/>
      <c r="P560" s="189"/>
    </row>
    <row r="561" spans="1:16" ht="21.75" customHeight="1" x14ac:dyDescent="0.35">
      <c r="A561" s="183"/>
      <c r="B561" s="184"/>
      <c r="C561" s="184"/>
      <c r="D561" s="201"/>
      <c r="E561" s="203"/>
      <c r="F561" s="203"/>
      <c r="G561" s="204"/>
      <c r="H561" s="481" t="s">
        <v>36</v>
      </c>
      <c r="I561" s="168">
        <f ca="1">IFERROR(__xludf.DUMMYFUNCTION("IMPORTRANGE(""https://docs.google.com/spreadsheets/d/1IYY_tgx_IHuhSq3AJ5eI5OnqOPBNLWSHKh2a30DoXe8/edit?usp=sharing"",""ตรัง!I456"")"),0)</f>
        <v>0</v>
      </c>
      <c r="J561" s="211">
        <f ca="1">IFERROR(__xludf.DUMMYFUNCTION("IMPORTRANGE(""https://docs.google.com/spreadsheets/d/1IYY_tgx_IHuhSq3AJ5eI5OnqOPBNLWSHKh2a30DoXe8/edit?usp=sharing"",""ตรัง!J456"")"),0)</f>
        <v>0</v>
      </c>
      <c r="K561" s="231">
        <f t="shared" ca="1" si="121"/>
        <v>0</v>
      </c>
      <c r="L561" s="176"/>
      <c r="M561" s="176"/>
      <c r="N561" s="176"/>
      <c r="O561" s="189"/>
      <c r="P561" s="189"/>
    </row>
    <row r="562" spans="1:16" ht="21.75" customHeight="1" x14ac:dyDescent="0.35">
      <c r="A562" s="183"/>
      <c r="B562" s="184"/>
      <c r="C562" s="184"/>
      <c r="D562" s="201"/>
      <c r="E562" s="203"/>
      <c r="F562" s="203" t="s">
        <v>207</v>
      </c>
      <c r="G562" s="204"/>
      <c r="H562" s="481" t="s">
        <v>122</v>
      </c>
      <c r="I562" s="168">
        <f ca="1">IFERROR(__xludf.DUMMYFUNCTION("IMPORTRANGE(""https://docs.google.com/spreadsheets/d/1IYY_tgx_IHuhSq3AJ5eI5OnqOPBNLWSHKh2a30DoXe8/edit?usp=sharing"",""ตรัง!I457"")"),0)</f>
        <v>0</v>
      </c>
      <c r="J562" s="211" t="str">
        <f ca="1">IFERROR(__xludf.DUMMYFUNCTION("IMPORTRANGE(""https://docs.google.com/spreadsheets/d/1IYY_tgx_IHuhSq3AJ5eI5OnqOPBNLWSHKh2a30DoXe8/edit?usp=sharing"",""ตรัง!J457"")"),"")</f>
        <v/>
      </c>
      <c r="K562" s="169">
        <f t="shared" ca="1" si="121"/>
        <v>0</v>
      </c>
      <c r="L562" s="189"/>
      <c r="M562" s="189"/>
      <c r="N562" s="189"/>
      <c r="O562" s="189"/>
      <c r="P562" s="189"/>
    </row>
    <row r="563" spans="1:16" ht="21.75" customHeight="1" x14ac:dyDescent="0.35">
      <c r="A563" s="183"/>
      <c r="B563" s="184"/>
      <c r="C563" s="184"/>
      <c r="D563" s="201"/>
      <c r="E563" s="203"/>
      <c r="F563" s="203"/>
      <c r="G563" s="204"/>
      <c r="H563" s="481" t="s">
        <v>36</v>
      </c>
      <c r="I563" s="168">
        <f ca="1">IFERROR(__xludf.DUMMYFUNCTION("IMPORTRANGE(""https://docs.google.com/spreadsheets/d/1IYY_tgx_IHuhSq3AJ5eI5OnqOPBNLWSHKh2a30DoXe8/edit?usp=sharing"",""ตรัง!I458"")"),0)</f>
        <v>0</v>
      </c>
      <c r="J563" s="195" t="str">
        <f ca="1">IFERROR(__xludf.DUMMYFUNCTION("IMPORTRANGE(""https://docs.google.com/spreadsheets/d/1IYY_tgx_IHuhSq3AJ5eI5OnqOPBNLWSHKh2a30DoXe8/edit?usp=sharing"",""ตรัง!J458"")"),"")</f>
        <v/>
      </c>
      <c r="K563" s="169">
        <f t="shared" ca="1" si="121"/>
        <v>0</v>
      </c>
      <c r="L563" s="189"/>
      <c r="M563" s="189"/>
      <c r="N563" s="189"/>
      <c r="O563" s="189"/>
      <c r="P563" s="189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IFERROR(__xludf.DUMMYFUNCTION("IMPORTRANGE(""https://docs.google.com/spreadsheets/d/1IYY_tgx_IHuhSq3AJ5eI5OnqOPBNLWSHKh2a30DoXe8/edit?usp=sharing"",""ตรัง!I459"")"),1000)</f>
        <v>1000</v>
      </c>
      <c r="J564" s="377">
        <f ca="1">IFERROR(__xludf.DUMMYFUNCTION("IMPORTRANGE(""https://docs.google.com/spreadsheets/d/1IYY_tgx_IHuhSq3AJ5eI5OnqOPBNLWSHKh2a30DoXe8/edit?usp=sharing"",""ตรัง!J459"")"),1880)</f>
        <v>1880</v>
      </c>
      <c r="K564" s="378">
        <f t="shared" ca="1" si="121"/>
        <v>188</v>
      </c>
      <c r="L564" s="379">
        <f ca="1">IFERROR(__xludf.DUMMYFUNCTION("IMPORTRANGE(""https://docs.google.com/spreadsheets/d/1IYY_tgx_IHuhSq3AJ5eI5OnqOPBNLWSHKh2a30DoXe8/edit?usp=sharing"",""ตรัง!L459"")"),122720)</f>
        <v>122720</v>
      </c>
      <c r="M564" s="379"/>
      <c r="N564" s="379">
        <f ca="1">IFERROR(__xludf.DUMMYFUNCTION("IMPORTRANGE(""https://docs.google.com/spreadsheets/d/1IYY_tgx_IHuhSq3AJ5eI5OnqOPBNLWSHKh2a30DoXe8/edit?usp=sharing"",""ตรัง!M459"")"),59788)</f>
        <v>59788</v>
      </c>
      <c r="O564" s="379">
        <f t="shared" ref="O564:O568" ca="1" si="122">+IF(L564&gt;0,N564*100/L564,0)</f>
        <v>48.719035202086047</v>
      </c>
      <c r="P564" s="379"/>
    </row>
    <row r="565" spans="1:16" ht="21.75" customHeight="1" x14ac:dyDescent="0.35">
      <c r="A565" s="162"/>
      <c r="B565" s="163"/>
      <c r="C565" s="163" t="s">
        <v>16</v>
      </c>
      <c r="D565" s="164" t="s">
        <v>38</v>
      </c>
      <c r="E565" s="165"/>
      <c r="F565" s="165"/>
      <c r="G565" s="166" t="s">
        <v>39</v>
      </c>
      <c r="H565" s="167" t="s">
        <v>12</v>
      </c>
      <c r="I565" s="168" t="s">
        <v>40</v>
      </c>
      <c r="J565" s="168"/>
      <c r="K565" s="169"/>
      <c r="L565" s="170">
        <f ca="1">IFERROR(__xludf.DUMMYFUNCTION("IMPORTRANGE(""https://docs.google.com/spreadsheets/d/1IYY_tgx_IHuhSq3AJ5eI5OnqOPBNLWSHKh2a30DoXe8/edit?usp=sharing"",""ตรัง!L460"")"),0)</f>
        <v>0</v>
      </c>
      <c r="M565" s="170"/>
      <c r="N565" s="176">
        <f ca="1">IFERROR(__xludf.DUMMYFUNCTION("IMPORTRANGE(""https://docs.google.com/spreadsheets/d/1IYY_tgx_IHuhSq3AJ5eI5OnqOPBNLWSHKh2a30DoXe8/edit?usp=sharing"",""ตรัง!M460"")"),0)</f>
        <v>0</v>
      </c>
      <c r="O565" s="176">
        <f t="shared" ca="1" si="122"/>
        <v>0</v>
      </c>
      <c r="P565" s="176"/>
    </row>
    <row r="566" spans="1:16" ht="21.75" customHeight="1" x14ac:dyDescent="0.35">
      <c r="A566" s="162"/>
      <c r="B566" s="163"/>
      <c r="C566" s="163"/>
      <c r="D566" s="172"/>
      <c r="E566" s="165"/>
      <c r="F566" s="165" t="s">
        <v>40</v>
      </c>
      <c r="G566" s="166" t="s">
        <v>41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IFERROR(__xludf.DUMMYFUNCTION("IMPORTRANGE(""https://docs.google.com/spreadsheets/d/1IYY_tgx_IHuhSq3AJ5eI5OnqOPBNLWSHKh2a30DoXe8/edit?usp=sharing"",""ตรัง!L461"")"),122720)</f>
        <v>122720</v>
      </c>
      <c r="M566" s="171"/>
      <c r="N566" s="176">
        <f ca="1">IFERROR(__xludf.DUMMYFUNCTION("IMPORTRANGE(""https://docs.google.com/spreadsheets/d/1IYY_tgx_IHuhSq3AJ5eI5OnqOPBNLWSHKh2a30DoXe8/edit?usp=sharing"",""ตรัง!M461"")"),59788)</f>
        <v>59788</v>
      </c>
      <c r="O566" s="176">
        <f t="shared" ca="1" si="122"/>
        <v>48.719035202086047</v>
      </c>
      <c r="P566" s="176"/>
    </row>
    <row r="567" spans="1:16" ht="21.75" customHeight="1" x14ac:dyDescent="0.35">
      <c r="A567" s="162"/>
      <c r="B567" s="163"/>
      <c r="C567" s="163"/>
      <c r="D567" s="172"/>
      <c r="E567" s="165"/>
      <c r="F567" s="165"/>
      <c r="G567" s="380" t="s">
        <v>129</v>
      </c>
      <c r="H567" s="167" t="s">
        <v>12</v>
      </c>
      <c r="I567" s="168"/>
      <c r="J567" s="168"/>
      <c r="K567" s="169"/>
      <c r="L567" s="176">
        <f ca="1">IFERROR(__xludf.DUMMYFUNCTION("IMPORTRANGE(""https://docs.google.com/spreadsheets/d/1IYY_tgx_IHuhSq3AJ5eI5OnqOPBNLWSHKh2a30DoXe8/edit?usp=sharing"",""ตรัง!L462"")"),0)</f>
        <v>0</v>
      </c>
      <c r="M567" s="176"/>
      <c r="N567" s="176">
        <f ca="1">IFERROR(__xludf.DUMMYFUNCTION("IMPORTRANGE(""https://docs.google.com/spreadsheets/d/1IYY_tgx_IHuhSq3AJ5eI5OnqOPBNLWSHKh2a30DoXe8/edit?usp=sharing"",""ตรัง!M462"")"),0)</f>
        <v>0</v>
      </c>
      <c r="O567" s="176">
        <f t="shared" ca="1" si="122"/>
        <v>0</v>
      </c>
      <c r="P567" s="176"/>
    </row>
    <row r="568" spans="1:16" ht="21.75" customHeight="1" x14ac:dyDescent="0.35">
      <c r="A568" s="162"/>
      <c r="B568" s="163"/>
      <c r="C568" s="163"/>
      <c r="D568" s="172"/>
      <c r="E568" s="165"/>
      <c r="F568" s="165"/>
      <c r="G568" s="380" t="s">
        <v>130</v>
      </c>
      <c r="H568" s="167" t="s">
        <v>12</v>
      </c>
      <c r="I568" s="168"/>
      <c r="J568" s="168"/>
      <c r="K568" s="169"/>
      <c r="L568" s="176">
        <f ca="1">IFERROR(__xludf.DUMMYFUNCTION("IMPORTRANGE(""https://docs.google.com/spreadsheets/d/1IYY_tgx_IHuhSq3AJ5eI5OnqOPBNLWSHKh2a30DoXe8/edit?usp=sharing"",""ตรัง!L463"")"),122720)</f>
        <v>122720</v>
      </c>
      <c r="M568" s="176"/>
      <c r="N568" s="176">
        <f ca="1">IFERROR(__xludf.DUMMYFUNCTION("IMPORTRANGE(""https://docs.google.com/spreadsheets/d/1IYY_tgx_IHuhSq3AJ5eI5OnqOPBNLWSHKh2a30DoXe8/edit?usp=sharing"",""ตรัง!M463"")"),59788)</f>
        <v>59788</v>
      </c>
      <c r="O568" s="176">
        <f t="shared" ca="1" si="122"/>
        <v>48.719035202086047</v>
      </c>
      <c r="P568" s="176"/>
    </row>
    <row r="569" spans="1:16" ht="21.75" customHeight="1" x14ac:dyDescent="0.35">
      <c r="A569" s="381"/>
      <c r="B569" s="382"/>
      <c r="C569" s="163"/>
      <c r="D569" s="383"/>
      <c r="E569" s="165"/>
      <c r="F569" s="165"/>
      <c r="G569" s="384" t="s">
        <v>131</v>
      </c>
      <c r="H569" s="167" t="s">
        <v>12</v>
      </c>
      <c r="I569" s="195"/>
      <c r="J569" s="195"/>
      <c r="K569" s="231"/>
      <c r="L569" s="176"/>
      <c r="M569" s="176"/>
      <c r="N569" s="173">
        <f ca="1">IFERROR(__xludf.DUMMYFUNCTION("IMPORTRANGE(""https://docs.google.com/spreadsheets/d/1IYY_tgx_IHuhSq3AJ5eI5OnqOPBNLWSHKh2a30DoXe8/edit?usp=sharing"",""ตรัง!M464"")"),0)</f>
        <v>0</v>
      </c>
      <c r="O569" s="176"/>
      <c r="P569" s="176"/>
    </row>
    <row r="570" spans="1:16" ht="21.75" customHeight="1" x14ac:dyDescent="0.35">
      <c r="A570" s="381"/>
      <c r="B570" s="382"/>
      <c r="C570" s="163"/>
      <c r="D570" s="383"/>
      <c r="E570" s="165"/>
      <c r="F570" s="165"/>
      <c r="G570" s="384" t="s">
        <v>132</v>
      </c>
      <c r="H570" s="167" t="s">
        <v>12</v>
      </c>
      <c r="I570" s="195"/>
      <c r="J570" s="195"/>
      <c r="K570" s="231"/>
      <c r="L570" s="176"/>
      <c r="M570" s="176"/>
      <c r="N570" s="173">
        <f ca="1">IFERROR(__xludf.DUMMYFUNCTION("IMPORTRANGE(""https://docs.google.com/spreadsheets/d/1IYY_tgx_IHuhSq3AJ5eI5OnqOPBNLWSHKh2a30DoXe8/edit?usp=sharing"",""ตรัง!M465"")"),0)</f>
        <v>0</v>
      </c>
      <c r="O570" s="176"/>
      <c r="P570" s="176"/>
    </row>
    <row r="571" spans="1:16" ht="21.75" customHeight="1" x14ac:dyDescent="0.35">
      <c r="A571" s="381"/>
      <c r="B571" s="382"/>
      <c r="C571" s="163"/>
      <c r="D571" s="383"/>
      <c r="E571" s="165"/>
      <c r="F571" s="165"/>
      <c r="G571" s="384" t="s">
        <v>133</v>
      </c>
      <c r="H571" s="167" t="s">
        <v>12</v>
      </c>
      <c r="I571" s="195"/>
      <c r="J571" s="195"/>
      <c r="K571" s="231"/>
      <c r="L571" s="176"/>
      <c r="M571" s="176"/>
      <c r="N571" s="385">
        <f ca="1">IFERROR(__xludf.DUMMYFUNCTION("IMPORTRANGE(""https://docs.google.com/spreadsheets/d/1IYY_tgx_IHuhSq3AJ5eI5OnqOPBNLWSHKh2a30DoXe8/edit?usp=sharing"",""ตรัง!M466"")"),52788)</f>
        <v>52788</v>
      </c>
      <c r="O571" s="176"/>
      <c r="P571" s="176"/>
    </row>
    <row r="572" spans="1:16" ht="21.75" customHeight="1" x14ac:dyDescent="0.35">
      <c r="A572" s="381"/>
      <c r="B572" s="382"/>
      <c r="C572" s="163"/>
      <c r="D572" s="383"/>
      <c r="E572" s="165"/>
      <c r="F572" s="165"/>
      <c r="G572" s="384" t="s">
        <v>134</v>
      </c>
      <c r="H572" s="167" t="s">
        <v>12</v>
      </c>
      <c r="I572" s="195"/>
      <c r="J572" s="195"/>
      <c r="K572" s="231"/>
      <c r="L572" s="176"/>
      <c r="M572" s="176"/>
      <c r="N572" s="385">
        <f ca="1">IFERROR(__xludf.DUMMYFUNCTION("IMPORTRANGE(""https://docs.google.com/spreadsheets/d/1IYY_tgx_IHuhSq3AJ5eI5OnqOPBNLWSHKh2a30DoXe8/edit?usp=sharing"",""ตรัง!M467"")"),7000)</f>
        <v>7000</v>
      </c>
      <c r="O572" s="176"/>
      <c r="P572" s="176"/>
    </row>
    <row r="573" spans="1:16" ht="21.75" customHeight="1" x14ac:dyDescent="0.35">
      <c r="A573" s="183"/>
      <c r="B573" s="184"/>
      <c r="C573" s="184"/>
      <c r="D573" s="203"/>
      <c r="E573" s="202" t="s">
        <v>40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IFERROR(__xludf.DUMMYFUNCTION("IMPORTRANGE(""https://docs.google.com/spreadsheets/d/1IYY_tgx_IHuhSq3AJ5eI5OnqOPBNLWSHKh2a30DoXe8/edit?usp=sharing"",""ตรัง!I468"")"),1000)</f>
        <v>1000</v>
      </c>
      <c r="J573" s="426">
        <f ca="1">IFERROR(__xludf.DUMMYFUNCTION("IMPORTRANGE(""https://docs.google.com/spreadsheets/d/1IYY_tgx_IHuhSq3AJ5eI5OnqOPBNLWSHKh2a30DoXe8/edit?usp=sharing"",""ตรัง!J468"")"),1880)</f>
        <v>1880</v>
      </c>
      <c r="K573" s="209">
        <f ca="1">IF(I573&gt;0,J573*100/I573,0)</f>
        <v>188</v>
      </c>
      <c r="L573" s="189"/>
      <c r="M573" s="189"/>
      <c r="N573" s="189"/>
      <c r="O573" s="189"/>
      <c r="P573" s="189"/>
    </row>
    <row r="574" spans="1:16" ht="21.75" customHeight="1" x14ac:dyDescent="0.35">
      <c r="A574" s="183"/>
      <c r="B574" s="184"/>
      <c r="C574" s="184"/>
      <c r="D574" s="203"/>
      <c r="E574" s="203"/>
      <c r="F574" s="202" t="s">
        <v>210</v>
      </c>
      <c r="G574" s="204"/>
      <c r="H574" s="481"/>
      <c r="I574" s="168"/>
      <c r="J574" s="168"/>
      <c r="K574" s="169"/>
      <c r="L574" s="189"/>
      <c r="M574" s="189"/>
      <c r="N574" s="189"/>
      <c r="O574" s="189"/>
      <c r="P574" s="189"/>
    </row>
    <row r="575" spans="1:16" ht="21.75" customHeight="1" x14ac:dyDescent="0.35">
      <c r="A575" s="183"/>
      <c r="B575" s="184"/>
      <c r="C575" s="184"/>
      <c r="D575" s="203"/>
      <c r="E575" s="202" t="s">
        <v>40</v>
      </c>
      <c r="F575" s="202" t="s">
        <v>211</v>
      </c>
      <c r="G575" s="204"/>
      <c r="H575" s="481" t="s">
        <v>77</v>
      </c>
      <c r="I575" s="210">
        <f ca="1">IFERROR(__xludf.DUMMYFUNCTION("IMPORTRANGE(""https://docs.google.com/spreadsheets/d/1IYY_tgx_IHuhSq3AJ5eI5OnqOPBNLWSHKh2a30DoXe8/edit?usp=sharing"",""ตรัง!I470"")"),0)</f>
        <v>0</v>
      </c>
      <c r="J575" s="205">
        <f ca="1">IFERROR(__xludf.DUMMYFUNCTION("IMPORTRANGE(""https://docs.google.com/spreadsheets/d/1IYY_tgx_IHuhSq3AJ5eI5OnqOPBNLWSHKh2a30DoXe8/edit?usp=sharing"",""ตรัง!J470"")"),3)</f>
        <v>3</v>
      </c>
      <c r="K575" s="169">
        <f t="shared" ref="K575:K579" ca="1" si="123">IF(I575&gt;0,J575*100/I575,0)</f>
        <v>0</v>
      </c>
      <c r="L575" s="189"/>
      <c r="M575" s="189"/>
      <c r="N575" s="189"/>
      <c r="O575" s="189"/>
      <c r="P575" s="189"/>
    </row>
    <row r="576" spans="1:16" ht="21.75" customHeight="1" x14ac:dyDescent="0.35">
      <c r="A576" s="183"/>
      <c r="B576" s="184"/>
      <c r="C576" s="184"/>
      <c r="D576" s="203"/>
      <c r="E576" s="203"/>
      <c r="F576" s="202" t="s">
        <v>212</v>
      </c>
      <c r="G576" s="204"/>
      <c r="H576" s="481" t="s">
        <v>37</v>
      </c>
      <c r="I576" s="210">
        <f ca="1">IFERROR(__xludf.DUMMYFUNCTION("IMPORTRANGE(""https://docs.google.com/spreadsheets/d/1IYY_tgx_IHuhSq3AJ5eI5OnqOPBNLWSHKh2a30DoXe8/edit?usp=sharing"",""ตรัง!I471"")"),0)</f>
        <v>0</v>
      </c>
      <c r="J576" s="205">
        <f ca="1">IFERROR(__xludf.DUMMYFUNCTION("IMPORTRANGE(""https://docs.google.com/spreadsheets/d/1IYY_tgx_IHuhSq3AJ5eI5OnqOPBNLWSHKh2a30DoXe8/edit?usp=sharing"",""ตรัง!J471"")"),143)</f>
        <v>143</v>
      </c>
      <c r="K576" s="169">
        <f t="shared" ca="1" si="123"/>
        <v>0</v>
      </c>
      <c r="L576" s="189"/>
      <c r="M576" s="189"/>
      <c r="N576" s="189"/>
      <c r="O576" s="189"/>
      <c r="P576" s="189"/>
    </row>
    <row r="577" spans="1:16" ht="21.75" customHeight="1" x14ac:dyDescent="0.35">
      <c r="A577" s="183"/>
      <c r="B577" s="184"/>
      <c r="C577" s="184"/>
      <c r="D577" s="203"/>
      <c r="E577" s="203"/>
      <c r="F577" s="202" t="s">
        <v>213</v>
      </c>
      <c r="G577" s="204"/>
      <c r="H577" s="481" t="s">
        <v>37</v>
      </c>
      <c r="I577" s="210">
        <f ca="1">IFERROR(__xludf.DUMMYFUNCTION("IMPORTRANGE(""https://docs.google.com/spreadsheets/d/1IYY_tgx_IHuhSq3AJ5eI5OnqOPBNLWSHKh2a30DoXe8/edit?usp=sharing"",""ตรัง!I472"")"),0)</f>
        <v>0</v>
      </c>
      <c r="J577" s="196">
        <f ca="1">IFERROR(__xludf.DUMMYFUNCTION("IMPORTRANGE(""https://docs.google.com/spreadsheets/d/1IYY_tgx_IHuhSq3AJ5eI5OnqOPBNLWSHKh2a30DoXe8/edit?usp=sharing"",""ตรัง!J472"")"),1737)</f>
        <v>1737</v>
      </c>
      <c r="K577" s="169">
        <f t="shared" ca="1" si="123"/>
        <v>0</v>
      </c>
      <c r="L577" s="189"/>
      <c r="M577" s="189"/>
      <c r="N577" s="189"/>
      <c r="O577" s="189"/>
      <c r="P577" s="189"/>
    </row>
    <row r="578" spans="1:16" ht="21.75" customHeight="1" x14ac:dyDescent="0.35">
      <c r="A578" s="183"/>
      <c r="B578" s="184"/>
      <c r="C578" s="184"/>
      <c r="D578" s="203"/>
      <c r="E578" s="203"/>
      <c r="F578" s="202" t="s">
        <v>214</v>
      </c>
      <c r="G578" s="427"/>
      <c r="H578" s="481" t="s">
        <v>37</v>
      </c>
      <c r="I578" s="210">
        <f ca="1">IFERROR(__xludf.DUMMYFUNCTION("IMPORTRANGE(""https://docs.google.com/spreadsheets/d/1IYY_tgx_IHuhSq3AJ5eI5OnqOPBNLWSHKh2a30DoXe8/edit?usp=sharing"",""ตรัง!I473"")"),0)</f>
        <v>0</v>
      </c>
      <c r="J578" s="205">
        <f ca="1">IFERROR(__xludf.DUMMYFUNCTION("IMPORTRANGE(""https://docs.google.com/spreadsheets/d/1IYY_tgx_IHuhSq3AJ5eI5OnqOPBNLWSHKh2a30DoXe8/edit?usp=sharing"",""ตรัง!J473"")"),0)</f>
        <v>0</v>
      </c>
      <c r="K578" s="169">
        <f t="shared" ca="1" si="123"/>
        <v>0</v>
      </c>
      <c r="L578" s="189"/>
      <c r="M578" s="189"/>
      <c r="N578" s="189"/>
      <c r="O578" s="189"/>
      <c r="P578" s="189"/>
    </row>
    <row r="579" spans="1:16" ht="21.75" customHeight="1" x14ac:dyDescent="0.35">
      <c r="A579" s="183"/>
      <c r="B579" s="184"/>
      <c r="C579" s="184"/>
      <c r="D579" s="203"/>
      <c r="E579" s="203"/>
      <c r="F579" s="202" t="s">
        <v>215</v>
      </c>
      <c r="G579" s="427"/>
      <c r="H579" s="481" t="s">
        <v>37</v>
      </c>
      <c r="I579" s="210">
        <f ca="1">IFERROR(__xludf.DUMMYFUNCTION("IMPORTRANGE(""https://docs.google.com/spreadsheets/d/1IYY_tgx_IHuhSq3AJ5eI5OnqOPBNLWSHKh2a30DoXe8/edit?usp=sharing"",""ตรัง!I474"")"),0)</f>
        <v>0</v>
      </c>
      <c r="J579" s="205">
        <f ca="1">IFERROR(__xludf.DUMMYFUNCTION("IMPORTRANGE(""https://docs.google.com/spreadsheets/d/1IYY_tgx_IHuhSq3AJ5eI5OnqOPBNLWSHKh2a30DoXe8/edit?usp=sharing"",""ตรัง!J474"")"),0)</f>
        <v>0</v>
      </c>
      <c r="K579" s="169">
        <f t="shared" ca="1" si="123"/>
        <v>0</v>
      </c>
      <c r="L579" s="189"/>
      <c r="M579" s="189"/>
      <c r="N579" s="189"/>
      <c r="O579" s="189"/>
      <c r="P579" s="189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IFERROR(__xludf.DUMMYFUNCTION("IMPORTRANGE(""https://docs.google.com/spreadsheets/d/1IYY_tgx_IHuhSq3AJ5eI5OnqOPBNLWSHKh2a30DoXe8/edit?usp=sharing"",""ตรัง!I475"")"),0)</f>
        <v>0</v>
      </c>
      <c r="J580" s="377">
        <f ca="1">IFERROR(__xludf.DUMMYFUNCTION("IMPORTRANGE(""https://docs.google.com/spreadsheets/d/1IYY_tgx_IHuhSq3AJ5eI5OnqOPBNLWSHKh2a30DoXe8/edit?usp=sharing"",""ตรัง!J475"")"),0)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IFERROR(__xludf.DUMMYFUNCTION("IMPORTRANGE(""https://docs.google.com/spreadsheets/d/1IYY_tgx_IHuhSq3AJ5eI5OnqOPBNLWSHKh2a30DoXe8/edit?usp=sharing"",""ตรัง!L475"")"),0)</f>
        <v>0</v>
      </c>
      <c r="M580" s="379"/>
      <c r="N580" s="379">
        <f ca="1">IFERROR(__xludf.DUMMYFUNCTION("IMPORTRANGE(""https://docs.google.com/spreadsheets/d/1IYY_tgx_IHuhSq3AJ5eI5OnqOPBNLWSHKh2a30DoXe8/edit?usp=sharing"",""ตรัง!M475"")"),0)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164" t="s">
        <v>38</v>
      </c>
      <c r="E581" s="165"/>
      <c r="F581" s="165"/>
      <c r="G581" s="166" t="s">
        <v>39</v>
      </c>
      <c r="H581" s="167" t="s">
        <v>12</v>
      </c>
      <c r="I581" s="168" t="s">
        <v>40</v>
      </c>
      <c r="J581" s="168"/>
      <c r="K581" s="169"/>
      <c r="L581" s="170">
        <f ca="1">IFERROR(__xludf.DUMMYFUNCTION("IMPORTRANGE(""https://docs.google.com/spreadsheets/d/1IYY_tgx_IHuhSq3AJ5eI5OnqOPBNLWSHKh2a30DoXe8/edit?usp=sharing"",""ตรัง!L476"")"),0)</f>
        <v>0</v>
      </c>
      <c r="M581" s="170"/>
      <c r="N581" s="176">
        <f ca="1">IFERROR(__xludf.DUMMYFUNCTION("IMPORTRANGE(""https://docs.google.com/spreadsheets/d/1IYY_tgx_IHuhSq3AJ5eI5OnqOPBNLWSHKh2a30DoXe8/edit?usp=sharing"",""ตรัง!M476"")"),0)</f>
        <v>0</v>
      </c>
      <c r="O581" s="176">
        <f t="shared" ca="1" si="124"/>
        <v>0</v>
      </c>
      <c r="P581" s="176"/>
    </row>
    <row r="582" spans="1:16" ht="21.75" customHeight="1" x14ac:dyDescent="0.35">
      <c r="A582" s="162"/>
      <c r="B582" s="163"/>
      <c r="C582" s="163"/>
      <c r="D582" s="172"/>
      <c r="E582" s="165"/>
      <c r="F582" s="165" t="s">
        <v>40</v>
      </c>
      <c r="G582" s="166" t="s">
        <v>41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IFERROR(__xludf.DUMMYFUNCTION("IMPORTRANGE(""https://docs.google.com/spreadsheets/d/1IYY_tgx_IHuhSq3AJ5eI5OnqOPBNLWSHKh2a30DoXe8/edit?usp=sharing"",""ตรัง!L477"")"),0)</f>
        <v>0</v>
      </c>
      <c r="M582" s="171"/>
      <c r="N582" s="176">
        <f ca="1">IFERROR(__xludf.DUMMYFUNCTION("IMPORTRANGE(""https://docs.google.com/spreadsheets/d/1IYY_tgx_IHuhSq3AJ5eI5OnqOPBNLWSHKh2a30DoXe8/edit?usp=sharing"",""ตรัง!M477"")"),0)</f>
        <v>0</v>
      </c>
      <c r="O582" s="176">
        <f t="shared" ca="1" si="124"/>
        <v>0</v>
      </c>
      <c r="P582" s="176"/>
    </row>
    <row r="583" spans="1:16" ht="21.75" customHeight="1" x14ac:dyDescent="0.35">
      <c r="A583" s="162"/>
      <c r="B583" s="163"/>
      <c r="C583" s="163"/>
      <c r="D583" s="172"/>
      <c r="E583" s="165"/>
      <c r="F583" s="165"/>
      <c r="G583" s="380" t="s">
        <v>129</v>
      </c>
      <c r="H583" s="167" t="s">
        <v>12</v>
      </c>
      <c r="I583" s="168"/>
      <c r="J583" s="168"/>
      <c r="K583" s="169"/>
      <c r="L583" s="176">
        <f ca="1">IFERROR(__xludf.DUMMYFUNCTION("IMPORTRANGE(""https://docs.google.com/spreadsheets/d/1IYY_tgx_IHuhSq3AJ5eI5OnqOPBNLWSHKh2a30DoXe8/edit?usp=sharing"",""ตรัง!L478"")"),0)</f>
        <v>0</v>
      </c>
      <c r="M583" s="176"/>
      <c r="N583" s="176">
        <f ca="1">IFERROR(__xludf.DUMMYFUNCTION("IMPORTRANGE(""https://docs.google.com/spreadsheets/d/1IYY_tgx_IHuhSq3AJ5eI5OnqOPBNLWSHKh2a30DoXe8/edit?usp=sharing"",""ตรัง!M478"")"),0)</f>
        <v>0</v>
      </c>
      <c r="O583" s="176">
        <f t="shared" ca="1" si="124"/>
        <v>0</v>
      </c>
      <c r="P583" s="176"/>
    </row>
    <row r="584" spans="1:16" ht="21.75" customHeight="1" x14ac:dyDescent="0.35">
      <c r="A584" s="162"/>
      <c r="B584" s="163"/>
      <c r="C584" s="163"/>
      <c r="D584" s="172"/>
      <c r="E584" s="165"/>
      <c r="F584" s="165"/>
      <c r="G584" s="380" t="s">
        <v>130</v>
      </c>
      <c r="H584" s="167" t="s">
        <v>12</v>
      </c>
      <c r="I584" s="168"/>
      <c r="J584" s="168"/>
      <c r="K584" s="169"/>
      <c r="L584" s="176">
        <f ca="1">IFERROR(__xludf.DUMMYFUNCTION("IMPORTRANGE(""https://docs.google.com/spreadsheets/d/1IYY_tgx_IHuhSq3AJ5eI5OnqOPBNLWSHKh2a30DoXe8/edit?usp=sharing"",""ตรัง!L479"")"),0)</f>
        <v>0</v>
      </c>
      <c r="M584" s="176"/>
      <c r="N584" s="176">
        <f ca="1">IFERROR(__xludf.DUMMYFUNCTION("IMPORTRANGE(""https://docs.google.com/spreadsheets/d/1IYY_tgx_IHuhSq3AJ5eI5OnqOPBNLWSHKh2a30DoXe8/edit?usp=sharing"",""ตรัง!M479"")"),0)</f>
        <v>0</v>
      </c>
      <c r="O584" s="176">
        <f t="shared" ca="1" si="124"/>
        <v>0</v>
      </c>
      <c r="P584" s="176"/>
    </row>
    <row r="585" spans="1:16" ht="21.75" customHeight="1" x14ac:dyDescent="0.35">
      <c r="A585" s="381"/>
      <c r="B585" s="382"/>
      <c r="C585" s="163"/>
      <c r="D585" s="383"/>
      <c r="E585" s="165"/>
      <c r="F585" s="165"/>
      <c r="G585" s="384" t="s">
        <v>131</v>
      </c>
      <c r="H585" s="167" t="s">
        <v>12</v>
      </c>
      <c r="I585" s="195"/>
      <c r="J585" s="195"/>
      <c r="K585" s="231"/>
      <c r="L585" s="176"/>
      <c r="M585" s="176"/>
      <c r="N585" s="173">
        <f ca="1">IFERROR(__xludf.DUMMYFUNCTION("IMPORTRANGE(""https://docs.google.com/spreadsheets/d/1IYY_tgx_IHuhSq3AJ5eI5OnqOPBNLWSHKh2a30DoXe8/edit?usp=sharing"",""ตรัง!M480"")"),0)</f>
        <v>0</v>
      </c>
      <c r="O585" s="176"/>
      <c r="P585" s="176"/>
    </row>
    <row r="586" spans="1:16" ht="21.75" customHeight="1" x14ac:dyDescent="0.35">
      <c r="A586" s="381"/>
      <c r="B586" s="382"/>
      <c r="C586" s="163"/>
      <c r="D586" s="383"/>
      <c r="E586" s="165"/>
      <c r="F586" s="165"/>
      <c r="G586" s="384" t="s">
        <v>132</v>
      </c>
      <c r="H586" s="167" t="s">
        <v>12</v>
      </c>
      <c r="I586" s="195"/>
      <c r="J586" s="195"/>
      <c r="K586" s="231"/>
      <c r="L586" s="176"/>
      <c r="M586" s="176"/>
      <c r="N586" s="173">
        <f ca="1">IFERROR(__xludf.DUMMYFUNCTION("IMPORTRANGE(""https://docs.google.com/spreadsheets/d/1IYY_tgx_IHuhSq3AJ5eI5OnqOPBNLWSHKh2a30DoXe8/edit?usp=sharing"",""ตรัง!M481"")"),0)</f>
        <v>0</v>
      </c>
      <c r="O586" s="176"/>
      <c r="P586" s="176"/>
    </row>
    <row r="587" spans="1:16" ht="21.75" customHeight="1" x14ac:dyDescent="0.35">
      <c r="A587" s="381"/>
      <c r="B587" s="382"/>
      <c r="C587" s="163"/>
      <c r="D587" s="383"/>
      <c r="E587" s="165"/>
      <c r="F587" s="165"/>
      <c r="G587" s="384" t="s">
        <v>133</v>
      </c>
      <c r="H587" s="167" t="s">
        <v>12</v>
      </c>
      <c r="I587" s="195"/>
      <c r="J587" s="195"/>
      <c r="K587" s="231"/>
      <c r="L587" s="176"/>
      <c r="M587" s="176"/>
      <c r="N587" s="173">
        <f ca="1">IFERROR(__xludf.DUMMYFUNCTION("IMPORTRANGE(""https://docs.google.com/spreadsheets/d/1IYY_tgx_IHuhSq3AJ5eI5OnqOPBNLWSHKh2a30DoXe8/edit?usp=sharing"",""ตรัง!M482"")"),0)</f>
        <v>0</v>
      </c>
      <c r="O587" s="176"/>
      <c r="P587" s="176"/>
    </row>
    <row r="588" spans="1:16" ht="21.75" customHeight="1" x14ac:dyDescent="0.35">
      <c r="A588" s="381"/>
      <c r="B588" s="382"/>
      <c r="C588" s="163"/>
      <c r="D588" s="383"/>
      <c r="E588" s="165"/>
      <c r="F588" s="165"/>
      <c r="G588" s="384" t="s">
        <v>134</v>
      </c>
      <c r="H588" s="167" t="s">
        <v>12</v>
      </c>
      <c r="I588" s="195"/>
      <c r="J588" s="195"/>
      <c r="K588" s="231"/>
      <c r="L588" s="176"/>
      <c r="M588" s="176"/>
      <c r="N588" s="173">
        <f ca="1">IFERROR(__xludf.DUMMYFUNCTION("IMPORTRANGE(""https://docs.google.com/spreadsheets/d/1IYY_tgx_IHuhSq3AJ5eI5OnqOPBNLWSHKh2a30DoXe8/edit?usp=sharing"",""ตรัง!M483"")"),0)</f>
        <v>0</v>
      </c>
      <c r="O588" s="176"/>
      <c r="P588" s="176"/>
    </row>
    <row r="589" spans="1:16" ht="21.75" customHeight="1" x14ac:dyDescent="0.35">
      <c r="A589" s="484"/>
      <c r="B589" s="172"/>
      <c r="C589" s="163"/>
      <c r="D589" s="297"/>
      <c r="E589" s="202" t="s">
        <v>217</v>
      </c>
      <c r="F589" s="203"/>
      <c r="G589" s="204"/>
      <c r="H589" s="188" t="s">
        <v>36</v>
      </c>
      <c r="I589" s="347">
        <f ca="1">IFERROR(__xludf.DUMMYFUNCTION("IMPORTRANGE(""https://docs.google.com/spreadsheets/d/1IYY_tgx_IHuhSq3AJ5eI5OnqOPBNLWSHKh2a30DoXe8/edit?usp=sharing"",""ตรัง!I484"")"),0)</f>
        <v>0</v>
      </c>
      <c r="J589" s="195">
        <f ca="1">IFERROR(__xludf.DUMMYFUNCTION("IMPORTRANGE(""https://docs.google.com/spreadsheets/d/1IYY_tgx_IHuhSq3AJ5eI5OnqOPBNLWSHKh2a30DoXe8/edit?usp=sharing"",""ตรัง!J484"")"),0)</f>
        <v>0</v>
      </c>
      <c r="K589" s="169">
        <f t="shared" ref="K589:K596" ca="1" si="125">IF(I589&gt;0,J589*100/I589,0)</f>
        <v>0</v>
      </c>
      <c r="L589" s="189"/>
      <c r="M589" s="189"/>
      <c r="N589" s="176"/>
      <c r="O589" s="189"/>
      <c r="P589" s="189"/>
    </row>
    <row r="590" spans="1:16" ht="21.75" customHeight="1" x14ac:dyDescent="0.35">
      <c r="A590" s="484"/>
      <c r="B590" s="172"/>
      <c r="C590" s="163"/>
      <c r="D590" s="297"/>
      <c r="E590" s="203"/>
      <c r="F590" s="203"/>
      <c r="G590" s="204"/>
      <c r="H590" s="188" t="s">
        <v>122</v>
      </c>
      <c r="I590" s="351">
        <f ca="1">IFERROR(__xludf.DUMMYFUNCTION("IMPORTRANGE(""https://docs.google.com/spreadsheets/d/1IYY_tgx_IHuhSq3AJ5eI5OnqOPBNLWSHKh2a30DoXe8/edit?usp=sharing"",""ตรัง!I485"")"),0)</f>
        <v>0</v>
      </c>
      <c r="J590" s="195">
        <f ca="1">IFERROR(__xludf.DUMMYFUNCTION("IMPORTRANGE(""https://docs.google.com/spreadsheets/d/1IYY_tgx_IHuhSq3AJ5eI5OnqOPBNLWSHKh2a30DoXe8/edit?usp=sharing"",""ตรัง!J485"")"),0)</f>
        <v>0</v>
      </c>
      <c r="K590" s="485">
        <f t="shared" ca="1" si="125"/>
        <v>0</v>
      </c>
      <c r="L590" s="189"/>
      <c r="M590" s="189"/>
      <c r="N590" s="176"/>
      <c r="O590" s="189"/>
      <c r="P590" s="189"/>
    </row>
    <row r="591" spans="1:16" ht="21.75" customHeight="1" x14ac:dyDescent="0.35">
      <c r="A591" s="484"/>
      <c r="B591" s="172"/>
      <c r="C591" s="163"/>
      <c r="D591" s="297"/>
      <c r="E591" s="202" t="s">
        <v>123</v>
      </c>
      <c r="F591" s="203"/>
      <c r="G591" s="204"/>
      <c r="H591" s="188" t="s">
        <v>37</v>
      </c>
      <c r="I591" s="347">
        <f ca="1">IFERROR(__xludf.DUMMYFUNCTION("IMPORTRANGE(""https://docs.google.com/spreadsheets/d/1IYY_tgx_IHuhSq3AJ5eI5OnqOPBNLWSHKh2a30DoXe8/edit?usp=sharing"",""ตรัง!I486"")"),0)</f>
        <v>0</v>
      </c>
      <c r="J591" s="195">
        <f ca="1">IFERROR(__xludf.DUMMYFUNCTION("IMPORTRANGE(""https://docs.google.com/spreadsheets/d/1IYY_tgx_IHuhSq3AJ5eI5OnqOPBNLWSHKh2a30DoXe8/edit?usp=sharing"",""ตรัง!J486"")"),0)</f>
        <v>0</v>
      </c>
      <c r="K591" s="169">
        <f t="shared" ca="1" si="125"/>
        <v>0</v>
      </c>
      <c r="L591" s="189"/>
      <c r="M591" s="189"/>
      <c r="N591" s="189"/>
      <c r="O591" s="189"/>
      <c r="P591" s="189"/>
    </row>
    <row r="592" spans="1:16" ht="21.75" customHeight="1" x14ac:dyDescent="0.35">
      <c r="A592" s="484"/>
      <c r="B592" s="172"/>
      <c r="C592" s="163"/>
      <c r="D592" s="297"/>
      <c r="E592" s="203"/>
      <c r="F592" s="203"/>
      <c r="G592" s="204"/>
      <c r="H592" s="188" t="s">
        <v>122</v>
      </c>
      <c r="I592" s="351">
        <f ca="1">IFERROR(__xludf.DUMMYFUNCTION("IMPORTRANGE(""https://docs.google.com/spreadsheets/d/1IYY_tgx_IHuhSq3AJ5eI5OnqOPBNLWSHKh2a30DoXe8/edit?usp=sharing"",""ตรัง!I487"")"),0)</f>
        <v>0</v>
      </c>
      <c r="J592" s="195">
        <f ca="1">IFERROR(__xludf.DUMMYFUNCTION("IMPORTRANGE(""https://docs.google.com/spreadsheets/d/1IYY_tgx_IHuhSq3AJ5eI5OnqOPBNLWSHKh2a30DoXe8/edit?usp=sharing"",""ตรัง!J487"")"),0)</f>
        <v>0</v>
      </c>
      <c r="K592" s="348">
        <f t="shared" ca="1" si="125"/>
        <v>0</v>
      </c>
      <c r="L592" s="189"/>
      <c r="M592" s="189"/>
      <c r="N592" s="189"/>
      <c r="O592" s="189"/>
      <c r="P592" s="189"/>
    </row>
    <row r="593" spans="1:16" ht="21.75" customHeight="1" x14ac:dyDescent="0.35">
      <c r="A593" s="484"/>
      <c r="B593" s="172"/>
      <c r="C593" s="163"/>
      <c r="D593" s="297"/>
      <c r="E593" s="202" t="s">
        <v>124</v>
      </c>
      <c r="F593" s="203"/>
      <c r="G593" s="204"/>
      <c r="H593" s="188" t="s">
        <v>37</v>
      </c>
      <c r="I593" s="347">
        <f ca="1">IFERROR(__xludf.DUMMYFUNCTION("IMPORTRANGE(""https://docs.google.com/spreadsheets/d/1IYY_tgx_IHuhSq3AJ5eI5OnqOPBNLWSHKh2a30DoXe8/edit?usp=sharing"",""ตรัง!I488"")"),0)</f>
        <v>0</v>
      </c>
      <c r="J593" s="195">
        <f ca="1">IFERROR(__xludf.DUMMYFUNCTION("IMPORTRANGE(""https://docs.google.com/spreadsheets/d/1IYY_tgx_IHuhSq3AJ5eI5OnqOPBNLWSHKh2a30DoXe8/edit?usp=sharing"",""ตรัง!J488"")"),0)</f>
        <v>0</v>
      </c>
      <c r="K593" s="169">
        <f t="shared" ca="1" si="125"/>
        <v>0</v>
      </c>
      <c r="L593" s="189"/>
      <c r="M593" s="189"/>
      <c r="N593" s="189"/>
      <c r="O593" s="189"/>
      <c r="P593" s="189"/>
    </row>
    <row r="594" spans="1:16" ht="21.75" customHeight="1" x14ac:dyDescent="0.35">
      <c r="A594" s="484"/>
      <c r="B594" s="172"/>
      <c r="C594" s="163"/>
      <c r="D594" s="297"/>
      <c r="E594" s="203"/>
      <c r="F594" s="203"/>
      <c r="G594" s="204"/>
      <c r="H594" s="188" t="s">
        <v>122</v>
      </c>
      <c r="I594" s="351">
        <f ca="1">IFERROR(__xludf.DUMMYFUNCTION("IMPORTRANGE(""https://docs.google.com/spreadsheets/d/1IYY_tgx_IHuhSq3AJ5eI5OnqOPBNLWSHKh2a30DoXe8/edit?usp=sharing"",""ตรัง!I489"")"),0)</f>
        <v>0</v>
      </c>
      <c r="J594" s="195">
        <f ca="1">IFERROR(__xludf.DUMMYFUNCTION("IMPORTRANGE(""https://docs.google.com/spreadsheets/d/1IYY_tgx_IHuhSq3AJ5eI5OnqOPBNLWSHKh2a30DoXe8/edit?usp=sharing"",""ตรัง!J489"")"),0)</f>
        <v>0</v>
      </c>
      <c r="K594" s="348">
        <f t="shared" ca="1" si="125"/>
        <v>0</v>
      </c>
      <c r="L594" s="189"/>
      <c r="M594" s="189"/>
      <c r="N594" s="189"/>
      <c r="O594" s="189"/>
      <c r="P594" s="189"/>
    </row>
    <row r="595" spans="1:16" ht="21.75" customHeight="1" x14ac:dyDescent="0.35">
      <c r="A595" s="484"/>
      <c r="B595" s="172"/>
      <c r="C595" s="163"/>
      <c r="D595" s="297"/>
      <c r="E595" s="202" t="s">
        <v>125</v>
      </c>
      <c r="F595" s="203"/>
      <c r="G595" s="204"/>
      <c r="H595" s="188" t="s">
        <v>37</v>
      </c>
      <c r="I595" s="347">
        <f ca="1">IFERROR(__xludf.DUMMYFUNCTION("IMPORTRANGE(""https://docs.google.com/spreadsheets/d/1IYY_tgx_IHuhSq3AJ5eI5OnqOPBNLWSHKh2a30DoXe8/edit?usp=sharing"",""ตรัง!I490"")"),0)</f>
        <v>0</v>
      </c>
      <c r="J595" s="195">
        <f ca="1">IFERROR(__xludf.DUMMYFUNCTION("IMPORTRANGE(""https://docs.google.com/spreadsheets/d/1IYY_tgx_IHuhSq3AJ5eI5OnqOPBNLWSHKh2a30DoXe8/edit?usp=sharing"",""ตรัง!J490"")"),0)</f>
        <v>0</v>
      </c>
      <c r="K595" s="169">
        <f t="shared" ca="1" si="125"/>
        <v>0</v>
      </c>
      <c r="L595" s="189"/>
      <c r="M595" s="189"/>
      <c r="N595" s="189"/>
      <c r="O595" s="189"/>
      <c r="P595" s="189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IFERROR(__xludf.DUMMYFUNCTION("IMPORTRANGE(""https://docs.google.com/spreadsheets/d/1IYY_tgx_IHuhSq3AJ5eI5OnqOPBNLWSHKh2a30DoXe8/edit?usp=sharing"",""ตรัง!I491"")"),0)</f>
        <v>0</v>
      </c>
      <c r="J596" s="248">
        <f ca="1">IFERROR(__xludf.DUMMYFUNCTION("IMPORTRANGE(""https://docs.google.com/spreadsheets/d/1IYY_tgx_IHuhSq3AJ5eI5OnqOPBNLWSHKh2a30DoXe8/edit?usp=sharing"",""ตรัง!J491"")"),0)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IFERROR(__xludf.DUMMYFUNCTION("IMPORTRANGE(""https://docs.google.com/spreadsheets/d/1IYY_tgx_IHuhSq3AJ5eI5OnqOPBNLWSHKh2a30DoXe8/edit?usp=sharing"",""ตรัง!I492"")"),50)</f>
        <v>50</v>
      </c>
      <c r="J597" s="493">
        <f ca="1">IFERROR(__xludf.DUMMYFUNCTION("IMPORTRANGE(""https://docs.google.com/spreadsheets/d/1IYY_tgx_IHuhSq3AJ5eI5OnqOPBNLWSHKh2a30DoXe8/edit?usp=sharing"",""ตรัง!J492"")"),0)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IFERROR(__xludf.DUMMYFUNCTION("IMPORTRANGE(""https://docs.google.com/spreadsheets/d/1IYY_tgx_IHuhSq3AJ5eI5OnqOPBNLWSHKh2a30DoXe8/edit?usp=sharing"",""ตรัง!L492"")"),11750)</f>
        <v>11750</v>
      </c>
      <c r="M597" s="418"/>
      <c r="N597" s="418">
        <f ca="1">IFERROR(__xludf.DUMMYFUNCTION("IMPORTRANGE(""https://docs.google.com/spreadsheets/d/1IYY_tgx_IHuhSq3AJ5eI5OnqOPBNLWSHKh2a30DoXe8/edit?usp=sharing"",""ตรัง!M492"")"),6196.84)</f>
        <v>6196.84</v>
      </c>
      <c r="O597" s="418">
        <f t="shared" ref="O597:O601" ca="1" si="126">+IF(L597&gt;0,N597*100/L597,0)</f>
        <v>52.739063829787234</v>
      </c>
      <c r="P597" s="418"/>
    </row>
    <row r="598" spans="1:16" ht="21.75" customHeight="1" x14ac:dyDescent="0.35">
      <c r="A598" s="162"/>
      <c r="B598" s="163"/>
      <c r="C598" s="163" t="s">
        <v>16</v>
      </c>
      <c r="D598" s="164" t="s">
        <v>38</v>
      </c>
      <c r="E598" s="165"/>
      <c r="F598" s="165"/>
      <c r="G598" s="166" t="s">
        <v>39</v>
      </c>
      <c r="H598" s="167" t="s">
        <v>12</v>
      </c>
      <c r="I598" s="168" t="s">
        <v>40</v>
      </c>
      <c r="J598" s="168"/>
      <c r="K598" s="169"/>
      <c r="L598" s="170">
        <f ca="1">IFERROR(__xludf.DUMMYFUNCTION("IMPORTRANGE(""https://docs.google.com/spreadsheets/d/1IYY_tgx_IHuhSq3AJ5eI5OnqOPBNLWSHKh2a30DoXe8/edit?usp=sharing"",""ตรัง!L493"")"),0)</f>
        <v>0</v>
      </c>
      <c r="M598" s="170"/>
      <c r="N598" s="176">
        <f ca="1">IFERROR(__xludf.DUMMYFUNCTION("IMPORTRANGE(""https://docs.google.com/spreadsheets/d/1IYY_tgx_IHuhSq3AJ5eI5OnqOPBNLWSHKh2a30DoXe8/edit?usp=sharing"",""ตรัง!M493"")"),0)</f>
        <v>0</v>
      </c>
      <c r="O598" s="176">
        <f t="shared" ca="1" si="126"/>
        <v>0</v>
      </c>
      <c r="P598" s="176"/>
    </row>
    <row r="599" spans="1:16" ht="21.75" customHeight="1" x14ac:dyDescent="0.35">
      <c r="A599" s="162"/>
      <c r="B599" s="163"/>
      <c r="C599" s="163"/>
      <c r="D599" s="172"/>
      <c r="E599" s="165"/>
      <c r="F599" s="165" t="s">
        <v>40</v>
      </c>
      <c r="G599" s="166" t="s">
        <v>41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IFERROR(__xludf.DUMMYFUNCTION("IMPORTRANGE(""https://docs.google.com/spreadsheets/d/1IYY_tgx_IHuhSq3AJ5eI5OnqOPBNLWSHKh2a30DoXe8/edit?usp=sharing"",""ตรัง!L494"")"),11750)</f>
        <v>11750</v>
      </c>
      <c r="M599" s="171"/>
      <c r="N599" s="176">
        <f ca="1">IFERROR(__xludf.DUMMYFUNCTION("IMPORTRANGE(""https://docs.google.com/spreadsheets/d/1IYY_tgx_IHuhSq3AJ5eI5OnqOPBNLWSHKh2a30DoXe8/edit?usp=sharing"",""ตรัง!M494"")"),6196.84)</f>
        <v>6196.84</v>
      </c>
      <c r="O599" s="176">
        <f t="shared" ca="1" si="126"/>
        <v>52.739063829787234</v>
      </c>
      <c r="P599" s="176"/>
    </row>
    <row r="600" spans="1:16" ht="21.75" customHeight="1" x14ac:dyDescent="0.35">
      <c r="A600" s="162"/>
      <c r="B600" s="163"/>
      <c r="C600" s="163"/>
      <c r="D600" s="172"/>
      <c r="E600" s="165"/>
      <c r="F600" s="165"/>
      <c r="G600" s="380" t="s">
        <v>129</v>
      </c>
      <c r="H600" s="167" t="s">
        <v>12</v>
      </c>
      <c r="I600" s="168"/>
      <c r="J600" s="168"/>
      <c r="K600" s="169"/>
      <c r="L600" s="176">
        <f ca="1">IFERROR(__xludf.DUMMYFUNCTION("IMPORTRANGE(""https://docs.google.com/spreadsheets/d/1IYY_tgx_IHuhSq3AJ5eI5OnqOPBNLWSHKh2a30DoXe8/edit?usp=sharing"",""ตรัง!L495"")"),0)</f>
        <v>0</v>
      </c>
      <c r="M600" s="176"/>
      <c r="N600" s="176">
        <f ca="1">IFERROR(__xludf.DUMMYFUNCTION("IMPORTRANGE(""https://docs.google.com/spreadsheets/d/1IYY_tgx_IHuhSq3AJ5eI5OnqOPBNLWSHKh2a30DoXe8/edit?usp=sharing"",""ตรัง!M495"")"),0)</f>
        <v>0</v>
      </c>
      <c r="O600" s="176">
        <f t="shared" ca="1" si="126"/>
        <v>0</v>
      </c>
      <c r="P600" s="176"/>
    </row>
    <row r="601" spans="1:16" ht="21.75" customHeight="1" x14ac:dyDescent="0.35">
      <c r="A601" s="162"/>
      <c r="B601" s="163"/>
      <c r="C601" s="163"/>
      <c r="D601" s="172"/>
      <c r="E601" s="165"/>
      <c r="F601" s="165"/>
      <c r="G601" s="380" t="s">
        <v>130</v>
      </c>
      <c r="H601" s="167" t="s">
        <v>12</v>
      </c>
      <c r="I601" s="168"/>
      <c r="J601" s="168"/>
      <c r="K601" s="169"/>
      <c r="L601" s="176">
        <f ca="1">IFERROR(__xludf.DUMMYFUNCTION("IMPORTRANGE(""https://docs.google.com/spreadsheets/d/1IYY_tgx_IHuhSq3AJ5eI5OnqOPBNLWSHKh2a30DoXe8/edit?usp=sharing"",""ตรัง!L496"")"),11750)</f>
        <v>11750</v>
      </c>
      <c r="M601" s="176"/>
      <c r="N601" s="176">
        <f ca="1">IFERROR(__xludf.DUMMYFUNCTION("IMPORTRANGE(""https://docs.google.com/spreadsheets/d/1IYY_tgx_IHuhSq3AJ5eI5OnqOPBNLWSHKh2a30DoXe8/edit?usp=sharing"",""ตรัง!M496"")"),6196.84)</f>
        <v>6196.84</v>
      </c>
      <c r="O601" s="176">
        <f t="shared" ca="1" si="126"/>
        <v>52.739063829787234</v>
      </c>
      <c r="P601" s="176"/>
    </row>
    <row r="602" spans="1:16" ht="21.75" customHeight="1" x14ac:dyDescent="0.35">
      <c r="A602" s="381"/>
      <c r="B602" s="382"/>
      <c r="C602" s="163"/>
      <c r="D602" s="383"/>
      <c r="E602" s="165"/>
      <c r="F602" s="165"/>
      <c r="G602" s="384" t="s">
        <v>131</v>
      </c>
      <c r="H602" s="167" t="s">
        <v>12</v>
      </c>
      <c r="I602" s="195"/>
      <c r="J602" s="195"/>
      <c r="K602" s="231"/>
      <c r="L602" s="176"/>
      <c r="M602" s="176"/>
      <c r="N602" s="173">
        <f ca="1">IFERROR(__xludf.DUMMYFUNCTION("IMPORTRANGE(""https://docs.google.com/spreadsheets/d/1IYY_tgx_IHuhSq3AJ5eI5OnqOPBNLWSHKh2a30DoXe8/edit?usp=sharing"",""ตรัง!M497"")"),0)</f>
        <v>0</v>
      </c>
      <c r="O602" s="176"/>
      <c r="P602" s="176"/>
    </row>
    <row r="603" spans="1:16" ht="21.75" customHeight="1" x14ac:dyDescent="0.35">
      <c r="A603" s="381"/>
      <c r="B603" s="382"/>
      <c r="C603" s="163"/>
      <c r="D603" s="383"/>
      <c r="E603" s="165"/>
      <c r="F603" s="165"/>
      <c r="G603" s="384" t="s">
        <v>132</v>
      </c>
      <c r="H603" s="167" t="s">
        <v>12</v>
      </c>
      <c r="I603" s="195"/>
      <c r="J603" s="195"/>
      <c r="K603" s="231"/>
      <c r="L603" s="176"/>
      <c r="M603" s="176"/>
      <c r="N603" s="173">
        <f ca="1">IFERROR(__xludf.DUMMYFUNCTION("IMPORTRANGE(""https://docs.google.com/spreadsheets/d/1IYY_tgx_IHuhSq3AJ5eI5OnqOPBNLWSHKh2a30DoXe8/edit?usp=sharing"",""ตรัง!M498"")"),0)</f>
        <v>0</v>
      </c>
      <c r="O603" s="176"/>
      <c r="P603" s="176"/>
    </row>
    <row r="604" spans="1:16" ht="21.75" customHeight="1" x14ac:dyDescent="0.35">
      <c r="A604" s="381"/>
      <c r="B604" s="382"/>
      <c r="C604" s="163"/>
      <c r="D604" s="383"/>
      <c r="E604" s="165"/>
      <c r="F604" s="165"/>
      <c r="G604" s="384" t="s">
        <v>133</v>
      </c>
      <c r="H604" s="167" t="s">
        <v>12</v>
      </c>
      <c r="I604" s="195"/>
      <c r="J604" s="195"/>
      <c r="K604" s="231"/>
      <c r="L604" s="176"/>
      <c r="M604" s="176"/>
      <c r="N604" s="385">
        <f ca="1">IFERROR(__xludf.DUMMYFUNCTION("IMPORTRANGE(""https://docs.google.com/spreadsheets/d/1IYY_tgx_IHuhSq3AJ5eI5OnqOPBNLWSHKh2a30DoXe8/edit?usp=sharing"",""ตรัง!M499"")"),0)</f>
        <v>0</v>
      </c>
      <c r="O604" s="176"/>
      <c r="P604" s="176"/>
    </row>
    <row r="605" spans="1:16" ht="21.75" customHeight="1" x14ac:dyDescent="0.35">
      <c r="A605" s="381"/>
      <c r="B605" s="382"/>
      <c r="C605" s="163"/>
      <c r="D605" s="383"/>
      <c r="E605" s="165"/>
      <c r="F605" s="165"/>
      <c r="G605" s="384" t="s">
        <v>134</v>
      </c>
      <c r="H605" s="167" t="s">
        <v>12</v>
      </c>
      <c r="I605" s="195"/>
      <c r="J605" s="195"/>
      <c r="K605" s="231"/>
      <c r="L605" s="176"/>
      <c r="M605" s="176"/>
      <c r="N605" s="385">
        <f ca="1">IFERROR(__xludf.DUMMYFUNCTION("IMPORTRANGE(""https://docs.google.com/spreadsheets/d/1IYY_tgx_IHuhSq3AJ5eI5OnqOPBNLWSHKh2a30DoXe8/edit?usp=sharing"",""ตรัง!M500"")"),6196.84)</f>
        <v>6196.84</v>
      </c>
      <c r="O605" s="176"/>
      <c r="P605" s="176"/>
    </row>
    <row r="606" spans="1:16" ht="21.75" customHeight="1" x14ac:dyDescent="0.35">
      <c r="A606" s="183"/>
      <c r="B606" s="184"/>
      <c r="C606" s="163" t="s">
        <v>16</v>
      </c>
      <c r="D606" s="185" t="s">
        <v>44</v>
      </c>
      <c r="E606" s="186"/>
      <c r="F606" s="186"/>
      <c r="G606" s="187"/>
      <c r="H606" s="188"/>
      <c r="I606" s="168"/>
      <c r="J606" s="168"/>
      <c r="K606" s="169"/>
      <c r="L606" s="189"/>
      <c r="M606" s="189"/>
      <c r="N606" s="189"/>
      <c r="O606" s="189"/>
      <c r="P606" s="189"/>
    </row>
    <row r="607" spans="1:16" ht="21.75" customHeight="1" x14ac:dyDescent="0.35">
      <c r="A607" s="183"/>
      <c r="B607" s="184"/>
      <c r="C607" s="184"/>
      <c r="D607" s="190">
        <v>1</v>
      </c>
      <c r="E607" s="191" t="s">
        <v>45</v>
      </c>
      <c r="F607" s="192"/>
      <c r="G607" s="193"/>
      <c r="H607" s="194"/>
      <c r="I607" s="195"/>
      <c r="J607" s="205">
        <f ca="1">IFERROR(__xludf.DUMMYFUNCTION("IMPORTRANGE(""https://docs.google.com/spreadsheets/d/1IYY_tgx_IHuhSq3AJ5eI5OnqOPBNLWSHKh2a30DoXe8/edit?usp=sharing"",""ตรัง!J502"")"),0)</f>
        <v>0</v>
      </c>
      <c r="K607" s="169"/>
      <c r="L607" s="189"/>
      <c r="M607" s="189"/>
      <c r="N607" s="189"/>
      <c r="O607" s="189"/>
      <c r="P607" s="189"/>
    </row>
    <row r="608" spans="1:16" ht="21.75" customHeight="1" x14ac:dyDescent="0.35">
      <c r="A608" s="183"/>
      <c r="B608" s="184"/>
      <c r="C608" s="184"/>
      <c r="D608" s="197">
        <v>2</v>
      </c>
      <c r="E608" s="198" t="s">
        <v>46</v>
      </c>
      <c r="F608" s="199"/>
      <c r="G608" s="200"/>
      <c r="H608" s="194"/>
      <c r="I608" s="195"/>
      <c r="J608" s="205">
        <f ca="1">IFERROR(__xludf.DUMMYFUNCTION("IMPORTRANGE(""https://docs.google.com/spreadsheets/d/1IYY_tgx_IHuhSq3AJ5eI5OnqOPBNLWSHKh2a30DoXe8/edit?usp=sharing"",""ตรัง!J503"")"),1)</f>
        <v>1</v>
      </c>
      <c r="K608" s="169"/>
      <c r="L608" s="189" t="s">
        <v>40</v>
      </c>
      <c r="M608" s="189"/>
      <c r="N608" s="189" t="s">
        <v>40</v>
      </c>
      <c r="O608" s="189"/>
      <c r="P608" s="189"/>
    </row>
    <row r="609" spans="1:16" ht="21.75" hidden="1" customHeight="1" x14ac:dyDescent="0.35">
      <c r="A609" s="494"/>
      <c r="B609" s="495"/>
      <c r="C609" s="495"/>
      <c r="D609" s="496"/>
      <c r="E609" s="497" t="s">
        <v>47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IFERROR(__xludf.DUMMYFUNCTION("IMPORTRANGE(""https://docs.google.com/spreadsheets/d/1IYY_tgx_IHuhSq3AJ5eI5OnqOPBNLWSHKh2a30DoXe8/edit?usp=sharing"",""ตรัง!J166"")"),0)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48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IFERROR(__xludf.DUMMYFUNCTION("IMPORTRANGE(""https://docs.google.com/spreadsheets/d/1IYY_tgx_IHuhSq3AJ5eI5OnqOPBNLWSHKh2a30DoXe8/edit?usp=sharing"",""ตรัง!J166"")"),0)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3"/>
      <c r="B611" s="184"/>
      <c r="C611" s="184"/>
      <c r="D611" s="201"/>
      <c r="E611" s="203"/>
      <c r="F611" s="203" t="s">
        <v>219</v>
      </c>
      <c r="G611" s="204"/>
      <c r="H611" s="188" t="s">
        <v>122</v>
      </c>
      <c r="I611" s="195">
        <f ca="1">IFERROR(__xludf.DUMMYFUNCTION("IMPORTRANGE(""https://docs.google.com/spreadsheets/d/1IYY_tgx_IHuhSq3AJ5eI5OnqOPBNLWSHKh2a30DoXe8/edit?usp=sharing"",""ตรัง!I506"")"),50)</f>
        <v>50</v>
      </c>
      <c r="J611" s="168">
        <f ca="1">IFERROR(__xludf.DUMMYFUNCTION("IMPORTRANGE(""https://docs.google.com/spreadsheets/d/1IYY_tgx_IHuhSq3AJ5eI5OnqOPBNLWSHKh2a30DoXe8/edit?usp=sharing"",""ตรัง!J506"")"),0)</f>
        <v>0</v>
      </c>
      <c r="K611" s="169">
        <f t="shared" ref="K611:K619" ca="1" si="127">IF(I$611&gt;0,J611*100/I$611,0)</f>
        <v>0</v>
      </c>
      <c r="L611" s="189"/>
      <c r="M611" s="189"/>
      <c r="N611" s="189"/>
      <c r="O611" s="189"/>
      <c r="P611" s="189"/>
    </row>
    <row r="612" spans="1:16" ht="21.75" customHeight="1" x14ac:dyDescent="0.35">
      <c r="A612" s="183"/>
      <c r="B612" s="184"/>
      <c r="C612" s="184"/>
      <c r="D612" s="201"/>
      <c r="E612" s="206"/>
      <c r="F612" s="203"/>
      <c r="G612" s="233" t="s">
        <v>220</v>
      </c>
      <c r="H612" s="188" t="s">
        <v>122</v>
      </c>
      <c r="I612" s="211">
        <f ca="1">IFERROR(__xludf.DUMMYFUNCTION("IMPORTRANGE(""https://docs.google.com/spreadsheets/d/1IYY_tgx_IHuhSq3AJ5eI5OnqOPBNLWSHKh2a30DoXe8/edit?usp=sharing"",""ตรัง!I507"")"),0)</f>
        <v>0</v>
      </c>
      <c r="J612" s="205">
        <f ca="1">IFERROR(__xludf.DUMMYFUNCTION("IMPORTRANGE(""https://docs.google.com/spreadsheets/d/1IYY_tgx_IHuhSq3AJ5eI5OnqOPBNLWSHKh2a30DoXe8/edit?usp=sharing"",""ตรัง!J507"")"),0)</f>
        <v>0</v>
      </c>
      <c r="K612" s="169">
        <f t="shared" ca="1" si="127"/>
        <v>0</v>
      </c>
      <c r="L612" s="189"/>
      <c r="M612" s="189"/>
      <c r="N612" s="189"/>
      <c r="O612" s="189"/>
      <c r="P612" s="189"/>
    </row>
    <row r="613" spans="1:16" ht="21.75" customHeight="1" x14ac:dyDescent="0.35">
      <c r="A613" s="183"/>
      <c r="B613" s="184"/>
      <c r="C613" s="184"/>
      <c r="D613" s="201"/>
      <c r="E613" s="206"/>
      <c r="F613" s="203"/>
      <c r="G613" s="233" t="s">
        <v>221</v>
      </c>
      <c r="H613" s="188" t="s">
        <v>122</v>
      </c>
      <c r="I613" s="211">
        <f ca="1">IFERROR(__xludf.DUMMYFUNCTION("IMPORTRANGE(""https://docs.google.com/spreadsheets/d/1IYY_tgx_IHuhSq3AJ5eI5OnqOPBNLWSHKh2a30DoXe8/edit?usp=sharing"",""ตรัง!I508"")"),0)</f>
        <v>0</v>
      </c>
      <c r="J613" s="205">
        <f ca="1">IFERROR(__xludf.DUMMYFUNCTION("IMPORTRANGE(""https://docs.google.com/spreadsheets/d/1IYY_tgx_IHuhSq3AJ5eI5OnqOPBNLWSHKh2a30DoXe8/edit?usp=sharing"",""ตรัง!J508"")"),0)</f>
        <v>0</v>
      </c>
      <c r="K613" s="169">
        <f t="shared" ca="1" si="127"/>
        <v>0</v>
      </c>
      <c r="L613" s="189"/>
      <c r="M613" s="189"/>
      <c r="N613" s="189"/>
      <c r="O613" s="189"/>
      <c r="P613" s="189"/>
    </row>
    <row r="614" spans="1:16" ht="21.75" customHeight="1" x14ac:dyDescent="0.35">
      <c r="A614" s="183"/>
      <c r="B614" s="184"/>
      <c r="C614" s="184"/>
      <c r="D614" s="201"/>
      <c r="E614" s="206"/>
      <c r="F614" s="203"/>
      <c r="G614" s="233" t="s">
        <v>222</v>
      </c>
      <c r="H614" s="188" t="s">
        <v>122</v>
      </c>
      <c r="I614" s="211">
        <f ca="1">IFERROR(__xludf.DUMMYFUNCTION("IMPORTRANGE(""https://docs.google.com/spreadsheets/d/1IYY_tgx_IHuhSq3AJ5eI5OnqOPBNLWSHKh2a30DoXe8/edit?usp=sharing"",""ตรัง!I509"")"),0)</f>
        <v>0</v>
      </c>
      <c r="J614" s="205">
        <f ca="1">IFERROR(__xludf.DUMMYFUNCTION("IMPORTRANGE(""https://docs.google.com/spreadsheets/d/1IYY_tgx_IHuhSq3AJ5eI5OnqOPBNLWSHKh2a30DoXe8/edit?usp=sharing"",""ตรัง!J509"")"),0)</f>
        <v>0</v>
      </c>
      <c r="K614" s="169">
        <f t="shared" ca="1" si="127"/>
        <v>0</v>
      </c>
      <c r="L614" s="189"/>
      <c r="M614" s="189"/>
      <c r="N614" s="189"/>
      <c r="O614" s="189"/>
      <c r="P614" s="189"/>
    </row>
    <row r="615" spans="1:16" ht="21.75" customHeight="1" x14ac:dyDescent="0.35">
      <c r="A615" s="183"/>
      <c r="B615" s="184"/>
      <c r="C615" s="184"/>
      <c r="D615" s="201"/>
      <c r="E615" s="206"/>
      <c r="F615" s="203"/>
      <c r="G615" s="233" t="s">
        <v>223</v>
      </c>
      <c r="H615" s="188" t="s">
        <v>122</v>
      </c>
      <c r="I615" s="211">
        <f ca="1">IFERROR(__xludf.DUMMYFUNCTION("IMPORTRANGE(""https://docs.google.com/spreadsheets/d/1IYY_tgx_IHuhSq3AJ5eI5OnqOPBNLWSHKh2a30DoXe8/edit?usp=sharing"",""ตรัง!I510"")"),0)</f>
        <v>0</v>
      </c>
      <c r="J615" s="205">
        <f ca="1">IFERROR(__xludf.DUMMYFUNCTION("IMPORTRANGE(""https://docs.google.com/spreadsheets/d/1IYY_tgx_IHuhSq3AJ5eI5OnqOPBNLWSHKh2a30DoXe8/edit?usp=sharing"",""ตรัง!J510"")"),0)</f>
        <v>0</v>
      </c>
      <c r="K615" s="169">
        <f t="shared" ca="1" si="127"/>
        <v>0</v>
      </c>
      <c r="L615" s="189"/>
      <c r="M615" s="189"/>
      <c r="N615" s="189"/>
      <c r="O615" s="189"/>
      <c r="P615" s="189"/>
    </row>
    <row r="616" spans="1:16" ht="21.75" customHeight="1" x14ac:dyDescent="0.35">
      <c r="A616" s="183"/>
      <c r="B616" s="184"/>
      <c r="C616" s="184"/>
      <c r="D616" s="201"/>
      <c r="E616" s="206"/>
      <c r="F616" s="203"/>
      <c r="G616" s="202" t="s">
        <v>224</v>
      </c>
      <c r="H616" s="188" t="s">
        <v>122</v>
      </c>
      <c r="I616" s="211">
        <f ca="1">IFERROR(__xludf.DUMMYFUNCTION("IMPORTRANGE(""https://docs.google.com/spreadsheets/d/1IYY_tgx_IHuhSq3AJ5eI5OnqOPBNLWSHKh2a30DoXe8/edit?usp=sharing"",""ตรัง!I511"")"),0)</f>
        <v>0</v>
      </c>
      <c r="J616" s="205">
        <f ca="1">IFERROR(__xludf.DUMMYFUNCTION("IMPORTRANGE(""https://docs.google.com/spreadsheets/d/1IYY_tgx_IHuhSq3AJ5eI5OnqOPBNLWSHKh2a30DoXe8/edit?usp=sharing"",""ตรัง!J511"")"),0)</f>
        <v>0</v>
      </c>
      <c r="K616" s="169">
        <f t="shared" ca="1" si="127"/>
        <v>0</v>
      </c>
      <c r="L616" s="189"/>
      <c r="M616" s="189"/>
      <c r="N616" s="189"/>
      <c r="O616" s="189"/>
      <c r="P616" s="189"/>
    </row>
    <row r="617" spans="1:16" ht="21.75" customHeight="1" x14ac:dyDescent="0.35">
      <c r="A617" s="183"/>
      <c r="B617" s="184"/>
      <c r="C617" s="184"/>
      <c r="D617" s="201"/>
      <c r="E617" s="206"/>
      <c r="F617" s="203"/>
      <c r="G617" s="202" t="s">
        <v>225</v>
      </c>
      <c r="H617" s="188" t="s">
        <v>122</v>
      </c>
      <c r="I617" s="195">
        <f ca="1">IFERROR(__xludf.DUMMYFUNCTION("IMPORTRANGE(""https://docs.google.com/spreadsheets/d/1IYY_tgx_IHuhSq3AJ5eI5OnqOPBNLWSHKh2a30DoXe8/edit?usp=sharing"",""ตรัง!I512"")"),0)</f>
        <v>0</v>
      </c>
      <c r="J617" s="195">
        <f ca="1">IFERROR(__xludf.DUMMYFUNCTION("IMPORTRANGE(""https://docs.google.com/spreadsheets/d/1IYY_tgx_IHuhSq3AJ5eI5OnqOPBNLWSHKh2a30DoXe8/edit?usp=sharing"",""ตรัง!J512"")"),0)</f>
        <v>0</v>
      </c>
      <c r="K617" s="169">
        <f t="shared" ca="1" si="127"/>
        <v>0</v>
      </c>
      <c r="L617" s="189"/>
      <c r="M617" s="189"/>
      <c r="N617" s="189"/>
      <c r="O617" s="189"/>
      <c r="P617" s="189"/>
    </row>
    <row r="618" spans="1:16" ht="21.75" customHeight="1" x14ac:dyDescent="0.35">
      <c r="A618" s="183"/>
      <c r="B618" s="184"/>
      <c r="C618" s="184"/>
      <c r="D618" s="201"/>
      <c r="E618" s="206"/>
      <c r="F618" s="203"/>
      <c r="G618" s="504" t="s">
        <v>226</v>
      </c>
      <c r="H618" s="188" t="s">
        <v>122</v>
      </c>
      <c r="I618" s="211">
        <f ca="1">IFERROR(__xludf.DUMMYFUNCTION("IMPORTRANGE(""https://docs.google.com/spreadsheets/d/1IYY_tgx_IHuhSq3AJ5eI5OnqOPBNLWSHKh2a30DoXe8/edit?usp=sharing"",""ตรัง!I513"")"),0)</f>
        <v>0</v>
      </c>
      <c r="J618" s="196">
        <f ca="1">IFERROR(__xludf.DUMMYFUNCTION("IMPORTRANGE(""https://docs.google.com/spreadsheets/d/1IYY_tgx_IHuhSq3AJ5eI5OnqOPBNLWSHKh2a30DoXe8/edit?usp=sharing"",""ตรัง!J513"")"),0)</f>
        <v>0</v>
      </c>
      <c r="K618" s="169">
        <f t="shared" ca="1" si="127"/>
        <v>0</v>
      </c>
      <c r="L618" s="189"/>
      <c r="M618" s="189"/>
      <c r="N618" s="189"/>
      <c r="O618" s="189"/>
      <c r="P618" s="189"/>
    </row>
    <row r="619" spans="1:16" ht="21.75" customHeight="1" x14ac:dyDescent="0.35">
      <c r="A619" s="183"/>
      <c r="B619" s="184"/>
      <c r="C619" s="184"/>
      <c r="D619" s="201"/>
      <c r="E619" s="206"/>
      <c r="F619" s="203"/>
      <c r="G619" s="504" t="s">
        <v>227</v>
      </c>
      <c r="H619" s="188" t="s">
        <v>122</v>
      </c>
      <c r="I619" s="211">
        <f ca="1">IFERROR(__xludf.DUMMYFUNCTION("IMPORTRANGE(""https://docs.google.com/spreadsheets/d/1IYY_tgx_IHuhSq3AJ5eI5OnqOPBNLWSHKh2a30DoXe8/edit?usp=sharing"",""ตรัง!I514"")"),0)</f>
        <v>0</v>
      </c>
      <c r="J619" s="196">
        <f ca="1">IFERROR(__xludf.DUMMYFUNCTION("IMPORTRANGE(""https://docs.google.com/spreadsheets/d/1IYY_tgx_IHuhSq3AJ5eI5OnqOPBNLWSHKh2a30DoXe8/edit?usp=sharing"",""ตรัง!J514"")"),0)</f>
        <v>0</v>
      </c>
      <c r="K619" s="169">
        <f t="shared" ca="1" si="127"/>
        <v>0</v>
      </c>
      <c r="L619" s="189"/>
      <c r="M619" s="189"/>
      <c r="N619" s="189"/>
      <c r="O619" s="189"/>
      <c r="P619" s="189"/>
    </row>
    <row r="620" spans="1:16" ht="21.75" customHeight="1" x14ac:dyDescent="0.35">
      <c r="A620" s="183"/>
      <c r="B620" s="184"/>
      <c r="C620" s="184"/>
      <c r="D620" s="201"/>
      <c r="E620" s="203"/>
      <c r="F620" s="202" t="s">
        <v>228</v>
      </c>
      <c r="G620" s="204"/>
      <c r="H620" s="188" t="s">
        <v>122</v>
      </c>
      <c r="I620" s="195">
        <f ca="1">IFERROR(__xludf.DUMMYFUNCTION("IMPORTRANGE(""https://docs.google.com/spreadsheets/d/1IYY_tgx_IHuhSq3AJ5eI5OnqOPBNLWSHKh2a30DoXe8/edit?usp=sharing"",""ตรัง!I515"")"),0)</f>
        <v>0</v>
      </c>
      <c r="J620" s="210">
        <f ca="1">IFERROR(__xludf.DUMMYFUNCTION("IMPORTRANGE(""https://docs.google.com/spreadsheets/d/1IYY_tgx_IHuhSq3AJ5eI5OnqOPBNLWSHKh2a30DoXe8/edit?usp=sharing"",""ตรัง!J515"")"),0)</f>
        <v>0</v>
      </c>
      <c r="K620" s="169">
        <f t="shared" ref="K620:K626" ca="1" si="128">IF(I$620&gt;0,J620*100/I$620,0)</f>
        <v>0</v>
      </c>
      <c r="L620" s="189"/>
      <c r="M620" s="189"/>
      <c r="N620" s="189"/>
      <c r="O620" s="189"/>
      <c r="P620" s="189"/>
    </row>
    <row r="621" spans="1:16" ht="21.75" customHeight="1" x14ac:dyDescent="0.35">
      <c r="A621" s="183"/>
      <c r="B621" s="184"/>
      <c r="C621" s="184"/>
      <c r="D621" s="201"/>
      <c r="E621" s="206"/>
      <c r="F621" s="203"/>
      <c r="G621" s="233" t="s">
        <v>225</v>
      </c>
      <c r="H621" s="188" t="s">
        <v>122</v>
      </c>
      <c r="I621" s="210">
        <f ca="1">IFERROR(__xludf.DUMMYFUNCTION("IMPORTRANGE(""https://docs.google.com/spreadsheets/d/1IYY_tgx_IHuhSq3AJ5eI5OnqOPBNLWSHKh2a30DoXe8/edit?usp=sharing"",""ตรัง!I516"")"),0)</f>
        <v>0</v>
      </c>
      <c r="J621" s="210">
        <f ca="1">IFERROR(__xludf.DUMMYFUNCTION("IMPORTRANGE(""https://docs.google.com/spreadsheets/d/1IYY_tgx_IHuhSq3AJ5eI5OnqOPBNLWSHKh2a30DoXe8/edit?usp=sharing"",""ตรัง!J516"")"),0)</f>
        <v>0</v>
      </c>
      <c r="K621" s="169">
        <f t="shared" ca="1" si="128"/>
        <v>0</v>
      </c>
      <c r="L621" s="189"/>
      <c r="M621" s="189"/>
      <c r="N621" s="189"/>
      <c r="O621" s="189"/>
      <c r="P621" s="189"/>
    </row>
    <row r="622" spans="1:16" ht="21.75" customHeight="1" x14ac:dyDescent="0.35">
      <c r="A622" s="183"/>
      <c r="B622" s="184"/>
      <c r="C622" s="184"/>
      <c r="D622" s="201"/>
      <c r="E622" s="206"/>
      <c r="F622" s="203"/>
      <c r="G622" s="504" t="s">
        <v>226</v>
      </c>
      <c r="H622" s="188" t="s">
        <v>122</v>
      </c>
      <c r="I622" s="211">
        <f ca="1">IFERROR(__xludf.DUMMYFUNCTION("IMPORTRANGE(""https://docs.google.com/spreadsheets/d/1IYY_tgx_IHuhSq3AJ5eI5OnqOPBNLWSHKh2a30DoXe8/edit?usp=sharing"",""ตรัง!I517"")"),0)</f>
        <v>0</v>
      </c>
      <c r="J622" s="196">
        <f ca="1">IFERROR(__xludf.DUMMYFUNCTION("IMPORTRANGE(""https://docs.google.com/spreadsheets/d/1IYY_tgx_IHuhSq3AJ5eI5OnqOPBNLWSHKh2a30DoXe8/edit?usp=sharing"",""ตรัง!J517"")"),0)</f>
        <v>0</v>
      </c>
      <c r="K622" s="169">
        <f t="shared" ca="1" si="128"/>
        <v>0</v>
      </c>
      <c r="L622" s="189"/>
      <c r="M622" s="189"/>
      <c r="N622" s="189"/>
      <c r="O622" s="189"/>
      <c r="P622" s="189"/>
    </row>
    <row r="623" spans="1:16" ht="21.75" customHeight="1" x14ac:dyDescent="0.35">
      <c r="A623" s="183"/>
      <c r="B623" s="184"/>
      <c r="C623" s="184"/>
      <c r="D623" s="201"/>
      <c r="E623" s="206"/>
      <c r="F623" s="203"/>
      <c r="G623" s="504" t="s">
        <v>227</v>
      </c>
      <c r="H623" s="188" t="s">
        <v>122</v>
      </c>
      <c r="I623" s="211">
        <f ca="1">IFERROR(__xludf.DUMMYFUNCTION("IMPORTRANGE(""https://docs.google.com/spreadsheets/d/1IYY_tgx_IHuhSq3AJ5eI5OnqOPBNLWSHKh2a30DoXe8/edit?usp=sharing"",""ตรัง!I518"")"),0)</f>
        <v>0</v>
      </c>
      <c r="J623" s="196">
        <f ca="1">IFERROR(__xludf.DUMMYFUNCTION("IMPORTRANGE(""https://docs.google.com/spreadsheets/d/1IYY_tgx_IHuhSq3AJ5eI5OnqOPBNLWSHKh2a30DoXe8/edit?usp=sharing"",""ตรัง!J518"")"),0)</f>
        <v>0</v>
      </c>
      <c r="K623" s="169">
        <f t="shared" ca="1" si="128"/>
        <v>0</v>
      </c>
      <c r="L623" s="189"/>
      <c r="M623" s="189"/>
      <c r="N623" s="189"/>
      <c r="O623" s="189"/>
      <c r="P623" s="189"/>
    </row>
    <row r="624" spans="1:16" ht="21.75" customHeight="1" x14ac:dyDescent="0.35">
      <c r="A624" s="183"/>
      <c r="B624" s="184"/>
      <c r="C624" s="184"/>
      <c r="D624" s="201"/>
      <c r="E624" s="206"/>
      <c r="F624" s="203"/>
      <c r="G624" s="233" t="s">
        <v>229</v>
      </c>
      <c r="H624" s="188" t="s">
        <v>122</v>
      </c>
      <c r="I624" s="195">
        <f ca="1">IFERROR(__xludf.DUMMYFUNCTION("IMPORTRANGE(""https://docs.google.com/spreadsheets/d/1IYY_tgx_IHuhSq3AJ5eI5OnqOPBNLWSHKh2a30DoXe8/edit?usp=sharing"",""ตรัง!I519"")"),0)</f>
        <v>0</v>
      </c>
      <c r="J624" s="195">
        <f ca="1">IFERROR(__xludf.DUMMYFUNCTION("IMPORTRANGE(""https://docs.google.com/spreadsheets/d/1IYY_tgx_IHuhSq3AJ5eI5OnqOPBNLWSHKh2a30DoXe8/edit?usp=sharing"",""ตรัง!J519"")"),0)</f>
        <v>0</v>
      </c>
      <c r="K624" s="169">
        <f t="shared" ca="1" si="128"/>
        <v>0</v>
      </c>
      <c r="L624" s="189"/>
      <c r="M624" s="189"/>
      <c r="N624" s="189"/>
      <c r="O624" s="189"/>
      <c r="P624" s="189"/>
    </row>
    <row r="625" spans="1:16" ht="21.75" customHeight="1" x14ac:dyDescent="0.35">
      <c r="A625" s="183"/>
      <c r="B625" s="184"/>
      <c r="C625" s="184"/>
      <c r="D625" s="201"/>
      <c r="E625" s="206"/>
      <c r="F625" s="203"/>
      <c r="G625" s="504" t="s">
        <v>230</v>
      </c>
      <c r="H625" s="188" t="s">
        <v>122</v>
      </c>
      <c r="I625" s="211">
        <f ca="1">IFERROR(__xludf.DUMMYFUNCTION("IMPORTRANGE(""https://docs.google.com/spreadsheets/d/1IYY_tgx_IHuhSq3AJ5eI5OnqOPBNLWSHKh2a30DoXe8/edit?usp=sharing"",""ตรัง!I520"")"),0)</f>
        <v>0</v>
      </c>
      <c r="J625" s="196">
        <f ca="1">IFERROR(__xludf.DUMMYFUNCTION("IMPORTRANGE(""https://docs.google.com/spreadsheets/d/1IYY_tgx_IHuhSq3AJ5eI5OnqOPBNLWSHKh2a30DoXe8/edit?usp=sharing"",""ตรัง!J520"")"),0)</f>
        <v>0</v>
      </c>
      <c r="K625" s="169">
        <f t="shared" ca="1" si="128"/>
        <v>0</v>
      </c>
      <c r="L625" s="189"/>
      <c r="M625" s="189"/>
      <c r="N625" s="189"/>
      <c r="O625" s="189"/>
      <c r="P625" s="189"/>
    </row>
    <row r="626" spans="1:16" ht="21.75" customHeight="1" x14ac:dyDescent="0.35">
      <c r="A626" s="183"/>
      <c r="B626" s="184"/>
      <c r="C626" s="184"/>
      <c r="D626" s="201"/>
      <c r="E626" s="206"/>
      <c r="F626" s="203"/>
      <c r="G626" s="504" t="s">
        <v>231</v>
      </c>
      <c r="H626" s="188" t="s">
        <v>122</v>
      </c>
      <c r="I626" s="211">
        <f ca="1">IFERROR(__xludf.DUMMYFUNCTION("IMPORTRANGE(""https://docs.google.com/spreadsheets/d/1IYY_tgx_IHuhSq3AJ5eI5OnqOPBNLWSHKh2a30DoXe8/edit?usp=sharing"",""ตรัง!I521"")"),0)</f>
        <v>0</v>
      </c>
      <c r="J626" s="196">
        <f ca="1">IFERROR(__xludf.DUMMYFUNCTION("IMPORTRANGE(""https://docs.google.com/spreadsheets/d/1IYY_tgx_IHuhSq3AJ5eI5OnqOPBNLWSHKh2a30DoXe8/edit?usp=sharing"",""ตรัง!J521"")"),0)</f>
        <v>0</v>
      </c>
      <c r="K626" s="169">
        <f t="shared" ca="1" si="128"/>
        <v>0</v>
      </c>
      <c r="L626" s="189"/>
      <c r="M626" s="189"/>
      <c r="N626" s="189"/>
      <c r="O626" s="189"/>
      <c r="P626" s="189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2"/>
      <c r="E628" s="165"/>
      <c r="F628" s="165"/>
      <c r="G628" s="166"/>
      <c r="H628" s="513" t="s">
        <v>12</v>
      </c>
      <c r="I628" s="347">
        <f ca="1">IFERROR(__xludf.DUMMYFUNCTION("IMPORTRANGE(""https://docs.google.com/spreadsheets/d/1IYY_tgx_IHuhSq3AJ5eI5OnqOPBNLWSHKh2a30DoXe8/edit?usp=sharing"",""ตรัง!I523"")"),1672600.24)</f>
        <v>1672600.24</v>
      </c>
      <c r="J628" s="347">
        <f ca="1">IFERROR(__xludf.DUMMYFUNCTION("IMPORTRANGE(""https://docs.google.com/spreadsheets/d/1IYY_tgx_IHuhSq3AJ5eI5OnqOPBNLWSHKh2a30DoXe8/edit?usp=sharing"",""ตรัง!J523"")"),326429.18)</f>
        <v>326429.18</v>
      </c>
      <c r="K628" s="348">
        <f t="shared" ref="K628:K635" ca="1" si="129">IF(I628&gt;0,J628*100/I628,0)</f>
        <v>19.516270068214268</v>
      </c>
      <c r="L628" s="348"/>
      <c r="M628" s="348"/>
      <c r="N628" s="348"/>
      <c r="O628" s="176"/>
      <c r="P628" s="176"/>
    </row>
    <row r="629" spans="1:16" ht="21.75" customHeight="1" x14ac:dyDescent="0.35">
      <c r="A629" s="484"/>
      <c r="B629" s="163"/>
      <c r="C629" s="163"/>
      <c r="D629" s="172"/>
      <c r="E629" s="165"/>
      <c r="F629" s="165"/>
      <c r="G629" s="166"/>
      <c r="H629" s="513" t="s">
        <v>37</v>
      </c>
      <c r="I629" s="347">
        <f ca="1">IFERROR(__xludf.DUMMYFUNCTION("IMPORTRANGE(""https://docs.google.com/spreadsheets/d/1IYY_tgx_IHuhSq3AJ5eI5OnqOPBNLWSHKh2a30DoXe8/edit?usp=sharing"",""ตรัง!I524"")"),102)</f>
        <v>102</v>
      </c>
      <c r="J629" s="347">
        <f ca="1">IFERROR(__xludf.DUMMYFUNCTION("IMPORTRANGE(""https://docs.google.com/spreadsheets/d/1IYY_tgx_IHuhSq3AJ5eI5OnqOPBNLWSHKh2a30DoXe8/edit?usp=sharing"",""ตรัง!J524"")"),22)</f>
        <v>22</v>
      </c>
      <c r="K629" s="348">
        <f t="shared" ca="1" si="129"/>
        <v>21.568627450980394</v>
      </c>
      <c r="L629" s="348"/>
      <c r="M629" s="348"/>
      <c r="N629" s="348"/>
      <c r="O629" s="176"/>
      <c r="P629" s="176"/>
    </row>
    <row r="630" spans="1:16" ht="21.75" customHeight="1" x14ac:dyDescent="0.35">
      <c r="A630" s="484"/>
      <c r="B630" s="512" t="s">
        <v>234</v>
      </c>
      <c r="C630" s="163"/>
      <c r="D630" s="172"/>
      <c r="E630" s="165"/>
      <c r="F630" s="165"/>
      <c r="G630" s="166"/>
      <c r="H630" s="513" t="s">
        <v>12</v>
      </c>
      <c r="I630" s="347">
        <f ca="1">IFERROR(__xludf.DUMMYFUNCTION("IMPORTRANGE(""https://docs.google.com/spreadsheets/d/1IYY_tgx_IHuhSq3AJ5eI5OnqOPBNLWSHKh2a30DoXe8/edit?usp=sharing"",""ตรัง!I525"")"),2461069.78)</f>
        <v>2461069.7799999998</v>
      </c>
      <c r="J630" s="347">
        <f ca="1">IFERROR(__xludf.DUMMYFUNCTION("IMPORTRANGE(""https://docs.google.com/spreadsheets/d/1IYY_tgx_IHuhSq3AJ5eI5OnqOPBNLWSHKh2a30DoXe8/edit?usp=sharing"",""ตรัง!J525"")"),454741.23)</f>
        <v>454741.23</v>
      </c>
      <c r="K630" s="348">
        <f t="shared" ca="1" si="129"/>
        <v>18.477380596660694</v>
      </c>
      <c r="L630" s="348"/>
      <c r="M630" s="348"/>
      <c r="N630" s="348"/>
      <c r="O630" s="176"/>
      <c r="P630" s="176"/>
    </row>
    <row r="631" spans="1:16" ht="21.75" customHeight="1" x14ac:dyDescent="0.35">
      <c r="A631" s="484"/>
      <c r="B631" s="163"/>
      <c r="C631" s="163"/>
      <c r="D631" s="172"/>
      <c r="E631" s="165"/>
      <c r="F631" s="165"/>
      <c r="G631" s="166"/>
      <c r="H631" s="513" t="s">
        <v>37</v>
      </c>
      <c r="I631" s="347">
        <f ca="1">IFERROR(__xludf.DUMMYFUNCTION("IMPORTRANGE(""https://docs.google.com/spreadsheets/d/1IYY_tgx_IHuhSq3AJ5eI5OnqOPBNLWSHKh2a30DoXe8/edit?usp=sharing"",""ตรัง!I526"")"),89)</f>
        <v>89</v>
      </c>
      <c r="J631" s="347">
        <f ca="1">IFERROR(__xludf.DUMMYFUNCTION("IMPORTRANGE(""https://docs.google.com/spreadsheets/d/1IYY_tgx_IHuhSq3AJ5eI5OnqOPBNLWSHKh2a30DoXe8/edit?usp=sharing"",""ตรัง!J526"")"),40)</f>
        <v>40</v>
      </c>
      <c r="K631" s="348">
        <f t="shared" ca="1" si="129"/>
        <v>44.943820224719104</v>
      </c>
      <c r="L631" s="348"/>
      <c r="M631" s="348"/>
      <c r="N631" s="348"/>
      <c r="O631" s="176"/>
      <c r="P631" s="176"/>
    </row>
    <row r="632" spans="1:16" ht="21.75" customHeight="1" x14ac:dyDescent="0.35">
      <c r="A632" s="484"/>
      <c r="B632" s="512" t="s">
        <v>235</v>
      </c>
      <c r="C632" s="163"/>
      <c r="D632" s="172"/>
      <c r="E632" s="165"/>
      <c r="F632" s="165"/>
      <c r="G632" s="166"/>
      <c r="H632" s="513" t="s">
        <v>12</v>
      </c>
      <c r="I632" s="347">
        <f ca="1">IFERROR(__xludf.DUMMYFUNCTION("IMPORTRANGE(""https://docs.google.com/spreadsheets/d/1IYY_tgx_IHuhSq3AJ5eI5OnqOPBNLWSHKh2a30DoXe8/edit?usp=sharing"",""ตรัง!I527"")"),0)</f>
        <v>0</v>
      </c>
      <c r="J632" s="347">
        <f ca="1">IFERROR(__xludf.DUMMYFUNCTION("IMPORTRANGE(""https://docs.google.com/spreadsheets/d/1IYY_tgx_IHuhSq3AJ5eI5OnqOPBNLWSHKh2a30DoXe8/edit?usp=sharing"",""ตรัง!J527"")"),0)</f>
        <v>0</v>
      </c>
      <c r="K632" s="348">
        <f t="shared" ca="1" si="129"/>
        <v>0</v>
      </c>
      <c r="L632" s="348"/>
      <c r="M632" s="348"/>
      <c r="N632" s="348"/>
      <c r="O632" s="176"/>
      <c r="P632" s="176"/>
    </row>
    <row r="633" spans="1:16" ht="21.75" customHeight="1" x14ac:dyDescent="0.35">
      <c r="A633" s="484"/>
      <c r="B633" s="512"/>
      <c r="C633" s="163"/>
      <c r="D633" s="172"/>
      <c r="E633" s="165"/>
      <c r="F633" s="165"/>
      <c r="G633" s="166"/>
      <c r="H633" s="513" t="s">
        <v>37</v>
      </c>
      <c r="I633" s="347">
        <f ca="1">IFERROR(__xludf.DUMMYFUNCTION("IMPORTRANGE(""https://docs.google.com/spreadsheets/d/1IYY_tgx_IHuhSq3AJ5eI5OnqOPBNLWSHKh2a30DoXe8/edit?usp=sharing"",""ตรัง!I528"")"),0)</f>
        <v>0</v>
      </c>
      <c r="J633" s="347">
        <f ca="1">IFERROR(__xludf.DUMMYFUNCTION("IMPORTRANGE(""https://docs.google.com/spreadsheets/d/1IYY_tgx_IHuhSq3AJ5eI5OnqOPBNLWSHKh2a30DoXe8/edit?usp=sharing"",""ตรัง!J528"")"),0)</f>
        <v>0</v>
      </c>
      <c r="K633" s="348">
        <f t="shared" ca="1" si="129"/>
        <v>0</v>
      </c>
      <c r="L633" s="348"/>
      <c r="M633" s="348"/>
      <c r="N633" s="348"/>
      <c r="O633" s="176"/>
      <c r="P633" s="176"/>
    </row>
    <row r="634" spans="1:16" ht="21.75" customHeight="1" x14ac:dyDescent="0.35">
      <c r="A634" s="484"/>
      <c r="B634" s="512" t="s">
        <v>236</v>
      </c>
      <c r="C634" s="163"/>
      <c r="D634" s="172"/>
      <c r="E634" s="165"/>
      <c r="F634" s="165"/>
      <c r="G634" s="166"/>
      <c r="H634" s="513" t="s">
        <v>12</v>
      </c>
      <c r="I634" s="347">
        <f ca="1">IFERROR(__xludf.DUMMYFUNCTION("IMPORTRANGE(""https://docs.google.com/spreadsheets/d/1IYY_tgx_IHuhSq3AJ5eI5OnqOPBNLWSHKh2a30DoXe8/edit?usp=sharing"",""ตรัง!I529"")"),1200000)</f>
        <v>1200000</v>
      </c>
      <c r="J634" s="347">
        <f ca="1">IFERROR(__xludf.DUMMYFUNCTION("IMPORTRANGE(""https://docs.google.com/spreadsheets/d/1IYY_tgx_IHuhSq3AJ5eI5OnqOPBNLWSHKh2a30DoXe8/edit?usp=sharing"",""ตรัง!J529"")"),0)</f>
        <v>0</v>
      </c>
      <c r="K634" s="348">
        <f t="shared" ca="1" si="129"/>
        <v>0</v>
      </c>
      <c r="L634" s="348"/>
      <c r="M634" s="348"/>
      <c r="N634" s="348"/>
      <c r="O634" s="176"/>
      <c r="P634" s="176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IFERROR(__xludf.DUMMYFUNCTION("IMPORTRANGE(""https://docs.google.com/spreadsheets/d/1IYY_tgx_IHuhSq3AJ5eI5OnqOPBNLWSHKh2a30DoXe8/edit?usp=sharing"",""ตรัง!I530"")"),24)</f>
        <v>24</v>
      </c>
      <c r="J635" s="517">
        <f ca="1">IFERROR(__xludf.DUMMYFUNCTION("IMPORTRANGE(""https://docs.google.com/spreadsheets/d/1IYY_tgx_IHuhSq3AJ5eI5OnqOPBNLWSHKh2a30DoXe8/edit?usp=sharing"",""ตรัง!J530"")"),0)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4" sqref="G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4" width="17.81640625" bestFit="1" customWidth="1"/>
    <col min="15" max="15" width="18.81640625" customWidth="1"/>
    <col min="16" max="16" width="20.54296875" customWidth="1"/>
  </cols>
  <sheetData>
    <row r="1" spans="1:16" ht="18" customHeight="1" x14ac:dyDescent="0.35">
      <c r="A1" s="527" t="s">
        <v>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</row>
    <row r="2" spans="1:16" ht="18" customHeight="1" x14ac:dyDescent="0.35">
      <c r="A2" s="527" t="s">
        <v>244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</row>
    <row r="3" spans="1:16" ht="18" customHeight="1" x14ac:dyDescent="0.35">
      <c r="A3" s="527" t="s">
        <v>268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5" t="s">
        <v>2</v>
      </c>
      <c r="B5" s="536"/>
      <c r="C5" s="536"/>
      <c r="D5" s="536"/>
      <c r="E5" s="536"/>
      <c r="F5" s="536"/>
      <c r="G5" s="537"/>
      <c r="H5" s="528" t="s">
        <v>3</v>
      </c>
      <c r="I5" s="530" t="s">
        <v>4</v>
      </c>
      <c r="J5" s="531"/>
      <c r="K5" s="532"/>
      <c r="L5" s="533" t="s">
        <v>5</v>
      </c>
      <c r="M5" s="532"/>
      <c r="N5" s="534" t="s">
        <v>6</v>
      </c>
      <c r="O5" s="531"/>
      <c r="P5" s="532"/>
    </row>
    <row r="6" spans="1:16" ht="21.75" customHeight="1" x14ac:dyDescent="0.35">
      <c r="A6" s="538"/>
      <c r="B6" s="539"/>
      <c r="C6" s="539"/>
      <c r="D6" s="539"/>
      <c r="E6" s="539"/>
      <c r="F6" s="539"/>
      <c r="G6" s="540"/>
      <c r="H6" s="52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1" t="s">
        <v>15</v>
      </c>
      <c r="B7" s="531"/>
      <c r="C7" s="531"/>
      <c r="D7" s="531"/>
      <c r="E7" s="531"/>
      <c r="F7" s="531"/>
      <c r="G7" s="53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2" t="s">
        <v>17</v>
      </c>
      <c r="E8" s="543"/>
      <c r="F8" s="543"/>
      <c r="G8" s="543"/>
      <c r="H8" s="20" t="s">
        <v>12</v>
      </c>
      <c r="I8" s="21"/>
      <c r="J8" s="21"/>
      <c r="K8" s="22"/>
      <c r="L8" s="23">
        <f t="shared" ref="L8:N8" ca="1" si="0">L9+L10</f>
        <v>4385496</v>
      </c>
      <c r="M8" s="23">
        <f t="shared" ca="1" si="0"/>
        <v>1861659</v>
      </c>
      <c r="N8" s="23">
        <f t="shared" ca="1" si="0"/>
        <v>1785521.87</v>
      </c>
      <c r="O8" s="22">
        <f t="shared" ref="O8:O16" ca="1" si="1">IF(L8&gt;0,N8*100/L8,0)</f>
        <v>40.714251478054024</v>
      </c>
      <c r="P8" s="22">
        <f t="shared" ref="P8:P16" ca="1" si="2">IF(M8&gt;0,N8*100/M8,0)</f>
        <v>95.910253703820089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4385496</v>
      </c>
      <c r="M10" s="30">
        <f t="shared" ca="1" si="4"/>
        <v>1861659</v>
      </c>
      <c r="N10" s="30">
        <f t="shared" ca="1" si="4"/>
        <v>1785521.87</v>
      </c>
      <c r="O10" s="29">
        <f t="shared" ca="1" si="1"/>
        <v>40.714251478054024</v>
      </c>
      <c r="P10" s="29">
        <f t="shared" ca="1" si="2"/>
        <v>95.910253703820089</v>
      </c>
    </row>
    <row r="11" spans="1:16" ht="21.75" customHeight="1" x14ac:dyDescent="0.45">
      <c r="A11" s="31"/>
      <c r="B11" s="32"/>
      <c r="C11" s="33" t="s">
        <v>16</v>
      </c>
      <c r="D11" s="544" t="s">
        <v>20</v>
      </c>
      <c r="E11" s="545"/>
      <c r="F11" s="54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4187196</v>
      </c>
      <c r="M12" s="38">
        <f t="shared" ca="1" si="6"/>
        <v>1663359</v>
      </c>
      <c r="N12" s="38">
        <f t="shared" ca="1" si="6"/>
        <v>1587221.87</v>
      </c>
      <c r="O12" s="38">
        <f t="shared" ca="1" si="1"/>
        <v>37.906557753685284</v>
      </c>
      <c r="P12" s="38">
        <f t="shared" ca="1" si="2"/>
        <v>95.422688066737251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1872200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2314996</v>
      </c>
      <c r="M14" s="38">
        <f t="shared" si="8"/>
        <v>0</v>
      </c>
      <c r="N14" s="38">
        <f t="shared" ca="1" si="8"/>
        <v>246094.87</v>
      </c>
      <c r="O14" s="41">
        <f t="shared" ca="1" si="1"/>
        <v>10.630466316140502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44" t="s">
        <v>23</v>
      </c>
      <c r="E15" s="54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198300</v>
      </c>
      <c r="M16" s="38">
        <f t="shared" ca="1" si="10"/>
        <v>198300</v>
      </c>
      <c r="N16" s="38">
        <f t="shared" ca="1" si="10"/>
        <v>198300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1" t="s">
        <v>24</v>
      </c>
      <c r="B17" s="531"/>
      <c r="C17" s="531"/>
      <c r="D17" s="531"/>
      <c r="E17" s="531"/>
      <c r="F17" s="531"/>
      <c r="G17" s="53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2" t="s">
        <v>17</v>
      </c>
      <c r="E18" s="543"/>
      <c r="F18" s="543"/>
      <c r="G18" s="543"/>
      <c r="H18" s="20" t="s">
        <v>12</v>
      </c>
      <c r="I18" s="21"/>
      <c r="J18" s="21"/>
      <c r="K18" s="22"/>
      <c r="L18" s="23">
        <f t="shared" ref="L18:N18" ca="1" si="11">L19+L20</f>
        <v>3188065</v>
      </c>
      <c r="M18" s="23">
        <f t="shared" ca="1" si="11"/>
        <v>1861659</v>
      </c>
      <c r="N18" s="23">
        <f t="shared" ca="1" si="11"/>
        <v>1539427</v>
      </c>
      <c r="O18" s="22">
        <f t="shared" ref="O18:O20" ca="1" si="12">IF(L18&gt;0,N18*100/L18,0)</f>
        <v>48.287189878499966</v>
      </c>
      <c r="P18" s="22">
        <f t="shared" ref="P18:P26" ca="1" si="13">IF(M18&gt;0,N18*100/M18,0)</f>
        <v>82.691137313546676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3188065</v>
      </c>
      <c r="M20" s="30">
        <f t="shared" ca="1" si="15"/>
        <v>1861659</v>
      </c>
      <c r="N20" s="30">
        <f t="shared" ca="1" si="15"/>
        <v>1539427</v>
      </c>
      <c r="O20" s="29">
        <f t="shared" ca="1" si="12"/>
        <v>48.287189878499966</v>
      </c>
      <c r="P20" s="29">
        <f t="shared" ca="1" si="13"/>
        <v>82.691137313546676</v>
      </c>
    </row>
    <row r="21" spans="1:16" ht="21.75" customHeight="1" x14ac:dyDescent="0.45">
      <c r="A21" s="31"/>
      <c r="B21" s="32"/>
      <c r="C21" s="33" t="s">
        <v>16</v>
      </c>
      <c r="D21" s="544" t="s">
        <v>20</v>
      </c>
      <c r="E21" s="545"/>
      <c r="F21" s="54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2989765</v>
      </c>
      <c r="M22" s="42">
        <f t="shared" ca="1" si="18"/>
        <v>1663359</v>
      </c>
      <c r="N22" s="41">
        <f t="shared" ca="1" si="18"/>
        <v>1341127</v>
      </c>
      <c r="O22" s="41">
        <f t="shared" ca="1" si="17"/>
        <v>44.857271390895271</v>
      </c>
      <c r="P22" s="41">
        <f t="shared" ca="1" si="13"/>
        <v>80.627633601645826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1872200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1117565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44" t="s">
        <v>23</v>
      </c>
      <c r="E25" s="54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198300</v>
      </c>
      <c r="M26" s="50">
        <f t="shared" ca="1" si="22"/>
        <v>198300</v>
      </c>
      <c r="N26" s="50">
        <f t="shared" ca="1" si="22"/>
        <v>198300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1" t="s">
        <v>25</v>
      </c>
      <c r="B27" s="531"/>
      <c r="C27" s="531"/>
      <c r="D27" s="531"/>
      <c r="E27" s="531"/>
      <c r="F27" s="531"/>
      <c r="G27" s="53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2" t="s">
        <v>17</v>
      </c>
      <c r="E28" s="543"/>
      <c r="F28" s="543"/>
      <c r="G28" s="543"/>
      <c r="H28" s="20" t="s">
        <v>12</v>
      </c>
      <c r="I28" s="21"/>
      <c r="J28" s="21"/>
      <c r="K28" s="22"/>
      <c r="L28" s="23">
        <f t="shared" ref="L28:N28" ca="1" si="23">L29+L30</f>
        <v>1197431</v>
      </c>
      <c r="M28" s="23">
        <f t="shared" si="23"/>
        <v>0</v>
      </c>
      <c r="N28" s="23">
        <f t="shared" ca="1" si="23"/>
        <v>246094.87</v>
      </c>
      <c r="O28" s="22">
        <f t="shared" ref="O28:O30" ca="1" si="24">IF(L28&gt;0,N28*100/L28,0)</f>
        <v>20.551904034553974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1197431</v>
      </c>
      <c r="M30" s="30">
        <f t="shared" si="27"/>
        <v>0</v>
      </c>
      <c r="N30" s="30">
        <f t="shared" ca="1" si="27"/>
        <v>246094.87</v>
      </c>
      <c r="O30" s="29">
        <f t="shared" ca="1" si="24"/>
        <v>20.551904034553974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44" t="s">
        <v>20</v>
      </c>
      <c r="E31" s="545"/>
      <c r="F31" s="54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1197431</v>
      </c>
      <c r="M32" s="41">
        <f t="shared" si="30"/>
        <v>0</v>
      </c>
      <c r="N32" s="41">
        <f t="shared" ca="1" si="30"/>
        <v>246094.87</v>
      </c>
      <c r="O32" s="41">
        <f t="shared" ca="1" si="29"/>
        <v>20.551904034553974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1197431</v>
      </c>
      <c r="M34" s="41">
        <f t="shared" si="32"/>
        <v>0</v>
      </c>
      <c r="N34" s="41">
        <f t="shared" ca="1" si="32"/>
        <v>246094.87</v>
      </c>
      <c r="O34" s="41">
        <f t="shared" ca="1" si="29"/>
        <v>20.551904034553974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44" t="s">
        <v>23</v>
      </c>
      <c r="E35" s="54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3188065</v>
      </c>
      <c r="M37" s="55">
        <f t="shared" ca="1" si="33"/>
        <v>1861659</v>
      </c>
      <c r="N37" s="55">
        <f t="shared" ca="1" si="33"/>
        <v>1539427</v>
      </c>
      <c r="O37" s="56">
        <f t="shared" ca="1" si="29"/>
        <v>48.287189878499966</v>
      </c>
      <c r="P37" s="56">
        <f t="shared" ca="1" si="25"/>
        <v>82.691137313546676</v>
      </c>
    </row>
    <row r="38" spans="1:16" ht="21.75" customHeight="1" x14ac:dyDescent="0.45">
      <c r="A38" s="546" t="s">
        <v>27</v>
      </c>
      <c r="B38" s="531"/>
      <c r="C38" s="531"/>
      <c r="D38" s="531"/>
      <c r="E38" s="531"/>
      <c r="F38" s="531"/>
      <c r="G38" s="53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7" t="s">
        <v>28</v>
      </c>
      <c r="C39" s="543"/>
      <c r="D39" s="543"/>
      <c r="E39" s="543"/>
      <c r="F39" s="543"/>
      <c r="G39" s="54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48" t="s">
        <v>17</v>
      </c>
      <c r="E41" s="545"/>
      <c r="F41" s="545"/>
      <c r="G41" s="545"/>
      <c r="H41" s="76" t="s">
        <v>12</v>
      </c>
      <c r="I41" s="77"/>
      <c r="J41" s="77"/>
      <c r="K41" s="78"/>
      <c r="L41" s="79">
        <f t="shared" ref="L41:N41" ca="1" si="34">L42+L43</f>
        <v>747700</v>
      </c>
      <c r="M41" s="79">
        <f t="shared" ca="1" si="34"/>
        <v>373800</v>
      </c>
      <c r="N41" s="79">
        <f t="shared" ca="1" si="34"/>
        <v>354535</v>
      </c>
      <c r="O41" s="78">
        <f t="shared" ref="O41:O43" ca="1" si="35">IF(L41&gt;0,N41*100/L41,0)</f>
        <v>47.41674468369667</v>
      </c>
      <c r="P41" s="78">
        <f t="shared" ref="P41:P43" ca="1" si="36">IF(M41&gt;0,N41*100/M41,0)</f>
        <v>94.846174424826117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747700</v>
      </c>
      <c r="M43" s="79">
        <f t="shared" ca="1" si="38"/>
        <v>373800</v>
      </c>
      <c r="N43" s="79">
        <f t="shared" ca="1" si="38"/>
        <v>354535</v>
      </c>
      <c r="O43" s="78">
        <f t="shared" ca="1" si="35"/>
        <v>47.41674468369667</v>
      </c>
      <c r="P43" s="78">
        <f t="shared" ca="1" si="36"/>
        <v>94.846174424826117</v>
      </c>
    </row>
    <row r="44" spans="1:16" ht="21.75" customHeight="1" x14ac:dyDescent="0.45">
      <c r="A44" s="80"/>
      <c r="B44" s="81"/>
      <c r="C44" s="82" t="s">
        <v>16</v>
      </c>
      <c r="D44" s="549" t="s">
        <v>20</v>
      </c>
      <c r="E44" s="545"/>
      <c r="F44" s="54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747700</v>
      </c>
      <c r="M45" s="91">
        <f ca="1">IFERROR(__xludf.DUMMYFUNCTION("IMPORTRANGE(""https://docs.google.com/spreadsheets/d/1Yj_ptqi66GCucihVvJfMjLAmec39IyEx_6qawtMGysU/edit?usp=sharing"",""สบก!Q84"")"),373800)</f>
        <v>373800</v>
      </c>
      <c r="N45" s="91">
        <f ca="1">IFERROR(__xludf.DUMMYFUNCTION("IMPORTRANGE(""https://docs.google.com/spreadsheets/d/1Yj_ptqi66GCucihVvJfMjLAmec39IyEx_6qawtMGysU/edit?usp=sharing"",""สบก!R84"")"),354535)</f>
        <v>354535</v>
      </c>
      <c r="O45" s="92">
        <f ca="1">IF(L45&gt;0,N45*100/L45,0)</f>
        <v>47.41674468369667</v>
      </c>
      <c r="P45" s="92">
        <f ca="1">IF(M45&gt;0,N45*100/M45,0)</f>
        <v>94.846174424826117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IFERROR(__xludf.DUMMYFUNCTION("IMPORTRANGE(""https://docs.google.com/spreadsheets/d/1Yj_ptqi66GCucihVvJfMjLAmec39IyEx_6qawtMGysU/edit?usp=sharing"",""สบก!M84"")"),747700)</f>
        <v>747700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IFERROR(__xludf.DUMMYFUNCTION("IMPORTRANGE(""https://docs.google.com/spreadsheets/d/1Yj_ptqi66GCucihVvJfMjLAmec39IyEx_6qawtMGysU/edit?usp=sharing"",""สบก!N84"")"),0)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49" t="s">
        <v>23</v>
      </c>
      <c r="E48" s="54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IFERROR(__xludf.DUMMYFUNCTION("IMPORTRANGE(""https://docs.google.com/spreadsheets/d/1Yj_ptqi66GCucihVvJfMjLAmec39IyEx_6qawtMGysU/edit?usp=sharing"",""สบก!O84"")"),0)</f>
        <v>0</v>
      </c>
      <c r="M49" s="101"/>
      <c r="N49" s="91">
        <f ca="1">IFERROR(__xludf.DUMMYFUNCTION("IMPORTRANGE(""https://docs.google.com/spreadsheets/d/1Yj_ptqi66GCucihVvJfMjLAmec39IyEx_6qawtMGysU/edit?usp=sharing"",""สบก!S84"")"),0)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0" t="s">
        <v>32</v>
      </c>
      <c r="C52" s="545"/>
      <c r="D52" s="545"/>
      <c r="E52" s="545"/>
      <c r="F52" s="545"/>
      <c r="G52" s="54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1" t="s">
        <v>17</v>
      </c>
      <c r="E53" s="545"/>
      <c r="F53" s="545"/>
      <c r="G53" s="545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314934</v>
      </c>
      <c r="N53" s="125">
        <f t="shared" ca="1" si="39"/>
        <v>279164</v>
      </c>
      <c r="O53" s="124">
        <f t="shared" ref="O53:O55" ca="1" si="40">IF(L53&gt;0,N53*100/L53,0)</f>
        <v>46.527333333333331</v>
      </c>
      <c r="P53" s="124">
        <f t="shared" ref="P53:P55" ca="1" si="41">IF(M53&gt;0,N53*100/M53,0)</f>
        <v>88.642064686569256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314934</v>
      </c>
      <c r="N55" s="125">
        <f t="shared" ca="1" si="43"/>
        <v>279164</v>
      </c>
      <c r="O55" s="124">
        <f t="shared" ca="1" si="40"/>
        <v>46.527333333333331</v>
      </c>
      <c r="P55" s="124">
        <f t="shared" ca="1" si="41"/>
        <v>88.642064686569256</v>
      </c>
    </row>
    <row r="56" spans="1:16" ht="21.75" customHeight="1" x14ac:dyDescent="0.45">
      <c r="A56" s="80"/>
      <c r="B56" s="81"/>
      <c r="C56" s="82" t="s">
        <v>16</v>
      </c>
      <c r="D56" s="549" t="s">
        <v>20</v>
      </c>
      <c r="E56" s="545"/>
      <c r="F56" s="54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600000</v>
      </c>
      <c r="M57" s="91">
        <f ca="1">IFERROR(__xludf.DUMMYFUNCTION("IMPORTRANGE(""https://docs.google.com/spreadsheets/d/1Yj_ptqi66GCucihVvJfMjLAmec39IyEx_6qawtMGysU/edit?usp=sharing"",""สบก!Z84"")"),314934)</f>
        <v>314934</v>
      </c>
      <c r="N57" s="91">
        <f ca="1">IFERROR(__xludf.DUMMYFUNCTION("IMPORTRANGE(""https://docs.google.com/spreadsheets/d/1Yj_ptqi66GCucihVvJfMjLAmec39IyEx_6qawtMGysU/edit?usp=sharing"",""สบก!AA84"")"),279164)</f>
        <v>279164</v>
      </c>
      <c r="O57" s="92">
        <f ca="1">IF(L57&gt;0,N57*100/L57,0)</f>
        <v>46.527333333333331</v>
      </c>
      <c r="P57" s="92">
        <f ca="1">IF(M57&gt;0,N57*100/M57,0)</f>
        <v>88.642064686569256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IFERROR(__xludf.DUMMYFUNCTION("IMPORTRANGE(""https://docs.google.com/spreadsheets/d/1Yj_ptqi66GCucihVvJfMjLAmec39IyEx_6qawtMGysU/edit?usp=sharing"",""สบก!V84"")"),600000)</f>
        <v>600000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IFERROR(__xludf.DUMMYFUNCTION("IMPORTRANGE(""https://docs.google.com/spreadsheets/d/1Yj_ptqi66GCucihVvJfMjLAmec39IyEx_6qawtMGysU/edit?usp=sharing"",""สบก!W84"")"),0)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49" t="s">
        <v>23</v>
      </c>
      <c r="E60" s="54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IFERROR(__xludf.DUMMYFUNCTION("IMPORTRANGE(""https://docs.google.com/spreadsheets/d/1Yj_ptqi66GCucihVvJfMjLAmec39IyEx_6qawtMGysU/edit?usp=sharing"",""สบก!X84"")"),0)</f>
        <v>0</v>
      </c>
      <c r="M61" s="101"/>
      <c r="N61" s="91">
        <f ca="1">IFERROR(__xludf.DUMMYFUNCTION("IMPORTRANGE(""https://docs.google.com/spreadsheets/d/1Yj_ptqi66GCucihVvJfMjLAmec39IyEx_6qawtMGysU/edit?usp=sharing"",""สบก!AB84"")"),0)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IFERROR(__xludf.DUMMYFUNCTION("IMPORTRANGE(""https://docs.google.com/spreadsheets/d/1IYY_tgx_IHuhSq3AJ5eI5OnqOPBNLWSHKh2a30DoXe8/edit?usp=sharing"",""นครศรีธรรมราช!I9"")"),0)</f>
        <v>0</v>
      </c>
      <c r="J64" s="146">
        <f ca="1">IFERROR(__xludf.DUMMYFUNCTION("IMPORTRANGE(""https://docs.google.com/spreadsheets/d/1IYY_tgx_IHuhSq3AJ5eI5OnqOPBNLWSHKh2a30DoXe8/edit?usp=sharing"",""นครศรีธรรมราช!J9"")"),0)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IFERROR(__xludf.DUMMYFUNCTION("IMPORTRANGE(""https://docs.google.com/spreadsheets/d/1IYY_tgx_IHuhSq3AJ5eI5OnqOPBNLWSHKh2a30DoXe8/edit?usp=sharing"",""นครศรีธรรมราช!I10"")"),0)</f>
        <v>0</v>
      </c>
      <c r="J65" s="146">
        <f ca="1">IFERROR(__xludf.DUMMYFUNCTION("IMPORTRANGE(""https://docs.google.com/spreadsheets/d/1IYY_tgx_IHuhSq3AJ5eI5OnqOPBNLWSHKh2a30DoXe8/edit?usp=sharing"",""นครศรีธรรมราช!J10"")"),0)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52" t="s">
        <v>17</v>
      </c>
      <c r="E66" s="543"/>
      <c r="F66" s="543"/>
      <c r="G66" s="54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5">
      <c r="A69" s="162"/>
      <c r="B69" s="163"/>
      <c r="C69" s="163" t="s">
        <v>16</v>
      </c>
      <c r="D69" s="164" t="s">
        <v>38</v>
      </c>
      <c r="E69" s="165"/>
      <c r="F69" s="165"/>
      <c r="G69" s="166" t="s">
        <v>39</v>
      </c>
      <c r="H69" s="167" t="s">
        <v>12</v>
      </c>
      <c r="I69" s="168" t="s">
        <v>40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 x14ac:dyDescent="0.35">
      <c r="A70" s="162"/>
      <c r="B70" s="163"/>
      <c r="C70" s="163"/>
      <c r="D70" s="172"/>
      <c r="E70" s="165"/>
      <c r="F70" s="165" t="s">
        <v>40</v>
      </c>
      <c r="G70" s="166" t="s">
        <v>41</v>
      </c>
      <c r="H70" s="167" t="s">
        <v>12</v>
      </c>
      <c r="I70" s="168"/>
      <c r="J70" s="168"/>
      <c r="K70" s="169"/>
      <c r="L70" s="173">
        <f ca="1">L71+L72</f>
        <v>0</v>
      </c>
      <c r="M70" s="174">
        <f ca="1">IFERROR(__xludf.DUMMYFUNCTION("IMPORTRANGE(""https://docs.google.com/spreadsheets/d/1Yj_ptqi66GCucihVvJfMjLAmec39IyEx_6qawtMGysU/edit?usp=sharing"",""สบก!AI84"")"),0)</f>
        <v>0</v>
      </c>
      <c r="N70" s="175">
        <f ca="1">IFERROR(__xludf.DUMMYFUNCTION("IMPORTRANGE(""https://docs.google.com/spreadsheets/d/1Yj_ptqi66GCucihVvJfMjLAmec39IyEx_6qawtMGysU/edit?usp=sharing"",""สบก!AJ84"")"),0)</f>
        <v>0</v>
      </c>
      <c r="O70" s="176">
        <f ca="1">IF(L70&gt;0,N70*100/L70,0)</f>
        <v>0</v>
      </c>
      <c r="P70" s="176">
        <f ca="1">IF(M70&gt;0,N70*100/M70,0)</f>
        <v>0</v>
      </c>
    </row>
    <row r="71" spans="1:16" ht="21.75" customHeight="1" x14ac:dyDescent="0.35">
      <c r="A71" s="162"/>
      <c r="B71" s="163"/>
      <c r="C71" s="163"/>
      <c r="D71" s="172"/>
      <c r="E71" s="165"/>
      <c r="F71" s="165"/>
      <c r="G71" s="177" t="s">
        <v>42</v>
      </c>
      <c r="H71" s="167" t="s">
        <v>12</v>
      </c>
      <c r="I71" s="168"/>
      <c r="J71" s="168"/>
      <c r="K71" s="169"/>
      <c r="L71" s="174">
        <f ca="1">IFERROR(__xludf.DUMMYFUNCTION("IMPORTRANGE(""https://docs.google.com/spreadsheets/d/1Yj_ptqi66GCucihVvJfMjLAmec39IyEx_6qawtMGysU/edit?usp=sharing"",""สบก!AE84"")"),0)</f>
        <v>0</v>
      </c>
      <c r="M71" s="173"/>
      <c r="N71" s="173"/>
      <c r="O71" s="176"/>
      <c r="P71" s="176"/>
    </row>
    <row r="72" spans="1:16" ht="21.75" customHeight="1" x14ac:dyDescent="0.35">
      <c r="A72" s="162"/>
      <c r="B72" s="163"/>
      <c r="C72" s="163"/>
      <c r="D72" s="172"/>
      <c r="E72" s="165"/>
      <c r="F72" s="165"/>
      <c r="G72" s="177" t="s">
        <v>43</v>
      </c>
      <c r="H72" s="167" t="s">
        <v>12</v>
      </c>
      <c r="I72" s="168"/>
      <c r="J72" s="168"/>
      <c r="K72" s="169"/>
      <c r="L72" s="174">
        <f ca="1">IFERROR(__xludf.DUMMYFUNCTION("IMPORTRANGE(""https://docs.google.com/spreadsheets/d/1Yj_ptqi66GCucihVvJfMjLAmec39IyEx_6qawtMGysU/edit?usp=sharing"",""สบก!AF84"")"),0)</f>
        <v>0</v>
      </c>
      <c r="M72" s="173"/>
      <c r="N72" s="173"/>
      <c r="O72" s="176"/>
      <c r="P72" s="176"/>
    </row>
    <row r="73" spans="1:16" ht="21.75" customHeight="1" x14ac:dyDescent="0.45">
      <c r="A73" s="178"/>
      <c r="B73" s="81"/>
      <c r="C73" s="82" t="s">
        <v>16</v>
      </c>
      <c r="D73" s="549" t="s">
        <v>23</v>
      </c>
      <c r="E73" s="545"/>
      <c r="F73" s="89"/>
      <c r="G73" s="83" t="s">
        <v>18</v>
      </c>
      <c r="H73" s="179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80"/>
      <c r="B74" s="95"/>
      <c r="C74" s="95"/>
      <c r="D74" s="181"/>
      <c r="E74" s="96"/>
      <c r="F74" s="96"/>
      <c r="G74" s="97" t="s">
        <v>19</v>
      </c>
      <c r="H74" s="182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IFERROR(__xludf.DUMMYFUNCTION("IMPORTRANGE(""https://docs.google.com/spreadsheets/d/1Yj_ptqi66GCucihVvJfMjLAmec39IyEx_6qawtMGysU/edit?usp=sharing"",""สบก!AG84"")"),0)</f>
        <v>0</v>
      </c>
      <c r="M74" s="101"/>
      <c r="N74" s="91">
        <f ca="1">IFERROR(__xludf.DUMMYFUNCTION("IMPORTRANGE(""https://docs.google.com/spreadsheets/d/1Yj_ptqi66GCucihVvJfMjLAmec39IyEx_6qawtMGysU/edit?usp=sharing"",""สบก!AK84"")"),0)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3"/>
      <c r="B75" s="184"/>
      <c r="C75" s="163" t="s">
        <v>16</v>
      </c>
      <c r="D75" s="185" t="s">
        <v>44</v>
      </c>
      <c r="E75" s="186"/>
      <c r="F75" s="186"/>
      <c r="G75" s="187"/>
      <c r="H75" s="188"/>
      <c r="I75" s="168"/>
      <c r="J75" s="168"/>
      <c r="K75" s="169"/>
      <c r="L75" s="189"/>
      <c r="M75" s="189"/>
      <c r="N75" s="189"/>
      <c r="O75" s="189"/>
      <c r="P75" s="189"/>
    </row>
    <row r="76" spans="1:16" ht="21.75" customHeight="1" x14ac:dyDescent="0.35">
      <c r="A76" s="183"/>
      <c r="B76" s="184"/>
      <c r="C76" s="184"/>
      <c r="D76" s="190">
        <v>1</v>
      </c>
      <c r="E76" s="191" t="s">
        <v>45</v>
      </c>
      <c r="F76" s="192"/>
      <c r="G76" s="193"/>
      <c r="H76" s="194"/>
      <c r="I76" s="195"/>
      <c r="J76" s="196">
        <f ca="1">IFERROR(__xludf.DUMMYFUNCTION("IMPORTRANGE(""https://docs.google.com/spreadsheets/d/1IYY_tgx_IHuhSq3AJ5eI5OnqOPBNLWSHKh2a30DoXe8/edit?usp=sharing"",""นครศรีธรรมราช!J16"")"),0)</f>
        <v>0</v>
      </c>
      <c r="K76" s="169"/>
      <c r="L76" s="189"/>
      <c r="M76" s="189"/>
      <c r="N76" s="189"/>
      <c r="O76" s="189"/>
      <c r="P76" s="189"/>
    </row>
    <row r="77" spans="1:16" ht="21.75" customHeight="1" x14ac:dyDescent="0.35">
      <c r="A77" s="183"/>
      <c r="B77" s="184"/>
      <c r="C77" s="184"/>
      <c r="D77" s="197">
        <v>2</v>
      </c>
      <c r="E77" s="198" t="s">
        <v>46</v>
      </c>
      <c r="F77" s="199"/>
      <c r="G77" s="200"/>
      <c r="H77" s="194"/>
      <c r="I77" s="195"/>
      <c r="J77" s="196">
        <f ca="1">IFERROR(__xludf.DUMMYFUNCTION("IMPORTRANGE(""https://docs.google.com/spreadsheets/d/1IYY_tgx_IHuhSq3AJ5eI5OnqOPBNLWSHKh2a30DoXe8/edit?usp=sharing"",""นครศรีธรรมราช!J17"")"),0)</f>
        <v>0</v>
      </c>
      <c r="K77" s="169"/>
      <c r="L77" s="189" t="s">
        <v>40</v>
      </c>
      <c r="M77" s="189"/>
      <c r="N77" s="189" t="s">
        <v>40</v>
      </c>
      <c r="O77" s="189"/>
      <c r="P77" s="189"/>
    </row>
    <row r="78" spans="1:16" ht="21.75" customHeight="1" x14ac:dyDescent="0.35">
      <c r="A78" s="183"/>
      <c r="B78" s="184"/>
      <c r="C78" s="184"/>
      <c r="D78" s="201"/>
      <c r="E78" s="202" t="s">
        <v>47</v>
      </c>
      <c r="F78" s="203"/>
      <c r="G78" s="204"/>
      <c r="H78" s="194"/>
      <c r="I78" s="195"/>
      <c r="J78" s="196">
        <f ca="1">IFERROR(__xludf.DUMMYFUNCTION("IMPORTRANGE(""https://docs.google.com/spreadsheets/d/1IYY_tgx_IHuhSq3AJ5eI5OnqOPBNLWSHKh2a30DoXe8/edit?usp=sharing"",""นครศรีธรรมราช!J18"")"),0)</f>
        <v>0</v>
      </c>
      <c r="K78" s="169"/>
      <c r="L78" s="189"/>
      <c r="M78" s="189"/>
      <c r="N78" s="189"/>
      <c r="O78" s="189"/>
      <c r="P78" s="189"/>
    </row>
    <row r="79" spans="1:16" ht="21.75" customHeight="1" x14ac:dyDescent="0.35">
      <c r="A79" s="183"/>
      <c r="B79" s="184"/>
      <c r="C79" s="184"/>
      <c r="D79" s="201"/>
      <c r="E79" s="202" t="s">
        <v>48</v>
      </c>
      <c r="F79" s="203"/>
      <c r="G79" s="204"/>
      <c r="H79" s="194"/>
      <c r="I79" s="195"/>
      <c r="J79" s="205">
        <f ca="1">IFERROR(__xludf.DUMMYFUNCTION("IMPORTRANGE(""https://docs.google.com/spreadsheets/d/1IYY_tgx_IHuhSq3AJ5eI5OnqOPBNLWSHKh2a30DoXe8/edit?usp=sharing"",""นครศรีธรรมราช!J19"")"),0)</f>
        <v>0</v>
      </c>
      <c r="K79" s="169"/>
      <c r="L79" s="189"/>
      <c r="M79" s="189"/>
      <c r="N79" s="189"/>
      <c r="O79" s="189"/>
      <c r="P79" s="189"/>
    </row>
    <row r="80" spans="1:16" ht="21.75" customHeight="1" x14ac:dyDescent="0.35">
      <c r="A80" s="183"/>
      <c r="B80" s="184"/>
      <c r="C80" s="184"/>
      <c r="D80" s="201"/>
      <c r="E80" s="206"/>
      <c r="F80" s="202" t="s">
        <v>49</v>
      </c>
      <c r="G80" s="203"/>
      <c r="H80" s="207" t="s">
        <v>36</v>
      </c>
      <c r="I80" s="208">
        <f ca="1">IFERROR(__xludf.DUMMYFUNCTION("IMPORTRANGE(""https://docs.google.com/spreadsheets/d/1IYY_tgx_IHuhSq3AJ5eI5OnqOPBNLWSHKh2a30DoXe8/edit?usp=sharing"",""นครศรีธรรมราช!I20"")"),0)</f>
        <v>0</v>
      </c>
      <c r="J80" s="208">
        <f ca="1">IFERROR(__xludf.DUMMYFUNCTION("IMPORTRANGE(""https://docs.google.com/spreadsheets/d/1IYY_tgx_IHuhSq3AJ5eI5OnqOPBNLWSHKh2a30DoXe8/edit?usp=sharing"",""นครศรีธรรมราช!J20"")"),0)</f>
        <v>0</v>
      </c>
      <c r="K80" s="209">
        <f t="shared" ref="K80:K88" ca="1" si="50">IF(I80&gt;0,J80*100/I80,0)</f>
        <v>0</v>
      </c>
      <c r="L80" s="189"/>
      <c r="M80" s="189"/>
      <c r="N80" s="189"/>
      <c r="O80" s="189"/>
      <c r="P80" s="189"/>
    </row>
    <row r="81" spans="1:16" ht="21.75" customHeight="1" x14ac:dyDescent="0.35">
      <c r="A81" s="183"/>
      <c r="B81" s="184"/>
      <c r="C81" s="184"/>
      <c r="D81" s="201"/>
      <c r="E81" s="206"/>
      <c r="F81" s="203"/>
      <c r="G81" s="204"/>
      <c r="H81" s="207" t="s">
        <v>37</v>
      </c>
      <c r="I81" s="208">
        <f ca="1">IFERROR(__xludf.DUMMYFUNCTION("IMPORTRANGE(""https://docs.google.com/spreadsheets/d/1IYY_tgx_IHuhSq3AJ5eI5OnqOPBNLWSHKh2a30DoXe8/edit?usp=sharing"",""นครศรีธรรมราช!I21"")"),0)</f>
        <v>0</v>
      </c>
      <c r="J81" s="208">
        <f ca="1">IFERROR(__xludf.DUMMYFUNCTION("IMPORTRANGE(""https://docs.google.com/spreadsheets/d/1IYY_tgx_IHuhSq3AJ5eI5OnqOPBNLWSHKh2a30DoXe8/edit?usp=sharing"",""นครศรีธรรมราช!J21"")"),0)</f>
        <v>0</v>
      </c>
      <c r="K81" s="209">
        <f t="shared" ca="1" si="50"/>
        <v>0</v>
      </c>
      <c r="L81" s="189"/>
      <c r="M81" s="189"/>
      <c r="N81" s="189"/>
      <c r="O81" s="189"/>
      <c r="P81" s="189"/>
    </row>
    <row r="82" spans="1:16" ht="21.75" customHeight="1" x14ac:dyDescent="0.35">
      <c r="A82" s="183"/>
      <c r="B82" s="184"/>
      <c r="C82" s="184"/>
      <c r="D82" s="201"/>
      <c r="E82" s="206"/>
      <c r="F82" s="203"/>
      <c r="G82" s="203" t="s">
        <v>50</v>
      </c>
      <c r="H82" s="188" t="s">
        <v>36</v>
      </c>
      <c r="I82" s="210">
        <f ca="1">IFERROR(__xludf.DUMMYFUNCTION("IMPORTRANGE(""https://docs.google.com/spreadsheets/d/1IYY_tgx_IHuhSq3AJ5eI5OnqOPBNLWSHKh2a30DoXe8/edit?usp=sharing"",""นครศรีธรรมราช!I22"")"),0)</f>
        <v>0</v>
      </c>
      <c r="J82" s="211">
        <f ca="1">IFERROR(__xludf.DUMMYFUNCTION("IMPORTRANGE(""https://docs.google.com/spreadsheets/d/1IYY_tgx_IHuhSq3AJ5eI5OnqOPBNLWSHKh2a30DoXe8/edit?usp=sharing"",""นครศรีธรรมราช!J22"")"),0)</f>
        <v>0</v>
      </c>
      <c r="K82" s="169">
        <f t="shared" ca="1" si="50"/>
        <v>0</v>
      </c>
      <c r="L82" s="189"/>
      <c r="M82" s="189"/>
      <c r="N82" s="189"/>
      <c r="O82" s="189"/>
      <c r="P82" s="189"/>
    </row>
    <row r="83" spans="1:16" ht="21.75" customHeight="1" x14ac:dyDescent="0.35">
      <c r="A83" s="183"/>
      <c r="B83" s="184"/>
      <c r="C83" s="184"/>
      <c r="D83" s="201"/>
      <c r="E83" s="206"/>
      <c r="F83" s="203"/>
      <c r="G83" s="204"/>
      <c r="H83" s="188" t="s">
        <v>37</v>
      </c>
      <c r="I83" s="210">
        <f ca="1">IFERROR(__xludf.DUMMYFUNCTION("IMPORTRANGE(""https://docs.google.com/spreadsheets/d/1IYY_tgx_IHuhSq3AJ5eI5OnqOPBNLWSHKh2a30DoXe8/edit?usp=sharing"",""นครศรีธรรมราช!I23"")"),0)</f>
        <v>0</v>
      </c>
      <c r="J83" s="211">
        <f ca="1">IFERROR(__xludf.DUMMYFUNCTION("IMPORTRANGE(""https://docs.google.com/spreadsheets/d/1IYY_tgx_IHuhSq3AJ5eI5OnqOPBNLWSHKh2a30DoXe8/edit?usp=sharing"",""นครศรีธรรมราช!J23"")"),0)</f>
        <v>0</v>
      </c>
      <c r="K83" s="169">
        <f t="shared" ca="1" si="50"/>
        <v>0</v>
      </c>
      <c r="L83" s="189"/>
      <c r="M83" s="189"/>
      <c r="N83" s="189"/>
      <c r="O83" s="189"/>
      <c r="P83" s="189"/>
    </row>
    <row r="84" spans="1:16" ht="21.75" customHeight="1" x14ac:dyDescent="0.35">
      <c r="A84" s="183"/>
      <c r="B84" s="184"/>
      <c r="C84" s="184"/>
      <c r="D84" s="201"/>
      <c r="E84" s="206"/>
      <c r="F84" s="203"/>
      <c r="G84" s="203" t="s">
        <v>51</v>
      </c>
      <c r="H84" s="188" t="s">
        <v>36</v>
      </c>
      <c r="I84" s="210">
        <f ca="1">IFERROR(__xludf.DUMMYFUNCTION("IMPORTRANGE(""https://docs.google.com/spreadsheets/d/1IYY_tgx_IHuhSq3AJ5eI5OnqOPBNLWSHKh2a30DoXe8/edit?usp=sharing"",""นครศรีธรรมราช!I24"")"),0)</f>
        <v>0</v>
      </c>
      <c r="J84" s="196">
        <f ca="1">IFERROR(__xludf.DUMMYFUNCTION("IMPORTRANGE(""https://docs.google.com/spreadsheets/d/1IYY_tgx_IHuhSq3AJ5eI5OnqOPBNLWSHKh2a30DoXe8/edit?usp=sharing"",""นครศรีธรรมราช!J24"")"),0)</f>
        <v>0</v>
      </c>
      <c r="K84" s="169">
        <f t="shared" ca="1" si="50"/>
        <v>0</v>
      </c>
      <c r="L84" s="189"/>
      <c r="M84" s="189"/>
      <c r="N84" s="189"/>
      <c r="O84" s="189"/>
      <c r="P84" s="189"/>
    </row>
    <row r="85" spans="1:16" ht="21.75" customHeight="1" x14ac:dyDescent="0.35">
      <c r="A85" s="183"/>
      <c r="B85" s="184"/>
      <c r="C85" s="184"/>
      <c r="D85" s="201"/>
      <c r="E85" s="206"/>
      <c r="F85" s="203"/>
      <c r="G85" s="204"/>
      <c r="H85" s="188" t="s">
        <v>37</v>
      </c>
      <c r="I85" s="210">
        <f ca="1">IFERROR(__xludf.DUMMYFUNCTION("IMPORTRANGE(""https://docs.google.com/spreadsheets/d/1IYY_tgx_IHuhSq3AJ5eI5OnqOPBNLWSHKh2a30DoXe8/edit?usp=sharing"",""นครศรีธรรมราช!I25"")"),0)</f>
        <v>0</v>
      </c>
      <c r="J85" s="196">
        <f ca="1">IFERROR(__xludf.DUMMYFUNCTION("IMPORTRANGE(""https://docs.google.com/spreadsheets/d/1IYY_tgx_IHuhSq3AJ5eI5OnqOPBNLWSHKh2a30DoXe8/edit?usp=sharing"",""นครศรีธรรมราช!J25"")"),0)</f>
        <v>0</v>
      </c>
      <c r="K85" s="169">
        <f t="shared" ca="1" si="50"/>
        <v>0</v>
      </c>
      <c r="L85" s="189"/>
      <c r="M85" s="189"/>
      <c r="N85" s="189"/>
      <c r="O85" s="189"/>
      <c r="P85" s="189"/>
    </row>
    <row r="86" spans="1:16" ht="21.75" customHeight="1" x14ac:dyDescent="0.35">
      <c r="A86" s="183"/>
      <c r="B86" s="184"/>
      <c r="C86" s="184"/>
      <c r="D86" s="201"/>
      <c r="E86" s="206"/>
      <c r="F86" s="203"/>
      <c r="G86" s="203" t="s">
        <v>52</v>
      </c>
      <c r="H86" s="188" t="s">
        <v>36</v>
      </c>
      <c r="I86" s="210">
        <f ca="1">IFERROR(__xludf.DUMMYFUNCTION("IMPORTRANGE(""https://docs.google.com/spreadsheets/d/1IYY_tgx_IHuhSq3AJ5eI5OnqOPBNLWSHKh2a30DoXe8/edit?usp=sharing"",""นครศรีธรรมราช!I26"")"),0)</f>
        <v>0</v>
      </c>
      <c r="J86" s="211">
        <f ca="1">IFERROR(__xludf.DUMMYFUNCTION("IMPORTRANGE(""https://docs.google.com/spreadsheets/d/1IYY_tgx_IHuhSq3AJ5eI5OnqOPBNLWSHKh2a30DoXe8/edit?usp=sharing"",""นครศรีธรรมราช!J26"")"),0)</f>
        <v>0</v>
      </c>
      <c r="K86" s="169">
        <f t="shared" ca="1" si="50"/>
        <v>0</v>
      </c>
      <c r="L86" s="189"/>
      <c r="M86" s="189"/>
      <c r="N86" s="189"/>
      <c r="O86" s="189"/>
      <c r="P86" s="189"/>
    </row>
    <row r="87" spans="1:16" ht="21.75" customHeight="1" x14ac:dyDescent="0.35">
      <c r="A87" s="183"/>
      <c r="B87" s="184"/>
      <c r="C87" s="184"/>
      <c r="D87" s="201"/>
      <c r="E87" s="206"/>
      <c r="F87" s="203"/>
      <c r="G87" s="204"/>
      <c r="H87" s="188" t="s">
        <v>37</v>
      </c>
      <c r="I87" s="210">
        <f ca="1">IFERROR(__xludf.DUMMYFUNCTION("IMPORTRANGE(""https://docs.google.com/spreadsheets/d/1IYY_tgx_IHuhSq3AJ5eI5OnqOPBNLWSHKh2a30DoXe8/edit?usp=sharing"",""นครศรีธรรมราช!I27"")"),0)</f>
        <v>0</v>
      </c>
      <c r="J87" s="211">
        <f ca="1">IFERROR(__xludf.DUMMYFUNCTION("IMPORTRANGE(""https://docs.google.com/spreadsheets/d/1IYY_tgx_IHuhSq3AJ5eI5OnqOPBNLWSHKh2a30DoXe8/edit?usp=sharing"",""นครศรีธรรมราช!J27"")"),0)</f>
        <v>0</v>
      </c>
      <c r="K87" s="169">
        <f t="shared" ca="1" si="50"/>
        <v>0</v>
      </c>
      <c r="L87" s="189"/>
      <c r="M87" s="189"/>
      <c r="N87" s="189"/>
      <c r="O87" s="189"/>
      <c r="P87" s="189"/>
    </row>
    <row r="88" spans="1:16" ht="21.75" customHeight="1" x14ac:dyDescent="0.35">
      <c r="A88" s="183"/>
      <c r="B88" s="184"/>
      <c r="C88" s="184"/>
      <c r="D88" s="201"/>
      <c r="E88" s="206"/>
      <c r="F88" s="212" t="s">
        <v>53</v>
      </c>
      <c r="G88" s="203"/>
      <c r="H88" s="188" t="s">
        <v>37</v>
      </c>
      <c r="I88" s="210">
        <f ca="1">IFERROR(__xludf.DUMMYFUNCTION("IMPORTRANGE(""https://docs.google.com/spreadsheets/d/1IYY_tgx_IHuhSq3AJ5eI5OnqOPBNLWSHKh2a30DoXe8/edit?usp=sharing"",""นครศรีธรรมราช!I28"")"),0)</f>
        <v>0</v>
      </c>
      <c r="J88" s="211">
        <f ca="1">IFERROR(__xludf.DUMMYFUNCTION("IMPORTRANGE(""https://docs.google.com/spreadsheets/d/1IYY_tgx_IHuhSq3AJ5eI5OnqOPBNLWSHKh2a30DoXe8/edit?usp=sharing"",""นครศรีธรรมราช!J28"")"),0)</f>
        <v>0</v>
      </c>
      <c r="K88" s="169">
        <f t="shared" ca="1" si="50"/>
        <v>0</v>
      </c>
      <c r="L88" s="189"/>
      <c r="M88" s="189"/>
      <c r="N88" s="189"/>
      <c r="O88" s="189"/>
      <c r="P88" s="189"/>
    </row>
    <row r="89" spans="1:16" ht="21.75" customHeight="1" x14ac:dyDescent="0.35">
      <c r="A89" s="183"/>
      <c r="B89" s="184"/>
      <c r="C89" s="184"/>
      <c r="D89" s="201"/>
      <c r="E89" s="202" t="s">
        <v>54</v>
      </c>
      <c r="F89" s="203"/>
      <c r="G89" s="204"/>
      <c r="H89" s="194"/>
      <c r="I89" s="195"/>
      <c r="J89" s="205">
        <f ca="1">IFERROR(__xludf.DUMMYFUNCTION("IMPORTRANGE(""https://docs.google.com/spreadsheets/d/1IYY_tgx_IHuhSq3AJ5eI5OnqOPBNLWSHKh2a30DoXe8/edit?usp=sharing"",""นครศรีธรรมราช!J29"")"),0)</f>
        <v>0</v>
      </c>
      <c r="K89" s="169"/>
      <c r="L89" s="189"/>
      <c r="M89" s="189"/>
      <c r="N89" s="189"/>
      <c r="O89" s="189"/>
      <c r="P89" s="189"/>
    </row>
    <row r="90" spans="1:16" ht="21.75" customHeight="1" x14ac:dyDescent="0.35">
      <c r="A90" s="183"/>
      <c r="B90" s="184"/>
      <c r="C90" s="184"/>
      <c r="D90" s="213">
        <v>3</v>
      </c>
      <c r="E90" s="214" t="s">
        <v>55</v>
      </c>
      <c r="F90" s="215"/>
      <c r="G90" s="216"/>
      <c r="H90" s="194"/>
      <c r="I90" s="195"/>
      <c r="J90" s="217">
        <f ca="1">IFERROR(__xludf.DUMMYFUNCTION("IMPORTRANGE(""https://docs.google.com/spreadsheets/d/1IYY_tgx_IHuhSq3AJ5eI5OnqOPBNLWSHKh2a30DoXe8/edit?usp=sharing"",""นครศรีธรรมราช!J30"")"),0)</f>
        <v>0</v>
      </c>
      <c r="K90" s="169"/>
      <c r="L90" s="189"/>
      <c r="M90" s="189"/>
      <c r="N90" s="189"/>
      <c r="O90" s="189"/>
      <c r="P90" s="189"/>
    </row>
    <row r="91" spans="1:16" ht="21.75" customHeight="1" x14ac:dyDescent="0.35">
      <c r="A91" s="218" t="s">
        <v>56</v>
      </c>
      <c r="B91" s="219"/>
      <c r="C91" s="220"/>
      <c r="D91" s="219"/>
      <c r="E91" s="221"/>
      <c r="F91" s="221"/>
      <c r="G91" s="222"/>
      <c r="H91" s="223"/>
      <c r="I91" s="224"/>
      <c r="J91" s="224"/>
      <c r="K91" s="225"/>
      <c r="L91" s="226"/>
      <c r="M91" s="226"/>
      <c r="N91" s="226"/>
      <c r="O91" s="227"/>
      <c r="P91" s="227"/>
    </row>
    <row r="92" spans="1:16" ht="21.75" customHeight="1" x14ac:dyDescent="0.35">
      <c r="A92" s="142"/>
      <c r="B92" s="143" t="s">
        <v>57</v>
      </c>
      <c r="C92" s="143"/>
      <c r="D92" s="144"/>
      <c r="E92" s="143"/>
      <c r="F92" s="143"/>
      <c r="G92" s="228"/>
      <c r="H92" s="145" t="s">
        <v>37</v>
      </c>
      <c r="I92" s="146">
        <f ca="1">IFERROR(__xludf.DUMMYFUNCTION("IMPORTRANGE(""https://docs.google.com/spreadsheets/d/1IYY_tgx_IHuhSq3AJ5eI5OnqOPBNLWSHKh2a30DoXe8/edit?usp=sharing"",""นครศรีธรรมราช!I32"")"),7)</f>
        <v>7</v>
      </c>
      <c r="J92" s="146">
        <f ca="1">IFERROR(__xludf.DUMMYFUNCTION("IMPORTRANGE(""https://docs.google.com/spreadsheets/d/1IYY_tgx_IHuhSq3AJ5eI5OnqOPBNLWSHKh2a30DoXe8/edit?usp=sharing"",""นครศรีธรรมราช!J32"")"),0)</f>
        <v>0</v>
      </c>
      <c r="K92" s="147">
        <f t="shared" ref="K92:K93" ca="1" si="51">IF(I92&gt;0,J92*100/I92,0)</f>
        <v>0</v>
      </c>
      <c r="L92" s="229"/>
      <c r="M92" s="229"/>
      <c r="N92" s="230"/>
      <c r="O92" s="147"/>
      <c r="P92" s="147"/>
    </row>
    <row r="93" spans="1:16" ht="21.75" customHeight="1" x14ac:dyDescent="0.35">
      <c r="A93" s="142"/>
      <c r="B93" s="143"/>
      <c r="C93" s="143"/>
      <c r="D93" s="144" t="s">
        <v>58</v>
      </c>
      <c r="E93" s="143"/>
      <c r="F93" s="143"/>
      <c r="G93" s="228"/>
      <c r="H93" s="145" t="s">
        <v>59</v>
      </c>
      <c r="I93" s="146">
        <f ca="1">IFERROR(__xludf.DUMMYFUNCTION("IMPORTRANGE(""https://docs.google.com/spreadsheets/d/1IYY_tgx_IHuhSq3AJ5eI5OnqOPBNLWSHKh2a30DoXe8/edit?usp=sharing"",""นครศรีธรรมราช!I33"")"),2)</f>
        <v>2</v>
      </c>
      <c r="J93" s="146">
        <f ca="1">IFERROR(__xludf.DUMMYFUNCTION("IMPORTRANGE(""https://docs.google.com/spreadsheets/d/1IYY_tgx_IHuhSq3AJ5eI5OnqOPBNLWSHKh2a30DoXe8/edit?usp=sharing"",""นครศรีธรรมราช!J33"")"),0)</f>
        <v>0</v>
      </c>
      <c r="K93" s="147">
        <f t="shared" ca="1" si="51"/>
        <v>0</v>
      </c>
      <c r="L93" s="230"/>
      <c r="M93" s="230"/>
      <c r="N93" s="230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52" t="s">
        <v>17</v>
      </c>
      <c r="E94" s="543"/>
      <c r="F94" s="543"/>
      <c r="G94" s="543"/>
      <c r="H94" s="153" t="s">
        <v>12</v>
      </c>
      <c r="I94" s="168"/>
      <c r="J94" s="168"/>
      <c r="K94" s="169"/>
      <c r="L94" s="156">
        <f t="shared" ref="L94:N94" ca="1" si="52">L95+L96</f>
        <v>319800</v>
      </c>
      <c r="M94" s="156">
        <f t="shared" ca="1" si="52"/>
        <v>265590</v>
      </c>
      <c r="N94" s="156">
        <f t="shared" ca="1" si="52"/>
        <v>205850</v>
      </c>
      <c r="O94" s="155">
        <f t="shared" ref="O94:O96" ca="1" si="53">IF(L94&gt;0,N94*100/L94,0)</f>
        <v>64.368355222013761</v>
      </c>
      <c r="P94" s="155">
        <f t="shared" ref="P94:P96" ca="1" si="54">IF(M94&gt;0,N94*100/M94,0)</f>
        <v>77.506683233555478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8"/>
      <c r="J95" s="168"/>
      <c r="K95" s="169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8"/>
      <c r="J96" s="168"/>
      <c r="K96" s="169"/>
      <c r="L96" s="161">
        <f t="shared" ref="L96:N96" ca="1" si="56">L98+L102</f>
        <v>319800</v>
      </c>
      <c r="M96" s="161">
        <f t="shared" ca="1" si="56"/>
        <v>265590</v>
      </c>
      <c r="N96" s="161">
        <f t="shared" ca="1" si="56"/>
        <v>205850</v>
      </c>
      <c r="O96" s="160">
        <f t="shared" ca="1" si="53"/>
        <v>64.368355222013761</v>
      </c>
      <c r="P96" s="160">
        <f t="shared" ca="1" si="54"/>
        <v>77.506683233555478</v>
      </c>
    </row>
    <row r="97" spans="1:16" ht="21.75" customHeight="1" x14ac:dyDescent="0.35">
      <c r="A97" s="162"/>
      <c r="B97" s="163"/>
      <c r="C97" s="163" t="s">
        <v>16</v>
      </c>
      <c r="D97" s="164" t="s">
        <v>38</v>
      </c>
      <c r="E97" s="165"/>
      <c r="F97" s="165"/>
      <c r="G97" s="166" t="s">
        <v>39</v>
      </c>
      <c r="H97" s="167" t="s">
        <v>12</v>
      </c>
      <c r="I97" s="168" t="s">
        <v>40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 x14ac:dyDescent="0.35">
      <c r="A98" s="162"/>
      <c r="B98" s="163"/>
      <c r="C98" s="163"/>
      <c r="D98" s="172"/>
      <c r="E98" s="165"/>
      <c r="F98" s="165" t="s">
        <v>40</v>
      </c>
      <c r="G98" s="166" t="s">
        <v>41</v>
      </c>
      <c r="H98" s="167" t="s">
        <v>12</v>
      </c>
      <c r="I98" s="168"/>
      <c r="J98" s="168"/>
      <c r="K98" s="169"/>
      <c r="L98" s="173">
        <f ca="1">L99+L100</f>
        <v>135000</v>
      </c>
      <c r="M98" s="174">
        <f ca="1">IFERROR(__xludf.DUMMYFUNCTION("IMPORTRANGE(""https://docs.google.com/spreadsheets/d/1Yj_ptqi66GCucihVvJfMjLAmec39IyEx_6qawtMGysU/edit?usp=sharing"",""สบก!AR84"")"),80790)</f>
        <v>80790</v>
      </c>
      <c r="N98" s="175">
        <f ca="1">IFERROR(__xludf.DUMMYFUNCTION("IMPORTRANGE(""https://docs.google.com/spreadsheets/d/1Yj_ptqi66GCucihVvJfMjLAmec39IyEx_6qawtMGysU/edit?usp=sharing"",""สบก!AS84"")"),21050)</f>
        <v>21050</v>
      </c>
      <c r="O98" s="176">
        <f ca="1">IF(L98&gt;0,N98*100/L98,0)</f>
        <v>15.592592592592593</v>
      </c>
      <c r="P98" s="176">
        <f ca="1">IF(M98&gt;0,N98*100/M98,0)</f>
        <v>26.055204852085655</v>
      </c>
    </row>
    <row r="99" spans="1:16" ht="21.75" customHeight="1" x14ac:dyDescent="0.35">
      <c r="A99" s="162"/>
      <c r="B99" s="163"/>
      <c r="C99" s="163"/>
      <c r="D99" s="172"/>
      <c r="E99" s="165"/>
      <c r="F99" s="165"/>
      <c r="G99" s="177" t="s">
        <v>42</v>
      </c>
      <c r="H99" s="167" t="s">
        <v>12</v>
      </c>
      <c r="I99" s="168"/>
      <c r="J99" s="168"/>
      <c r="K99" s="169"/>
      <c r="L99" s="174">
        <f ca="1">IFERROR(__xludf.DUMMYFUNCTION("IMPORTRANGE(""https://docs.google.com/spreadsheets/d/1Yj_ptqi66GCucihVvJfMjLAmec39IyEx_6qawtMGysU/edit?usp=sharing"",""สบก!AN84"")"),0)</f>
        <v>0</v>
      </c>
      <c r="M99" s="173"/>
      <c r="N99" s="173"/>
      <c r="O99" s="176"/>
      <c r="P99" s="176"/>
    </row>
    <row r="100" spans="1:16" ht="21.75" customHeight="1" x14ac:dyDescent="0.35">
      <c r="A100" s="162"/>
      <c r="B100" s="163"/>
      <c r="C100" s="163"/>
      <c r="D100" s="172"/>
      <c r="E100" s="165"/>
      <c r="F100" s="165"/>
      <c r="G100" s="177" t="s">
        <v>43</v>
      </c>
      <c r="H100" s="167" t="s">
        <v>12</v>
      </c>
      <c r="I100" s="168"/>
      <c r="J100" s="195"/>
      <c r="K100" s="231"/>
      <c r="L100" s="174">
        <f ca="1">IFERROR(__xludf.DUMMYFUNCTION("IMPORTRANGE(""https://docs.google.com/spreadsheets/d/1Yj_ptqi66GCucihVvJfMjLAmec39IyEx_6qawtMGysU/edit?usp=sharing"",""สบก!AO84"")"),135000)</f>
        <v>135000</v>
      </c>
      <c r="M100" s="173"/>
      <c r="N100" s="173"/>
      <c r="O100" s="176"/>
      <c r="P100" s="176"/>
    </row>
    <row r="101" spans="1:16" ht="21.75" customHeight="1" x14ac:dyDescent="0.45">
      <c r="A101" s="178"/>
      <c r="B101" s="81"/>
      <c r="C101" s="82" t="s">
        <v>16</v>
      </c>
      <c r="D101" s="549" t="s">
        <v>23</v>
      </c>
      <c r="E101" s="545"/>
      <c r="F101" s="89"/>
      <c r="G101" s="83" t="s">
        <v>18</v>
      </c>
      <c r="H101" s="179" t="s">
        <v>12</v>
      </c>
      <c r="I101" s="195"/>
      <c r="J101" s="195"/>
      <c r="K101" s="231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80"/>
      <c r="B102" s="95"/>
      <c r="C102" s="95"/>
      <c r="D102" s="181"/>
      <c r="E102" s="96"/>
      <c r="F102" s="96"/>
      <c r="G102" s="97" t="s">
        <v>19</v>
      </c>
      <c r="H102" s="182" t="s">
        <v>12</v>
      </c>
      <c r="I102" s="195"/>
      <c r="J102" s="195"/>
      <c r="K102" s="231"/>
      <c r="L102" s="91">
        <f ca="1">IFERROR(__xludf.DUMMYFUNCTION("IMPORTRANGE(""https://docs.google.com/spreadsheets/d/1Yj_ptqi66GCucihVvJfMjLAmec39IyEx_6qawtMGysU/edit?usp=sharing"",""สบก!AP84"")"),184800)</f>
        <v>184800</v>
      </c>
      <c r="M102" s="101">
        <f ca="1">L102</f>
        <v>184800</v>
      </c>
      <c r="N102" s="91">
        <f ca="1">IFERROR(__xludf.DUMMYFUNCTION("IMPORTRANGE(""https://docs.google.com/spreadsheets/d/1Yj_ptqi66GCucihVvJfMjLAmec39IyEx_6qawtMGysU/edit?usp=sharing"",""สบก!AT84"")"),184800)</f>
        <v>184800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3"/>
      <c r="B103" s="184"/>
      <c r="C103" s="163" t="s">
        <v>16</v>
      </c>
      <c r="D103" s="185" t="s">
        <v>44</v>
      </c>
      <c r="E103" s="186"/>
      <c r="F103" s="186"/>
      <c r="G103" s="187"/>
      <c r="H103" s="188"/>
      <c r="I103" s="168"/>
      <c r="J103" s="195"/>
      <c r="K103" s="231"/>
      <c r="L103" s="176"/>
      <c r="M103" s="176"/>
      <c r="N103" s="176"/>
      <c r="O103" s="189"/>
      <c r="P103" s="189"/>
    </row>
    <row r="104" spans="1:16" ht="21.75" customHeight="1" x14ac:dyDescent="0.35">
      <c r="A104" s="183"/>
      <c r="B104" s="184"/>
      <c r="C104" s="184"/>
      <c r="D104" s="190">
        <v>1</v>
      </c>
      <c r="E104" s="191" t="s">
        <v>45</v>
      </c>
      <c r="F104" s="192"/>
      <c r="G104" s="193"/>
      <c r="H104" s="194"/>
      <c r="I104" s="195"/>
      <c r="J104" s="195">
        <f ca="1">IFERROR(__xludf.DUMMYFUNCTION("IMPORTRANGE(""https://docs.google.com/spreadsheets/d/1IYY_tgx_IHuhSq3AJ5eI5OnqOPBNLWSHKh2a30DoXe8/edit?usp=sharing"",""นครศรีธรรมราช!J39"")"),0)</f>
        <v>0</v>
      </c>
      <c r="K104" s="231"/>
      <c r="L104" s="176"/>
      <c r="M104" s="176"/>
      <c r="N104" s="176"/>
      <c r="O104" s="189"/>
      <c r="P104" s="189"/>
    </row>
    <row r="105" spans="1:16" ht="21.75" customHeight="1" x14ac:dyDescent="0.35">
      <c r="A105" s="183"/>
      <c r="B105" s="184"/>
      <c r="C105" s="184"/>
      <c r="D105" s="197">
        <v>2</v>
      </c>
      <c r="E105" s="198" t="s">
        <v>46</v>
      </c>
      <c r="F105" s="199"/>
      <c r="G105" s="200"/>
      <c r="H105" s="194"/>
      <c r="I105" s="195"/>
      <c r="J105" s="195">
        <f ca="1">IFERROR(__xludf.DUMMYFUNCTION("IMPORTRANGE(""https://docs.google.com/spreadsheets/d/1IYY_tgx_IHuhSq3AJ5eI5OnqOPBNLWSHKh2a30DoXe8/edit?usp=sharing"",""นครศรีธรรมราช!J40"")"),1)</f>
        <v>1</v>
      </c>
      <c r="K105" s="231"/>
      <c r="L105" s="176" t="s">
        <v>40</v>
      </c>
      <c r="M105" s="176"/>
      <c r="N105" s="176" t="s">
        <v>40</v>
      </c>
      <c r="O105" s="189"/>
      <c r="P105" s="189"/>
    </row>
    <row r="106" spans="1:16" ht="21.75" customHeight="1" x14ac:dyDescent="0.35">
      <c r="A106" s="183"/>
      <c r="B106" s="184"/>
      <c r="C106" s="184"/>
      <c r="D106" s="201"/>
      <c r="E106" s="202" t="s">
        <v>47</v>
      </c>
      <c r="F106" s="203"/>
      <c r="G106" s="204"/>
      <c r="H106" s="194"/>
      <c r="I106" s="195"/>
      <c r="J106" s="195">
        <f ca="1">IFERROR(__xludf.DUMMYFUNCTION("IMPORTRANGE(""https://docs.google.com/spreadsheets/d/1IYY_tgx_IHuhSq3AJ5eI5OnqOPBNLWSHKh2a30DoXe8/edit?usp=sharing"",""นครศรีธรรมราช!J41"")"),1)</f>
        <v>1</v>
      </c>
      <c r="K106" s="231"/>
      <c r="L106" s="176"/>
      <c r="M106" s="176"/>
      <c r="N106" s="176"/>
      <c r="O106" s="189"/>
      <c r="P106" s="189"/>
    </row>
    <row r="107" spans="1:16" ht="21.75" customHeight="1" x14ac:dyDescent="0.35">
      <c r="A107" s="183"/>
      <c r="B107" s="184"/>
      <c r="C107" s="184"/>
      <c r="D107" s="201"/>
      <c r="E107" s="202" t="s">
        <v>48</v>
      </c>
      <c r="F107" s="203"/>
      <c r="G107" s="204"/>
      <c r="H107" s="194"/>
      <c r="I107" s="195"/>
      <c r="J107" s="195">
        <f ca="1">IFERROR(__xludf.DUMMYFUNCTION("IMPORTRANGE(""https://docs.google.com/spreadsheets/d/1IYY_tgx_IHuhSq3AJ5eI5OnqOPBNLWSHKh2a30DoXe8/edit?usp=sharing"",""นครศรีธรรมราช!J42"")"),1)</f>
        <v>1</v>
      </c>
      <c r="K107" s="231"/>
      <c r="L107" s="176"/>
      <c r="M107" s="176"/>
      <c r="N107" s="176"/>
      <c r="O107" s="189"/>
      <c r="P107" s="189"/>
    </row>
    <row r="108" spans="1:16" ht="21.75" customHeight="1" x14ac:dyDescent="0.35">
      <c r="A108" s="183"/>
      <c r="B108" s="184"/>
      <c r="C108" s="184"/>
      <c r="D108" s="201"/>
      <c r="E108" s="203"/>
      <c r="F108" s="203" t="s">
        <v>60</v>
      </c>
      <c r="G108" s="203"/>
      <c r="H108" s="188" t="s">
        <v>61</v>
      </c>
      <c r="I108" s="210">
        <f ca="1">IFERROR(__xludf.DUMMYFUNCTION("IMPORTRANGE(""https://docs.google.com/spreadsheets/d/1IYY_tgx_IHuhSq3AJ5eI5OnqOPBNLWSHKh2a30DoXe8/edit?usp=sharing"",""นครศรีธรรมราช!I43"")"),1)</f>
        <v>1</v>
      </c>
      <c r="J108" s="211">
        <f ca="1">IFERROR(__xludf.DUMMYFUNCTION("IMPORTRANGE(""https://docs.google.com/spreadsheets/d/1IYY_tgx_IHuhSq3AJ5eI5OnqOPBNLWSHKh2a30DoXe8/edit?usp=sharing"",""นครศรีธรรมราช!J43"")"),0)</f>
        <v>0</v>
      </c>
      <c r="K108" s="231">
        <f t="shared" ref="K108:K113" ca="1" si="57">IF(I108&gt;0,J108*100/I108,0)</f>
        <v>0</v>
      </c>
      <c r="L108" s="176"/>
      <c r="M108" s="176"/>
      <c r="N108" s="176"/>
      <c r="O108" s="189"/>
      <c r="P108" s="189"/>
    </row>
    <row r="109" spans="1:16" ht="21.75" customHeight="1" x14ac:dyDescent="0.35">
      <c r="A109" s="183"/>
      <c r="B109" s="184"/>
      <c r="C109" s="184"/>
      <c r="D109" s="201"/>
      <c r="E109" s="206"/>
      <c r="F109" s="202" t="s">
        <v>62</v>
      </c>
      <c r="G109" s="203"/>
      <c r="H109" s="188" t="s">
        <v>37</v>
      </c>
      <c r="I109" s="210">
        <f ca="1">IFERROR(__xludf.DUMMYFUNCTION("IMPORTRANGE(""https://docs.google.com/spreadsheets/d/1IYY_tgx_IHuhSq3AJ5eI5OnqOPBNLWSHKh2a30DoXe8/edit?usp=sharing"",""นครศรีธรรมราช!I44"")"),7)</f>
        <v>7</v>
      </c>
      <c r="J109" s="211">
        <f ca="1">IFERROR(__xludf.DUMMYFUNCTION("IMPORTRANGE(""https://docs.google.com/spreadsheets/d/1IYY_tgx_IHuhSq3AJ5eI5OnqOPBNLWSHKh2a30DoXe8/edit?usp=sharing"",""นครศรีธรรมราช!J44"")"),0)</f>
        <v>0</v>
      </c>
      <c r="K109" s="231">
        <f t="shared" ca="1" si="57"/>
        <v>0</v>
      </c>
      <c r="L109" s="176"/>
      <c r="M109" s="176"/>
      <c r="N109" s="176"/>
      <c r="O109" s="189"/>
      <c r="P109" s="189"/>
    </row>
    <row r="110" spans="1:16" ht="21.75" customHeight="1" x14ac:dyDescent="0.35">
      <c r="A110" s="183"/>
      <c r="B110" s="184"/>
      <c r="C110" s="184"/>
      <c r="D110" s="201"/>
      <c r="E110" s="206"/>
      <c r="F110" s="203"/>
      <c r="G110" s="232" t="s">
        <v>63</v>
      </c>
      <c r="H110" s="188" t="s">
        <v>37</v>
      </c>
      <c r="I110" s="210">
        <f ca="1">IFERROR(__xludf.DUMMYFUNCTION("IMPORTRANGE(""https://docs.google.com/spreadsheets/d/1IYY_tgx_IHuhSq3AJ5eI5OnqOPBNLWSHKh2a30DoXe8/edit?usp=sharing"",""นครศรีธรรมราช!I45"")"),7)</f>
        <v>7</v>
      </c>
      <c r="J110" s="211">
        <f ca="1">IFERROR(__xludf.DUMMYFUNCTION("IMPORTRANGE(""https://docs.google.com/spreadsheets/d/1IYY_tgx_IHuhSq3AJ5eI5OnqOPBNLWSHKh2a30DoXe8/edit?usp=sharing"",""นครศรีธรรมราช!J45"")"),7)</f>
        <v>7</v>
      </c>
      <c r="K110" s="231">
        <f t="shared" ca="1" si="57"/>
        <v>100</v>
      </c>
      <c r="L110" s="176"/>
      <c r="M110" s="176"/>
      <c r="N110" s="176"/>
      <c r="O110" s="189"/>
      <c r="P110" s="189"/>
    </row>
    <row r="111" spans="1:16" ht="21.75" customHeight="1" x14ac:dyDescent="0.35">
      <c r="A111" s="183"/>
      <c r="B111" s="184"/>
      <c r="C111" s="184"/>
      <c r="D111" s="201"/>
      <c r="E111" s="206"/>
      <c r="F111" s="203"/>
      <c r="G111" s="232" t="s">
        <v>64</v>
      </c>
      <c r="H111" s="188" t="s">
        <v>37</v>
      </c>
      <c r="I111" s="210">
        <f ca="1">IFERROR(__xludf.DUMMYFUNCTION("IMPORTRANGE(""https://docs.google.com/spreadsheets/d/1IYY_tgx_IHuhSq3AJ5eI5OnqOPBNLWSHKh2a30DoXe8/edit?usp=sharing"",""นครศรีธรรมราช!I46"")"),7)</f>
        <v>7</v>
      </c>
      <c r="J111" s="211">
        <f ca="1">IFERROR(__xludf.DUMMYFUNCTION("IMPORTRANGE(""https://docs.google.com/spreadsheets/d/1IYY_tgx_IHuhSq3AJ5eI5OnqOPBNLWSHKh2a30DoXe8/edit?usp=sharing"",""นครศรีธรรมราช!J46"")"),0)</f>
        <v>0</v>
      </c>
      <c r="K111" s="231">
        <f t="shared" ca="1" si="57"/>
        <v>0</v>
      </c>
      <c r="L111" s="176"/>
      <c r="M111" s="176"/>
      <c r="N111" s="176"/>
      <c r="O111" s="189"/>
      <c r="P111" s="189"/>
    </row>
    <row r="112" spans="1:16" ht="21.75" customHeight="1" x14ac:dyDescent="0.35">
      <c r="A112" s="183"/>
      <c r="B112" s="184"/>
      <c r="C112" s="184"/>
      <c r="D112" s="201"/>
      <c r="E112" s="206"/>
      <c r="F112" s="203"/>
      <c r="G112" s="233" t="s">
        <v>65</v>
      </c>
      <c r="H112" s="188" t="s">
        <v>37</v>
      </c>
      <c r="I112" s="210">
        <f ca="1">IFERROR(__xludf.DUMMYFUNCTION("IMPORTRANGE(""https://docs.google.com/spreadsheets/d/1IYY_tgx_IHuhSq3AJ5eI5OnqOPBNLWSHKh2a30DoXe8/edit?usp=sharing"",""นครศรีธรรมราช!I47"")"),7)</f>
        <v>7</v>
      </c>
      <c r="J112" s="211">
        <f ca="1">IFERROR(__xludf.DUMMYFUNCTION("IMPORTRANGE(""https://docs.google.com/spreadsheets/d/1IYY_tgx_IHuhSq3AJ5eI5OnqOPBNLWSHKh2a30DoXe8/edit?usp=sharing"",""นครศรีธรรมราช!J47"")"),0)</f>
        <v>0</v>
      </c>
      <c r="K112" s="231">
        <f t="shared" ca="1" si="57"/>
        <v>0</v>
      </c>
      <c r="L112" s="176"/>
      <c r="M112" s="176"/>
      <c r="N112" s="176"/>
      <c r="O112" s="189"/>
      <c r="P112" s="189"/>
    </row>
    <row r="113" spans="1:16" ht="21.75" customHeight="1" x14ac:dyDescent="0.35">
      <c r="A113" s="183"/>
      <c r="B113" s="184"/>
      <c r="C113" s="184"/>
      <c r="D113" s="201"/>
      <c r="E113" s="206"/>
      <c r="F113" s="203" t="s">
        <v>66</v>
      </c>
      <c r="G113" s="203"/>
      <c r="H113" s="188" t="s">
        <v>59</v>
      </c>
      <c r="I113" s="210">
        <f ca="1">IFERROR(__xludf.DUMMYFUNCTION("IMPORTRANGE(""https://docs.google.com/spreadsheets/d/1IYY_tgx_IHuhSq3AJ5eI5OnqOPBNLWSHKh2a30DoXe8/edit?usp=sharing"",""นครศรีธรรมราช!I48"")"),2)</f>
        <v>2</v>
      </c>
      <c r="J113" s="211">
        <f ca="1">IFERROR(__xludf.DUMMYFUNCTION("IMPORTRANGE(""https://docs.google.com/spreadsheets/d/1IYY_tgx_IHuhSq3AJ5eI5OnqOPBNLWSHKh2a30DoXe8/edit?usp=sharing"",""นครศรีธรรมราช!J48"")"),0)</f>
        <v>0</v>
      </c>
      <c r="K113" s="231">
        <f t="shared" ca="1" si="57"/>
        <v>0</v>
      </c>
      <c r="L113" s="176"/>
      <c r="M113" s="176"/>
      <c r="N113" s="176"/>
      <c r="O113" s="189"/>
      <c r="P113" s="189"/>
    </row>
    <row r="114" spans="1:16" ht="21.75" customHeight="1" x14ac:dyDescent="0.35">
      <c r="A114" s="183"/>
      <c r="B114" s="184"/>
      <c r="C114" s="184"/>
      <c r="D114" s="201"/>
      <c r="E114" s="202" t="s">
        <v>54</v>
      </c>
      <c r="F114" s="203"/>
      <c r="G114" s="204"/>
      <c r="H114" s="194"/>
      <c r="I114" s="195"/>
      <c r="J114" s="195">
        <f ca="1">IFERROR(__xludf.DUMMYFUNCTION("IMPORTRANGE(""https://docs.google.com/spreadsheets/d/1IYY_tgx_IHuhSq3AJ5eI5OnqOPBNLWSHKh2a30DoXe8/edit?usp=sharing"",""นครศรีธรรมราช!J49"")"),0)</f>
        <v>0</v>
      </c>
      <c r="K114" s="231"/>
      <c r="L114" s="176"/>
      <c r="M114" s="176"/>
      <c r="N114" s="176"/>
      <c r="O114" s="189"/>
      <c r="P114" s="189"/>
    </row>
    <row r="115" spans="1:16" ht="21.75" customHeight="1" x14ac:dyDescent="0.35">
      <c r="A115" s="183"/>
      <c r="B115" s="184"/>
      <c r="C115" s="184"/>
      <c r="D115" s="213">
        <v>3</v>
      </c>
      <c r="E115" s="214" t="s">
        <v>55</v>
      </c>
      <c r="F115" s="215"/>
      <c r="G115" s="216"/>
      <c r="H115" s="194"/>
      <c r="I115" s="195"/>
      <c r="J115" s="234">
        <f ca="1">IFERROR(__xludf.DUMMYFUNCTION("IMPORTRANGE(""https://docs.google.com/spreadsheets/d/1IYY_tgx_IHuhSq3AJ5eI5OnqOPBNLWSHKh2a30DoXe8/edit?usp=sharing"",""นครศรีธรรมราช!J50"")"),0)</f>
        <v>0</v>
      </c>
      <c r="K115" s="231"/>
      <c r="L115" s="176"/>
      <c r="M115" s="176"/>
      <c r="N115" s="176"/>
      <c r="O115" s="189"/>
      <c r="P115" s="189"/>
    </row>
    <row r="116" spans="1:16" ht="21.75" customHeight="1" x14ac:dyDescent="0.35">
      <c r="A116" s="218" t="s">
        <v>67</v>
      </c>
      <c r="B116" s="235"/>
      <c r="C116" s="236"/>
      <c r="D116" s="235"/>
      <c r="E116" s="237"/>
      <c r="F116" s="237"/>
      <c r="G116" s="238"/>
      <c r="H116" s="223"/>
      <c r="I116" s="224"/>
      <c r="J116" s="224"/>
      <c r="K116" s="225"/>
      <c r="L116" s="226"/>
      <c r="M116" s="226"/>
      <c r="N116" s="226"/>
      <c r="O116" s="227"/>
      <c r="P116" s="227"/>
    </row>
    <row r="117" spans="1:16" ht="21.75" customHeight="1" x14ac:dyDescent="0.35">
      <c r="A117" s="142"/>
      <c r="B117" s="143" t="s">
        <v>68</v>
      </c>
      <c r="C117" s="239"/>
      <c r="D117" s="144"/>
      <c r="E117" s="143"/>
      <c r="F117" s="143"/>
      <c r="G117" s="228"/>
      <c r="H117" s="145" t="s">
        <v>37</v>
      </c>
      <c r="I117" s="146">
        <f ca="1">IFERROR(__xludf.DUMMYFUNCTION("IMPORTRANGE(""https://docs.google.com/spreadsheets/d/1IYY_tgx_IHuhSq3AJ5eI5OnqOPBNLWSHKh2a30DoXe8/edit?usp=sharing"",""นครศรีธรรมราช!I52"")"),0)</f>
        <v>0</v>
      </c>
      <c r="J117" s="146">
        <f ca="1">IFERROR(__xludf.DUMMYFUNCTION("IMPORTRANGE(""https://docs.google.com/spreadsheets/d/1IYY_tgx_IHuhSq3AJ5eI5OnqOPBNLWSHKh2a30DoXe8/edit?usp=sharing"",""นครศรีธรรมราช!J52"")"),0)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52" t="s">
        <v>17</v>
      </c>
      <c r="E118" s="543"/>
      <c r="F118" s="543"/>
      <c r="G118" s="543"/>
      <c r="H118" s="153" t="s">
        <v>12</v>
      </c>
      <c r="I118" s="168"/>
      <c r="J118" s="168"/>
      <c r="K118" s="169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8"/>
      <c r="J119" s="168"/>
      <c r="K119" s="169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8"/>
      <c r="J120" s="168"/>
      <c r="K120" s="169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5">
      <c r="A121" s="162"/>
      <c r="B121" s="163"/>
      <c r="C121" s="163" t="s">
        <v>16</v>
      </c>
      <c r="D121" s="164" t="s">
        <v>38</v>
      </c>
      <c r="E121" s="165"/>
      <c r="F121" s="165"/>
      <c r="G121" s="166" t="s">
        <v>39</v>
      </c>
      <c r="H121" s="167" t="s">
        <v>12</v>
      </c>
      <c r="I121" s="168" t="s">
        <v>40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 x14ac:dyDescent="0.35">
      <c r="A122" s="162"/>
      <c r="B122" s="163"/>
      <c r="C122" s="163"/>
      <c r="D122" s="172"/>
      <c r="E122" s="165"/>
      <c r="F122" s="165" t="s">
        <v>40</v>
      </c>
      <c r="G122" s="166" t="s">
        <v>41</v>
      </c>
      <c r="H122" s="167" t="s">
        <v>12</v>
      </c>
      <c r="I122" s="168"/>
      <c r="J122" s="168"/>
      <c r="K122" s="169"/>
      <c r="L122" s="173">
        <f ca="1">L123+L124</f>
        <v>0</v>
      </c>
      <c r="M122" s="174">
        <f ca="1">IFERROR(__xludf.DUMMYFUNCTION("IMPORTRANGE(""https://docs.google.com/spreadsheets/d/1Yj_ptqi66GCucihVvJfMjLAmec39IyEx_6qawtMGysU/edit?usp=sharing"",""สบก!BA84"")"),0)</f>
        <v>0</v>
      </c>
      <c r="N122" s="175">
        <f ca="1">IFERROR(__xludf.DUMMYFUNCTION("IMPORTRANGE(""https://docs.google.com/spreadsheets/d/1Yj_ptqi66GCucihVvJfMjLAmec39IyEx_6qawtMGysU/edit?usp=sharing"",""สบก!BB84"")"),0)</f>
        <v>0</v>
      </c>
      <c r="O122" s="176">
        <f ca="1">IF(L122&gt;0,N122*100/L122,0)</f>
        <v>0</v>
      </c>
      <c r="P122" s="176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2"/>
      <c r="E123" s="165"/>
      <c r="F123" s="165"/>
      <c r="G123" s="177" t="s">
        <v>42</v>
      </c>
      <c r="H123" s="167" t="s">
        <v>12</v>
      </c>
      <c r="I123" s="168"/>
      <c r="J123" s="168"/>
      <c r="K123" s="169"/>
      <c r="L123" s="174">
        <f ca="1">IFERROR(__xludf.DUMMYFUNCTION("IMPORTRANGE(""https://docs.google.com/spreadsheets/d/1Yj_ptqi66GCucihVvJfMjLAmec39IyEx_6qawtMGysU/edit?usp=sharing"",""สบก!AW84"")"),0)</f>
        <v>0</v>
      </c>
      <c r="M123" s="173"/>
      <c r="N123" s="173"/>
      <c r="O123" s="176"/>
      <c r="P123" s="176"/>
    </row>
    <row r="124" spans="1:16" ht="21.75" customHeight="1" x14ac:dyDescent="0.35">
      <c r="A124" s="162"/>
      <c r="B124" s="163"/>
      <c r="C124" s="163"/>
      <c r="D124" s="172"/>
      <c r="E124" s="165"/>
      <c r="F124" s="165"/>
      <c r="G124" s="177" t="s">
        <v>43</v>
      </c>
      <c r="H124" s="167" t="s">
        <v>12</v>
      </c>
      <c r="I124" s="168"/>
      <c r="J124" s="195"/>
      <c r="K124" s="231"/>
      <c r="L124" s="174">
        <f ca="1">IFERROR(__xludf.DUMMYFUNCTION("IMPORTRANGE(""https://docs.google.com/spreadsheets/d/1Yj_ptqi66GCucihVvJfMjLAmec39IyEx_6qawtMGysU/edit?usp=sharing"",""สบก!AX84"")"),0)</f>
        <v>0</v>
      </c>
      <c r="M124" s="173"/>
      <c r="N124" s="173"/>
      <c r="O124" s="176"/>
      <c r="P124" s="176"/>
    </row>
    <row r="125" spans="1:16" ht="21.75" customHeight="1" x14ac:dyDescent="0.45">
      <c r="A125" s="178"/>
      <c r="B125" s="81"/>
      <c r="C125" s="82" t="s">
        <v>16</v>
      </c>
      <c r="D125" s="549" t="s">
        <v>23</v>
      </c>
      <c r="E125" s="545"/>
      <c r="F125" s="89"/>
      <c r="G125" s="83" t="s">
        <v>18</v>
      </c>
      <c r="H125" s="179" t="s">
        <v>12</v>
      </c>
      <c r="I125" s="195"/>
      <c r="J125" s="195"/>
      <c r="K125" s="231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80"/>
      <c r="B126" s="95"/>
      <c r="C126" s="95"/>
      <c r="D126" s="181"/>
      <c r="E126" s="96"/>
      <c r="F126" s="96"/>
      <c r="G126" s="97" t="s">
        <v>19</v>
      </c>
      <c r="H126" s="182" t="s">
        <v>12</v>
      </c>
      <c r="I126" s="195"/>
      <c r="J126" s="195"/>
      <c r="K126" s="231"/>
      <c r="L126" s="91">
        <f ca="1">IFERROR(__xludf.DUMMYFUNCTION("IMPORTRANGE(""https://docs.google.com/spreadsheets/d/1Yj_ptqi66GCucihVvJfMjLAmec39IyEx_6qawtMGysU/edit?usp=sharing"",""สบก!AY84"")"),0)</f>
        <v>0</v>
      </c>
      <c r="M126" s="101"/>
      <c r="N126" s="91">
        <f ca="1">IFERROR(__xludf.DUMMYFUNCTION("IMPORTRANGE(""https://docs.google.com/spreadsheets/d/1Yj_ptqi66GCucihVvJfMjLAmec39IyEx_6qawtMGysU/edit?usp=sharing"",""สบก!BC84"")"),0)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3"/>
      <c r="B127" s="184"/>
      <c r="C127" s="163" t="s">
        <v>16</v>
      </c>
      <c r="D127" s="240" t="s">
        <v>245</v>
      </c>
      <c r="E127" s="186"/>
      <c r="F127" s="186"/>
      <c r="G127" s="187"/>
      <c r="H127" s="188"/>
      <c r="I127" s="168"/>
      <c r="J127" s="195"/>
      <c r="K127" s="231"/>
      <c r="L127" s="176"/>
      <c r="M127" s="176"/>
      <c r="N127" s="176"/>
      <c r="O127" s="189"/>
      <c r="P127" s="189"/>
    </row>
    <row r="128" spans="1:16" ht="21.75" customHeight="1" x14ac:dyDescent="0.35">
      <c r="A128" s="183"/>
      <c r="B128" s="184"/>
      <c r="C128" s="184"/>
      <c r="D128" s="190">
        <v>1</v>
      </c>
      <c r="E128" s="191" t="s">
        <v>45</v>
      </c>
      <c r="F128" s="192"/>
      <c r="G128" s="193"/>
      <c r="H128" s="194"/>
      <c r="I128" s="195"/>
      <c r="J128" s="211">
        <f ca="1">IFERROR(__xludf.DUMMYFUNCTION("IMPORTRANGE(""https://docs.google.com/spreadsheets/d/1IYY_tgx_IHuhSq3AJ5eI5OnqOPBNLWSHKh2a30DoXe8/edit?usp=sharing"",""นครศรีธรรมราช!J58"")"),0)</f>
        <v>0</v>
      </c>
      <c r="K128" s="231"/>
      <c r="L128" s="176"/>
      <c r="M128" s="176"/>
      <c r="N128" s="176"/>
      <c r="O128" s="189"/>
      <c r="P128" s="189"/>
    </row>
    <row r="129" spans="1:16" ht="21.75" customHeight="1" x14ac:dyDescent="0.35">
      <c r="A129" s="183"/>
      <c r="B129" s="184"/>
      <c r="C129" s="184"/>
      <c r="D129" s="197">
        <v>2</v>
      </c>
      <c r="E129" s="198" t="s">
        <v>46</v>
      </c>
      <c r="F129" s="199"/>
      <c r="G129" s="200"/>
      <c r="H129" s="194"/>
      <c r="I129" s="195"/>
      <c r="J129" s="195">
        <f ca="1">IFERROR(__xludf.DUMMYFUNCTION("IMPORTRANGE(""https://docs.google.com/spreadsheets/d/1IYY_tgx_IHuhSq3AJ5eI5OnqOPBNLWSHKh2a30DoXe8/edit?usp=sharing"",""นครศรีธรรมราช!J59"")"),0)</f>
        <v>0</v>
      </c>
      <c r="K129" s="231"/>
      <c r="L129" s="176" t="s">
        <v>40</v>
      </c>
      <c r="M129" s="176"/>
      <c r="N129" s="176" t="s">
        <v>40</v>
      </c>
      <c r="O129" s="189"/>
      <c r="P129" s="189"/>
    </row>
    <row r="130" spans="1:16" ht="21.75" customHeight="1" x14ac:dyDescent="0.35">
      <c r="A130" s="183"/>
      <c r="B130" s="184"/>
      <c r="C130" s="184"/>
      <c r="D130" s="201"/>
      <c r="E130" s="202" t="s">
        <v>47</v>
      </c>
      <c r="F130" s="203"/>
      <c r="G130" s="204"/>
      <c r="H130" s="194"/>
      <c r="I130" s="195"/>
      <c r="J130" s="195">
        <f ca="1">IFERROR(__xludf.DUMMYFUNCTION("IMPORTRANGE(""https://docs.google.com/spreadsheets/d/1IYY_tgx_IHuhSq3AJ5eI5OnqOPBNLWSHKh2a30DoXe8/edit?usp=sharing"",""นครศรีธรรมราช!J60"")"),0)</f>
        <v>0</v>
      </c>
      <c r="K130" s="231"/>
      <c r="L130" s="176"/>
      <c r="M130" s="176"/>
      <c r="N130" s="176"/>
      <c r="O130" s="189"/>
      <c r="P130" s="189"/>
    </row>
    <row r="131" spans="1:16" ht="21.75" customHeight="1" x14ac:dyDescent="0.35">
      <c r="A131" s="183"/>
      <c r="B131" s="184"/>
      <c r="C131" s="184"/>
      <c r="D131" s="201"/>
      <c r="E131" s="202" t="s">
        <v>48</v>
      </c>
      <c r="F131" s="203"/>
      <c r="G131" s="204"/>
      <c r="H131" s="194"/>
      <c r="I131" s="195"/>
      <c r="J131" s="195">
        <f ca="1">IFERROR(__xludf.DUMMYFUNCTION("IMPORTRANGE(""https://docs.google.com/spreadsheets/d/1IYY_tgx_IHuhSq3AJ5eI5OnqOPBNLWSHKh2a30DoXe8/edit?usp=sharing"",""นครศรีธรรมราช!J61"")"),0)</f>
        <v>0</v>
      </c>
      <c r="K131" s="231"/>
      <c r="L131" s="176"/>
      <c r="M131" s="176"/>
      <c r="N131" s="176"/>
      <c r="O131" s="189"/>
      <c r="P131" s="189"/>
    </row>
    <row r="132" spans="1:16" ht="21.75" customHeight="1" x14ac:dyDescent="0.35">
      <c r="A132" s="183"/>
      <c r="B132" s="184"/>
      <c r="C132" s="184"/>
      <c r="D132" s="201"/>
      <c r="E132" s="206"/>
      <c r="F132" s="202" t="s">
        <v>70</v>
      </c>
      <c r="G132" s="204"/>
      <c r="H132" s="188" t="s">
        <v>37</v>
      </c>
      <c r="I132" s="195">
        <f ca="1">IFERROR(__xludf.DUMMYFUNCTION("IMPORTRANGE(""https://docs.google.com/spreadsheets/d/1IYY_tgx_IHuhSq3AJ5eI5OnqOPBNLWSHKh2a30DoXe8/edit?usp=sharing"",""นครศรีธรรมราช!I62"")"),0)</f>
        <v>0</v>
      </c>
      <c r="J132" s="211">
        <f ca="1">IFERROR(__xludf.DUMMYFUNCTION("IMPORTRANGE(""https://docs.google.com/spreadsheets/d/1IYY_tgx_IHuhSq3AJ5eI5OnqOPBNLWSHKh2a30DoXe8/edit?usp=sharing"",""นครศรีธรรมราช!J62"")"),0)</f>
        <v>0</v>
      </c>
      <c r="K132" s="231">
        <f t="shared" ref="K132:K133" ca="1" si="63">IF(I132&gt;0,J132*100/I132,0)</f>
        <v>0</v>
      </c>
      <c r="L132" s="176"/>
      <c r="M132" s="176"/>
      <c r="N132" s="176"/>
      <c r="O132" s="189"/>
      <c r="P132" s="189"/>
    </row>
    <row r="133" spans="1:16" ht="21.75" customHeight="1" x14ac:dyDescent="0.35">
      <c r="A133" s="183"/>
      <c r="B133" s="184"/>
      <c r="C133" s="184"/>
      <c r="D133" s="201"/>
      <c r="E133" s="206"/>
      <c r="F133" s="202" t="s">
        <v>71</v>
      </c>
      <c r="G133" s="204"/>
      <c r="H133" s="188" t="s">
        <v>37</v>
      </c>
      <c r="I133" s="195">
        <f ca="1">IFERROR(__xludf.DUMMYFUNCTION("IMPORTRANGE(""https://docs.google.com/spreadsheets/d/1IYY_tgx_IHuhSq3AJ5eI5OnqOPBNLWSHKh2a30DoXe8/edit?usp=sharing"",""นครศรีธรรมราช!I63"")"),0)</f>
        <v>0</v>
      </c>
      <c r="J133" s="211">
        <f ca="1">IFERROR(__xludf.DUMMYFUNCTION("IMPORTRANGE(""https://docs.google.com/spreadsheets/d/1IYY_tgx_IHuhSq3AJ5eI5OnqOPBNLWSHKh2a30DoXe8/edit?usp=sharing"",""นครศรีธรรมราช!J63"")"),0)</f>
        <v>0</v>
      </c>
      <c r="K133" s="231">
        <f t="shared" ca="1" si="63"/>
        <v>0</v>
      </c>
      <c r="L133" s="176"/>
      <c r="M133" s="176"/>
      <c r="N133" s="176"/>
      <c r="O133" s="189"/>
      <c r="P133" s="189"/>
    </row>
    <row r="134" spans="1:16" ht="21.75" customHeight="1" x14ac:dyDescent="0.35">
      <c r="A134" s="183"/>
      <c r="B134" s="184"/>
      <c r="C134" s="184"/>
      <c r="D134" s="201"/>
      <c r="E134" s="202" t="s">
        <v>54</v>
      </c>
      <c r="F134" s="203"/>
      <c r="G134" s="204"/>
      <c r="H134" s="194"/>
      <c r="I134" s="195"/>
      <c r="J134" s="195">
        <f ca="1">IFERROR(__xludf.DUMMYFUNCTION("IMPORTRANGE(""https://docs.google.com/spreadsheets/d/1IYY_tgx_IHuhSq3AJ5eI5OnqOPBNLWSHKh2a30DoXe8/edit?usp=sharing"",""นครศรีธรรมราช!J64"")"),0)</f>
        <v>0</v>
      </c>
      <c r="K134" s="231"/>
      <c r="L134" s="176"/>
      <c r="M134" s="176"/>
      <c r="N134" s="176"/>
      <c r="O134" s="189"/>
      <c r="P134" s="189"/>
    </row>
    <row r="135" spans="1:16" ht="21.75" customHeight="1" x14ac:dyDescent="0.35">
      <c r="A135" s="241"/>
      <c r="B135" s="242"/>
      <c r="C135" s="242"/>
      <c r="D135" s="243">
        <v>3</v>
      </c>
      <c r="E135" s="244" t="s">
        <v>55</v>
      </c>
      <c r="F135" s="245"/>
      <c r="G135" s="246"/>
      <c r="H135" s="247"/>
      <c r="I135" s="248"/>
      <c r="J135" s="249">
        <f ca="1">IFERROR(__xludf.DUMMYFUNCTION("IMPORTRANGE(""https://docs.google.com/spreadsheets/d/1IYY_tgx_IHuhSq3AJ5eI5OnqOPBNLWSHKh2a30DoXe8/edit?usp=sharing"",""นครศรีธรรมราช!J65"")"),0)</f>
        <v>0</v>
      </c>
      <c r="K135" s="250"/>
      <c r="L135" s="251"/>
      <c r="M135" s="251"/>
      <c r="N135" s="251"/>
      <c r="O135" s="252"/>
      <c r="P135" s="252"/>
    </row>
    <row r="136" spans="1:16" ht="21.75" customHeight="1" x14ac:dyDescent="0.35">
      <c r="A136" s="253" t="s">
        <v>72</v>
      </c>
      <c r="B136" s="254"/>
      <c r="C136" s="254"/>
      <c r="D136" s="254"/>
      <c r="E136" s="255"/>
      <c r="F136" s="255"/>
      <c r="G136" s="256"/>
      <c r="H136" s="257"/>
      <c r="I136" s="258"/>
      <c r="J136" s="258"/>
      <c r="K136" s="259"/>
      <c r="L136" s="260"/>
      <c r="M136" s="260"/>
      <c r="N136" s="260"/>
      <c r="O136" s="260"/>
      <c r="P136" s="260"/>
    </row>
    <row r="137" spans="1:16" ht="21.75" customHeight="1" x14ac:dyDescent="0.35">
      <c r="A137" s="261" t="s">
        <v>73</v>
      </c>
      <c r="B137" s="262"/>
      <c r="C137" s="262"/>
      <c r="D137" s="263"/>
      <c r="E137" s="263"/>
      <c r="F137" s="263"/>
      <c r="G137" s="264"/>
      <c r="H137" s="265"/>
      <c r="I137" s="266"/>
      <c r="J137" s="266"/>
      <c r="K137" s="267"/>
      <c r="L137" s="267"/>
      <c r="M137" s="267"/>
      <c r="N137" s="267"/>
      <c r="O137" s="268"/>
      <c r="P137" s="268"/>
    </row>
    <row r="138" spans="1:16" ht="21.75" customHeight="1" x14ac:dyDescent="0.35">
      <c r="A138" s="269"/>
      <c r="B138" s="270" t="s">
        <v>74</v>
      </c>
      <c r="C138" s="271"/>
      <c r="D138" s="270"/>
      <c r="E138" s="270"/>
      <c r="F138" s="270"/>
      <c r="G138" s="272"/>
      <c r="H138" s="273" t="s">
        <v>37</v>
      </c>
      <c r="I138" s="274">
        <f ca="1">IFERROR(__xludf.DUMMYFUNCTION("IMPORTRANGE(""https://docs.google.com/spreadsheets/d/1IYY_tgx_IHuhSq3AJ5eI5OnqOPBNLWSHKh2a30DoXe8/edit?usp=sharing"",""นครศรีธรรมราช!I68"")"),100)</f>
        <v>100</v>
      </c>
      <c r="J138" s="274">
        <f ca="1">IFERROR(__xludf.DUMMYFUNCTION("IMPORTRANGE(""https://docs.google.com/spreadsheets/d/1IYY_tgx_IHuhSq3AJ5eI5OnqOPBNLWSHKh2a30DoXe8/edit?usp=sharing"",""นครศรีธรรมราช!J68"")"),52)</f>
        <v>52</v>
      </c>
      <c r="K138" s="275">
        <f ca="1">IF(I138&gt;0,J138*100/I138,0)</f>
        <v>52</v>
      </c>
      <c r="L138" s="276"/>
      <c r="M138" s="276"/>
      <c r="N138" s="276"/>
      <c r="O138" s="275"/>
      <c r="P138" s="275"/>
    </row>
    <row r="139" spans="1:16" ht="21.75" customHeight="1" x14ac:dyDescent="0.35">
      <c r="A139" s="269"/>
      <c r="B139" s="270" t="s">
        <v>75</v>
      </c>
      <c r="C139" s="271"/>
      <c r="D139" s="270"/>
      <c r="E139" s="270"/>
      <c r="F139" s="270"/>
      <c r="G139" s="272"/>
      <c r="H139" s="273"/>
      <c r="I139" s="274"/>
      <c r="J139" s="274"/>
      <c r="K139" s="275"/>
      <c r="L139" s="276"/>
      <c r="M139" s="276"/>
      <c r="N139" s="276"/>
      <c r="O139" s="275"/>
      <c r="P139" s="275"/>
    </row>
    <row r="140" spans="1:16" ht="21.75" customHeight="1" x14ac:dyDescent="0.45">
      <c r="A140" s="150"/>
      <c r="B140" s="151"/>
      <c r="C140" s="152" t="s">
        <v>16</v>
      </c>
      <c r="D140" s="552" t="s">
        <v>17</v>
      </c>
      <c r="E140" s="543"/>
      <c r="F140" s="543"/>
      <c r="G140" s="543"/>
      <c r="H140" s="153" t="s">
        <v>12</v>
      </c>
      <c r="I140" s="168"/>
      <c r="J140" s="168"/>
      <c r="K140" s="169"/>
      <c r="L140" s="156">
        <f t="shared" ref="L140:N140" ca="1" si="64">L141+L142</f>
        <v>818600</v>
      </c>
      <c r="M140" s="156">
        <f t="shared" ca="1" si="64"/>
        <v>494750</v>
      </c>
      <c r="N140" s="156">
        <f t="shared" ca="1" si="64"/>
        <v>293206</v>
      </c>
      <c r="O140" s="155">
        <f t="shared" ref="O140:O142" ca="1" si="65">IF(L140&gt;0,N140*100/L140,0)</f>
        <v>35.817981920351819</v>
      </c>
      <c r="P140" s="155">
        <f t="shared" ref="P140:P142" ca="1" si="66">IF(M140&gt;0,N140*100/M140,0)</f>
        <v>59.263466397170291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8"/>
      <c r="J141" s="168"/>
      <c r="K141" s="169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8"/>
      <c r="J142" s="168"/>
      <c r="K142" s="169"/>
      <c r="L142" s="161">
        <f t="shared" ref="L142:N142" ca="1" si="68">L144+L148</f>
        <v>818600</v>
      </c>
      <c r="M142" s="161">
        <f t="shared" ca="1" si="68"/>
        <v>494750</v>
      </c>
      <c r="N142" s="161">
        <f t="shared" ca="1" si="68"/>
        <v>293206</v>
      </c>
      <c r="O142" s="160">
        <f t="shared" ca="1" si="65"/>
        <v>35.817981920351819</v>
      </c>
      <c r="P142" s="160">
        <f t="shared" ca="1" si="66"/>
        <v>59.263466397170291</v>
      </c>
    </row>
    <row r="143" spans="1:16" ht="21.75" customHeight="1" x14ac:dyDescent="0.35">
      <c r="A143" s="162"/>
      <c r="B143" s="163"/>
      <c r="C143" s="163" t="s">
        <v>16</v>
      </c>
      <c r="D143" s="164" t="s">
        <v>38</v>
      </c>
      <c r="E143" s="165"/>
      <c r="F143" s="165"/>
      <c r="G143" s="166" t="s">
        <v>39</v>
      </c>
      <c r="H143" s="167" t="s">
        <v>12</v>
      </c>
      <c r="I143" s="168" t="s">
        <v>40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 x14ac:dyDescent="0.35">
      <c r="A144" s="162"/>
      <c r="B144" s="163"/>
      <c r="C144" s="163"/>
      <c r="D144" s="172"/>
      <c r="E144" s="165"/>
      <c r="F144" s="165" t="s">
        <v>40</v>
      </c>
      <c r="G144" s="166" t="s">
        <v>41</v>
      </c>
      <c r="H144" s="167" t="s">
        <v>12</v>
      </c>
      <c r="I144" s="168"/>
      <c r="J144" s="168"/>
      <c r="K144" s="169"/>
      <c r="L144" s="173">
        <f ca="1">L145+L146</f>
        <v>818600</v>
      </c>
      <c r="M144" s="174">
        <f ca="1">IFERROR(__xludf.DUMMYFUNCTION("IMPORTRANGE(""https://docs.google.com/spreadsheets/d/1Yj_ptqi66GCucihVvJfMjLAmec39IyEx_6qawtMGysU/edit?usp=sharing"",""สบก!BJ84"")"),494750)</f>
        <v>494750</v>
      </c>
      <c r="N144" s="175">
        <f ca="1">IFERROR(__xludf.DUMMYFUNCTION("IMPORTRANGE(""https://docs.google.com/spreadsheets/d/1Yj_ptqi66GCucihVvJfMjLAmec39IyEx_6qawtMGysU/edit?usp=sharing"",""สบก!BK84"")"),293206)</f>
        <v>293206</v>
      </c>
      <c r="O144" s="176">
        <f ca="1">IF(L144&gt;0,N144*100/L144,0)</f>
        <v>35.817981920351819</v>
      </c>
      <c r="P144" s="176">
        <f ca="1">IF(M144&gt;0,N144*100/M144,0)</f>
        <v>59.263466397170291</v>
      </c>
    </row>
    <row r="145" spans="1:16" ht="21.75" customHeight="1" x14ac:dyDescent="0.35">
      <c r="A145" s="162"/>
      <c r="B145" s="163"/>
      <c r="C145" s="163"/>
      <c r="D145" s="172"/>
      <c r="E145" s="165"/>
      <c r="F145" s="165"/>
      <c r="G145" s="177" t="s">
        <v>42</v>
      </c>
      <c r="H145" s="167" t="s">
        <v>12</v>
      </c>
      <c r="I145" s="168"/>
      <c r="J145" s="168"/>
      <c r="K145" s="169"/>
      <c r="L145" s="174">
        <f ca="1">IFERROR(__xludf.DUMMYFUNCTION("IMPORTRANGE(""https://docs.google.com/spreadsheets/d/1Yj_ptqi66GCucihVvJfMjLAmec39IyEx_6qawtMGysU/edit?usp=sharing"",""สบก!BF84"")"),330100)</f>
        <v>330100</v>
      </c>
      <c r="M145" s="173"/>
      <c r="N145" s="173"/>
      <c r="O145" s="176"/>
      <c r="P145" s="176"/>
    </row>
    <row r="146" spans="1:16" ht="21.75" customHeight="1" x14ac:dyDescent="0.35">
      <c r="A146" s="162"/>
      <c r="B146" s="163"/>
      <c r="C146" s="163"/>
      <c r="D146" s="172"/>
      <c r="E146" s="165"/>
      <c r="F146" s="165"/>
      <c r="G146" s="177" t="s">
        <v>43</v>
      </c>
      <c r="H146" s="167" t="s">
        <v>12</v>
      </c>
      <c r="I146" s="168"/>
      <c r="J146" s="168"/>
      <c r="K146" s="169"/>
      <c r="L146" s="174">
        <f ca="1">IFERROR(__xludf.DUMMYFUNCTION("IMPORTRANGE(""https://docs.google.com/spreadsheets/d/1Yj_ptqi66GCucihVvJfMjLAmec39IyEx_6qawtMGysU/edit?usp=sharing"",""สบก!BG84"")"),488500)</f>
        <v>488500</v>
      </c>
      <c r="M146" s="173"/>
      <c r="N146" s="173"/>
      <c r="O146" s="176"/>
      <c r="P146" s="176"/>
    </row>
    <row r="147" spans="1:16" ht="21.75" customHeight="1" x14ac:dyDescent="0.45">
      <c r="A147" s="178"/>
      <c r="B147" s="81"/>
      <c r="C147" s="82" t="s">
        <v>16</v>
      </c>
      <c r="D147" s="549" t="s">
        <v>23</v>
      </c>
      <c r="E147" s="545"/>
      <c r="F147" s="89"/>
      <c r="G147" s="83" t="s">
        <v>18</v>
      </c>
      <c r="H147" s="179" t="s">
        <v>12</v>
      </c>
      <c r="I147" s="195"/>
      <c r="J147" s="195"/>
      <c r="K147" s="231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80"/>
      <c r="B148" s="95"/>
      <c r="C148" s="95"/>
      <c r="D148" s="181"/>
      <c r="E148" s="96"/>
      <c r="F148" s="96"/>
      <c r="G148" s="97" t="s">
        <v>19</v>
      </c>
      <c r="H148" s="182" t="s">
        <v>12</v>
      </c>
      <c r="I148" s="195"/>
      <c r="J148" s="195"/>
      <c r="K148" s="231"/>
      <c r="L148" s="91">
        <f ca="1">IFERROR(__xludf.DUMMYFUNCTION("IMPORTRANGE(""https://docs.google.com/spreadsheets/d/1Yj_ptqi66GCucihVvJfMjLAmec39IyEx_6qawtMGysU/edit?usp=sharing"",""สบก!BH84"")"),0)</f>
        <v>0</v>
      </c>
      <c r="M148" s="101"/>
      <c r="N148" s="91">
        <f ca="1">IFERROR(__xludf.DUMMYFUNCTION("IMPORTRANGE(""https://docs.google.com/spreadsheets/d/1Yj_ptqi66GCucihVvJfMjLAmec39IyEx_6qawtMGysU/edit?usp=sharing"",""สบก!BL84"")"),0)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7"/>
      <c r="B149" s="278"/>
      <c r="C149" s="279" t="s">
        <v>76</v>
      </c>
      <c r="D149" s="279"/>
      <c r="E149" s="279"/>
      <c r="F149" s="279"/>
      <c r="G149" s="280"/>
      <c r="H149" s="281" t="s">
        <v>77</v>
      </c>
      <c r="I149" s="282">
        <f ca="1">IFERROR(__xludf.DUMMYFUNCTION("IMPORTRANGE(""https://docs.google.com/spreadsheets/d/1IYY_tgx_IHuhSq3AJ5eI5OnqOPBNLWSHKh2a30DoXe8/edit?usp=sharing"",""นครศรีธรรมราช!I74"")"),4)</f>
        <v>4</v>
      </c>
      <c r="J149" s="282">
        <f ca="1">IFERROR(__xludf.DUMMYFUNCTION("IMPORTRANGE(""https://docs.google.com/spreadsheets/d/1IYY_tgx_IHuhSq3AJ5eI5OnqOPBNLWSHKh2a30DoXe8/edit?usp=sharing"",""นครศรีธรรมราช!J74"")"),2)</f>
        <v>2</v>
      </c>
      <c r="K149" s="283">
        <f ca="1">IF(I149&gt;0,J149*100/I149,0)</f>
        <v>50</v>
      </c>
      <c r="L149" s="284"/>
      <c r="M149" s="284"/>
      <c r="N149" s="284"/>
      <c r="O149" s="284"/>
      <c r="P149" s="284"/>
    </row>
    <row r="150" spans="1:16" ht="21.75" customHeight="1" x14ac:dyDescent="0.35">
      <c r="A150" s="162"/>
      <c r="B150" s="163"/>
      <c r="C150" s="163" t="s">
        <v>16</v>
      </c>
      <c r="D150" s="164" t="s">
        <v>38</v>
      </c>
      <c r="E150" s="165"/>
      <c r="F150" s="165"/>
      <c r="G150" s="166" t="s">
        <v>39</v>
      </c>
      <c r="H150" s="167" t="s">
        <v>12</v>
      </c>
      <c r="I150" s="168" t="s">
        <v>40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 x14ac:dyDescent="0.35">
      <c r="A151" s="162"/>
      <c r="B151" s="163"/>
      <c r="C151" s="163"/>
      <c r="D151" s="172"/>
      <c r="E151" s="165"/>
      <c r="F151" s="165" t="s">
        <v>40</v>
      </c>
      <c r="G151" s="166" t="s">
        <v>41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 x14ac:dyDescent="0.35">
      <c r="A152" s="162"/>
      <c r="B152" s="163"/>
      <c r="C152" s="163"/>
      <c r="D152" s="172"/>
      <c r="E152" s="165"/>
      <c r="F152" s="165"/>
      <c r="G152" s="177" t="s">
        <v>43</v>
      </c>
      <c r="H152" s="167" t="s">
        <v>12</v>
      </c>
      <c r="I152" s="168"/>
      <c r="J152" s="168"/>
      <c r="K152" s="169"/>
      <c r="L152" s="176"/>
      <c r="M152" s="176"/>
      <c r="N152" s="173"/>
      <c r="O152" s="176"/>
      <c r="P152" s="176"/>
    </row>
    <row r="153" spans="1:16" ht="21.75" customHeight="1" x14ac:dyDescent="0.35">
      <c r="A153" s="183"/>
      <c r="B153" s="184"/>
      <c r="C153" s="163" t="s">
        <v>16</v>
      </c>
      <c r="D153" s="185" t="s">
        <v>44</v>
      </c>
      <c r="E153" s="186"/>
      <c r="F153" s="186"/>
      <c r="G153" s="187"/>
      <c r="H153" s="188"/>
      <c r="I153" s="168"/>
      <c r="J153" s="168"/>
      <c r="K153" s="169"/>
      <c r="L153" s="189"/>
      <c r="M153" s="189"/>
      <c r="N153" s="189"/>
      <c r="O153" s="189"/>
      <c r="P153" s="189"/>
    </row>
    <row r="154" spans="1:16" ht="21.75" customHeight="1" x14ac:dyDescent="0.35">
      <c r="A154" s="183"/>
      <c r="B154" s="184"/>
      <c r="C154" s="184"/>
      <c r="D154" s="190">
        <v>1</v>
      </c>
      <c r="E154" s="191" t="s">
        <v>45</v>
      </c>
      <c r="F154" s="192"/>
      <c r="G154" s="193"/>
      <c r="H154" s="194"/>
      <c r="I154" s="195"/>
      <c r="J154" s="196">
        <f ca="1">IFERROR(__xludf.DUMMYFUNCTION("IMPORTRANGE(""https://docs.google.com/spreadsheets/d/1IYY_tgx_IHuhSq3AJ5eI5OnqOPBNLWSHKh2a30DoXe8/edit?usp=sharing"",""นครศรีธรรมราช!J79"")"),0)</f>
        <v>0</v>
      </c>
      <c r="K154" s="169"/>
      <c r="L154" s="189"/>
      <c r="M154" s="189"/>
      <c r="N154" s="189"/>
      <c r="O154" s="189"/>
      <c r="P154" s="189"/>
    </row>
    <row r="155" spans="1:16" ht="21.75" customHeight="1" x14ac:dyDescent="0.35">
      <c r="A155" s="183"/>
      <c r="B155" s="184"/>
      <c r="C155" s="184"/>
      <c r="D155" s="197">
        <v>2</v>
      </c>
      <c r="E155" s="198" t="s">
        <v>46</v>
      </c>
      <c r="F155" s="199"/>
      <c r="G155" s="200"/>
      <c r="H155" s="194"/>
      <c r="I155" s="195"/>
      <c r="J155" s="205">
        <f ca="1">IFERROR(__xludf.DUMMYFUNCTION("IMPORTRANGE(""https://docs.google.com/spreadsheets/d/1IYY_tgx_IHuhSq3AJ5eI5OnqOPBNLWSHKh2a30DoXe8/edit?usp=sharing"",""นครศรีธรรมราช!J80"")"),1)</f>
        <v>1</v>
      </c>
      <c r="K155" s="169"/>
      <c r="L155" s="189"/>
      <c r="M155" s="189"/>
      <c r="N155" s="189"/>
      <c r="O155" s="189"/>
      <c r="P155" s="189"/>
    </row>
    <row r="156" spans="1:16" ht="21.75" customHeight="1" x14ac:dyDescent="0.35">
      <c r="A156" s="183"/>
      <c r="B156" s="184"/>
      <c r="C156" s="184"/>
      <c r="D156" s="201"/>
      <c r="E156" s="202" t="s">
        <v>47</v>
      </c>
      <c r="F156" s="203"/>
      <c r="G156" s="204"/>
      <c r="H156" s="194"/>
      <c r="I156" s="195"/>
      <c r="J156" s="205">
        <f ca="1">IFERROR(__xludf.DUMMYFUNCTION("IMPORTRANGE(""https://docs.google.com/spreadsheets/d/1IYY_tgx_IHuhSq3AJ5eI5OnqOPBNLWSHKh2a30DoXe8/edit?usp=sharing"",""นครศรีธรรมราช!J81"")"),1)</f>
        <v>1</v>
      </c>
      <c r="K156" s="169"/>
      <c r="L156" s="189"/>
      <c r="M156" s="189"/>
      <c r="N156" s="189"/>
      <c r="O156" s="189"/>
      <c r="P156" s="189"/>
    </row>
    <row r="157" spans="1:16" ht="21.75" customHeight="1" x14ac:dyDescent="0.35">
      <c r="A157" s="183"/>
      <c r="B157" s="184"/>
      <c r="C157" s="184"/>
      <c r="D157" s="201"/>
      <c r="E157" s="202" t="s">
        <v>48</v>
      </c>
      <c r="F157" s="203"/>
      <c r="G157" s="204"/>
      <c r="H157" s="194"/>
      <c r="I157" s="195"/>
      <c r="J157" s="205">
        <f ca="1">IFERROR(__xludf.DUMMYFUNCTION("IMPORTRANGE(""https://docs.google.com/spreadsheets/d/1IYY_tgx_IHuhSq3AJ5eI5OnqOPBNLWSHKh2a30DoXe8/edit?usp=sharing"",""นครศรีธรรมราช!J82"")"),1)</f>
        <v>1</v>
      </c>
      <c r="K157" s="169"/>
      <c r="L157" s="189"/>
      <c r="M157" s="189"/>
      <c r="N157" s="189"/>
      <c r="O157" s="189"/>
      <c r="P157" s="189"/>
    </row>
    <row r="158" spans="1:16" ht="21.75" customHeight="1" x14ac:dyDescent="0.35">
      <c r="A158" s="183"/>
      <c r="B158" s="184"/>
      <c r="C158" s="184"/>
      <c r="D158" s="201"/>
      <c r="E158" s="206"/>
      <c r="F158" s="202" t="s">
        <v>78</v>
      </c>
      <c r="G158" s="204"/>
      <c r="H158" s="188" t="s">
        <v>77</v>
      </c>
      <c r="I158" s="195">
        <f ca="1">IFERROR(__xludf.DUMMYFUNCTION("IMPORTRANGE(""https://docs.google.com/spreadsheets/d/1IYY_tgx_IHuhSq3AJ5eI5OnqOPBNLWSHKh2a30DoXe8/edit?usp=sharing"",""นครศรีธรรมราช!I83"")"),4)</f>
        <v>4</v>
      </c>
      <c r="J158" s="196">
        <f ca="1">IFERROR(__xludf.DUMMYFUNCTION("IMPORTRANGE(""https://docs.google.com/spreadsheets/d/1IYY_tgx_IHuhSq3AJ5eI5OnqOPBNLWSHKh2a30DoXe8/edit?usp=sharing"",""นครศรีธรรมราช!J83"")"),2)</f>
        <v>2</v>
      </c>
      <c r="K158" s="169">
        <f ca="1">IF(I158&gt;0,J158*100/I158,0)</f>
        <v>50</v>
      </c>
      <c r="L158" s="189"/>
      <c r="M158" s="189"/>
      <c r="N158" s="189"/>
      <c r="O158" s="189"/>
      <c r="P158" s="189"/>
    </row>
    <row r="159" spans="1:16" ht="21.75" customHeight="1" x14ac:dyDescent="0.35">
      <c r="A159" s="183"/>
      <c r="B159" s="184"/>
      <c r="C159" s="184"/>
      <c r="D159" s="201"/>
      <c r="E159" s="203"/>
      <c r="F159" s="285" t="s">
        <v>79</v>
      </c>
      <c r="G159" s="204"/>
      <c r="H159" s="286" t="s">
        <v>37</v>
      </c>
      <c r="I159" s="195"/>
      <c r="J159" s="211">
        <f ca="1">IFERROR(__xludf.DUMMYFUNCTION("IMPORTRANGE(""https://docs.google.com/spreadsheets/d/1IYY_tgx_IHuhSq3AJ5eI5OnqOPBNLWSHKh2a30DoXe8/edit?usp=sharing"",""นครศรีธรรมราช!J84"")"),55)</f>
        <v>55</v>
      </c>
      <c r="K159" s="169"/>
      <c r="L159" s="189"/>
      <c r="M159" s="189"/>
      <c r="N159" s="189"/>
      <c r="O159" s="189"/>
      <c r="P159" s="189"/>
    </row>
    <row r="160" spans="1:16" ht="21.75" customHeight="1" x14ac:dyDescent="0.45">
      <c r="A160" s="183"/>
      <c r="B160" s="184"/>
      <c r="C160" s="184"/>
      <c r="D160" s="201"/>
      <c r="E160" s="203"/>
      <c r="F160" s="203"/>
      <c r="G160" s="287" t="s">
        <v>80</v>
      </c>
      <c r="H160" s="286" t="s">
        <v>37</v>
      </c>
      <c r="I160" s="195"/>
      <c r="J160" s="288">
        <f ca="1">IFERROR(__xludf.DUMMYFUNCTION("IMPORTRANGE(""https://docs.google.com/spreadsheets/d/1IYY_tgx_IHuhSq3AJ5eI5OnqOPBNLWSHKh2a30DoXe8/edit?usp=sharing"",""นครศรีธรรมราช!J85"")"),55)</f>
        <v>55</v>
      </c>
      <c r="K160" s="169"/>
      <c r="L160" s="189"/>
      <c r="M160" s="189"/>
      <c r="N160" s="189"/>
      <c r="O160" s="189"/>
      <c r="P160" s="189"/>
    </row>
    <row r="161" spans="1:16" ht="21.75" customHeight="1" x14ac:dyDescent="0.45">
      <c r="A161" s="183"/>
      <c r="B161" s="184"/>
      <c r="C161" s="184"/>
      <c r="D161" s="201"/>
      <c r="E161" s="203"/>
      <c r="F161" s="203"/>
      <c r="G161" s="287" t="s">
        <v>81</v>
      </c>
      <c r="H161" s="286" t="s">
        <v>37</v>
      </c>
      <c r="I161" s="195"/>
      <c r="J161" s="288">
        <f ca="1">IFERROR(__xludf.DUMMYFUNCTION("IMPORTRANGE(""https://docs.google.com/spreadsheets/d/1IYY_tgx_IHuhSq3AJ5eI5OnqOPBNLWSHKh2a30DoXe8/edit?usp=sharing"",""นครศรีธรรมราช!J86"")"),0)</f>
        <v>0</v>
      </c>
      <c r="K161" s="169"/>
      <c r="L161" s="189"/>
      <c r="M161" s="189"/>
      <c r="N161" s="189"/>
      <c r="O161" s="189"/>
      <c r="P161" s="189"/>
    </row>
    <row r="162" spans="1:16" ht="21.75" customHeight="1" x14ac:dyDescent="0.35">
      <c r="A162" s="183"/>
      <c r="B162" s="184"/>
      <c r="C162" s="184"/>
      <c r="D162" s="201"/>
      <c r="E162" s="202" t="s">
        <v>54</v>
      </c>
      <c r="F162" s="203"/>
      <c r="G162" s="204"/>
      <c r="H162" s="194"/>
      <c r="I162" s="195"/>
      <c r="J162" s="205">
        <f ca="1">IFERROR(__xludf.DUMMYFUNCTION("IMPORTRANGE(""https://docs.google.com/spreadsheets/d/1IYY_tgx_IHuhSq3AJ5eI5OnqOPBNLWSHKh2a30DoXe8/edit?usp=sharing"",""นครศรีธรรมราช!J87"")"),0)</f>
        <v>0</v>
      </c>
      <c r="K162" s="169"/>
      <c r="L162" s="189"/>
      <c r="M162" s="189"/>
      <c r="N162" s="189"/>
      <c r="O162" s="189"/>
      <c r="P162" s="189"/>
    </row>
    <row r="163" spans="1:16" ht="21.75" customHeight="1" x14ac:dyDescent="0.35">
      <c r="A163" s="183"/>
      <c r="B163" s="184"/>
      <c r="C163" s="184"/>
      <c r="D163" s="213">
        <v>3</v>
      </c>
      <c r="E163" s="214" t="s">
        <v>55</v>
      </c>
      <c r="F163" s="215"/>
      <c r="G163" s="216"/>
      <c r="H163" s="194"/>
      <c r="I163" s="195"/>
      <c r="J163" s="217">
        <f ca="1">IFERROR(__xludf.DUMMYFUNCTION("IMPORTRANGE(""https://docs.google.com/spreadsheets/d/1IYY_tgx_IHuhSq3AJ5eI5OnqOPBNLWSHKh2a30DoXe8/edit?usp=sharing"",""นครศรีธรรมราช!J88"")"),0)</f>
        <v>0</v>
      </c>
      <c r="K163" s="169"/>
      <c r="L163" s="189"/>
      <c r="M163" s="189"/>
      <c r="N163" s="189"/>
      <c r="O163" s="189"/>
      <c r="P163" s="189"/>
    </row>
    <row r="164" spans="1:16" ht="21.75" customHeight="1" x14ac:dyDescent="0.35">
      <c r="A164" s="277"/>
      <c r="B164" s="278"/>
      <c r="C164" s="279" t="s">
        <v>82</v>
      </c>
      <c r="D164" s="279"/>
      <c r="E164" s="279"/>
      <c r="F164" s="279"/>
      <c r="G164" s="280"/>
      <c r="H164" s="289" t="s">
        <v>83</v>
      </c>
      <c r="I164" s="290">
        <f ca="1">IFERROR(__xludf.DUMMYFUNCTION("IMPORTRANGE(""https://docs.google.com/spreadsheets/d/1IYY_tgx_IHuhSq3AJ5eI5OnqOPBNLWSHKh2a30DoXe8/edit?usp=sharing"",""นครศรีธรรมราช!I89"")"),4)</f>
        <v>4</v>
      </c>
      <c r="J164" s="290">
        <f ca="1">IFERROR(__xludf.DUMMYFUNCTION("IMPORTRANGE(""https://docs.google.com/spreadsheets/d/1IYY_tgx_IHuhSq3AJ5eI5OnqOPBNLWSHKh2a30DoXe8/edit?usp=sharing"",""นครศรีธรรมราช!J89"")"),0)</f>
        <v>0</v>
      </c>
      <c r="K164" s="291">
        <f ca="1">IF(I164&gt;0,J164*100/I164,0)</f>
        <v>0</v>
      </c>
      <c r="L164" s="284"/>
      <c r="M164" s="284"/>
      <c r="N164" s="284"/>
      <c r="O164" s="284"/>
      <c r="P164" s="284"/>
    </row>
    <row r="165" spans="1:16" ht="21.75" customHeight="1" x14ac:dyDescent="0.35">
      <c r="A165" s="162"/>
      <c r="B165" s="163"/>
      <c r="C165" s="163" t="s">
        <v>16</v>
      </c>
      <c r="D165" s="164" t="s">
        <v>38</v>
      </c>
      <c r="E165" s="165"/>
      <c r="F165" s="165"/>
      <c r="G165" s="166" t="s">
        <v>39</v>
      </c>
      <c r="H165" s="167" t="s">
        <v>12</v>
      </c>
      <c r="I165" s="168" t="s">
        <v>40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 x14ac:dyDescent="0.35">
      <c r="A166" s="162"/>
      <c r="B166" s="163"/>
      <c r="C166" s="163"/>
      <c r="D166" s="172"/>
      <c r="E166" s="165"/>
      <c r="F166" s="165" t="s">
        <v>40</v>
      </c>
      <c r="G166" s="166" t="s">
        <v>41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 x14ac:dyDescent="0.35">
      <c r="A167" s="162"/>
      <c r="B167" s="163"/>
      <c r="C167" s="163"/>
      <c r="D167" s="172"/>
      <c r="E167" s="165"/>
      <c r="F167" s="165"/>
      <c r="G167" s="177" t="s">
        <v>43</v>
      </c>
      <c r="H167" s="167" t="s">
        <v>12</v>
      </c>
      <c r="I167" s="168"/>
      <c r="J167" s="168"/>
      <c r="K167" s="169"/>
      <c r="L167" s="176"/>
      <c r="M167" s="176"/>
      <c r="N167" s="173"/>
      <c r="O167" s="176"/>
      <c r="P167" s="176"/>
    </row>
    <row r="168" spans="1:16" ht="21.75" customHeight="1" x14ac:dyDescent="0.35">
      <c r="A168" s="183"/>
      <c r="B168" s="184"/>
      <c r="C168" s="163" t="s">
        <v>16</v>
      </c>
      <c r="D168" s="185" t="s">
        <v>44</v>
      </c>
      <c r="E168" s="186"/>
      <c r="F168" s="186"/>
      <c r="G168" s="187"/>
      <c r="H168" s="188"/>
      <c r="I168" s="168"/>
      <c r="J168" s="168"/>
      <c r="K168" s="169"/>
      <c r="L168" s="189"/>
      <c r="M168" s="189"/>
      <c r="N168" s="189"/>
      <c r="O168" s="189"/>
      <c r="P168" s="189"/>
    </row>
    <row r="169" spans="1:16" ht="21.75" customHeight="1" x14ac:dyDescent="0.35">
      <c r="A169" s="183"/>
      <c r="B169" s="184"/>
      <c r="C169" s="184"/>
      <c r="D169" s="190">
        <v>1</v>
      </c>
      <c r="E169" s="191" t="s">
        <v>45</v>
      </c>
      <c r="F169" s="192"/>
      <c r="G169" s="193"/>
      <c r="H169" s="194"/>
      <c r="I169" s="195"/>
      <c r="J169" s="196">
        <f ca="1">IFERROR(__xludf.DUMMYFUNCTION("IMPORTRANGE(""https://docs.google.com/spreadsheets/d/1IYY_tgx_IHuhSq3AJ5eI5OnqOPBNLWSHKh2a30DoXe8/edit?usp=sharing"",""นครศรีธรรมราช!J94"")"),0)</f>
        <v>0</v>
      </c>
      <c r="K169" s="169"/>
      <c r="L169" s="189"/>
      <c r="M169" s="189"/>
      <c r="N169" s="189"/>
      <c r="O169" s="189"/>
      <c r="P169" s="189"/>
    </row>
    <row r="170" spans="1:16" ht="21.75" customHeight="1" x14ac:dyDescent="0.35">
      <c r="A170" s="183"/>
      <c r="B170" s="184"/>
      <c r="C170" s="184"/>
      <c r="D170" s="197">
        <v>2</v>
      </c>
      <c r="E170" s="198" t="s">
        <v>46</v>
      </c>
      <c r="F170" s="199"/>
      <c r="G170" s="200"/>
      <c r="H170" s="194"/>
      <c r="I170" s="195"/>
      <c r="J170" s="205">
        <f ca="1">IFERROR(__xludf.DUMMYFUNCTION("IMPORTRANGE(""https://docs.google.com/spreadsheets/d/1IYY_tgx_IHuhSq3AJ5eI5OnqOPBNLWSHKh2a30DoXe8/edit?usp=sharing"",""นครศรีธรรมราช!J95"")"),1)</f>
        <v>1</v>
      </c>
      <c r="K170" s="169"/>
      <c r="L170" s="189"/>
      <c r="M170" s="189"/>
      <c r="N170" s="189"/>
      <c r="O170" s="189"/>
      <c r="P170" s="189"/>
    </row>
    <row r="171" spans="1:16" ht="21.75" customHeight="1" x14ac:dyDescent="0.35">
      <c r="A171" s="183"/>
      <c r="B171" s="184"/>
      <c r="C171" s="184"/>
      <c r="D171" s="201"/>
      <c r="E171" s="202" t="s">
        <v>47</v>
      </c>
      <c r="F171" s="203"/>
      <c r="G171" s="204"/>
      <c r="H171" s="194"/>
      <c r="I171" s="195"/>
      <c r="J171" s="205">
        <f ca="1">IFERROR(__xludf.DUMMYFUNCTION("IMPORTRANGE(""https://docs.google.com/spreadsheets/d/1IYY_tgx_IHuhSq3AJ5eI5OnqOPBNLWSHKh2a30DoXe8/edit?usp=sharing"",""นครศรีธรรมราช!J96"")"),1)</f>
        <v>1</v>
      </c>
      <c r="K171" s="169"/>
      <c r="L171" s="189"/>
      <c r="M171" s="189"/>
      <c r="N171" s="189"/>
      <c r="O171" s="189"/>
      <c r="P171" s="189"/>
    </row>
    <row r="172" spans="1:16" ht="21.75" customHeight="1" x14ac:dyDescent="0.35">
      <c r="A172" s="183"/>
      <c r="B172" s="184"/>
      <c r="C172" s="184"/>
      <c r="D172" s="201"/>
      <c r="E172" s="202" t="s">
        <v>48</v>
      </c>
      <c r="F172" s="203"/>
      <c r="G172" s="204"/>
      <c r="H172" s="194"/>
      <c r="I172" s="195"/>
      <c r="J172" s="205">
        <f ca="1">IFERROR(__xludf.DUMMYFUNCTION("IMPORTRANGE(""https://docs.google.com/spreadsheets/d/1IYY_tgx_IHuhSq3AJ5eI5OnqOPBNLWSHKh2a30DoXe8/edit?usp=sharing"",""นครศรีธรรมราช!J97"")"),1)</f>
        <v>1</v>
      </c>
      <c r="K172" s="169"/>
      <c r="L172" s="189"/>
      <c r="M172" s="189"/>
      <c r="N172" s="189"/>
      <c r="O172" s="189"/>
      <c r="P172" s="189"/>
    </row>
    <row r="173" spans="1:16" ht="21.75" customHeight="1" x14ac:dyDescent="0.35">
      <c r="A173" s="183"/>
      <c r="B173" s="184"/>
      <c r="C173" s="184"/>
      <c r="D173" s="201"/>
      <c r="E173" s="206"/>
      <c r="F173" s="212" t="s">
        <v>84</v>
      </c>
      <c r="G173" s="204"/>
      <c r="H173" s="188" t="s">
        <v>83</v>
      </c>
      <c r="I173" s="195">
        <f ca="1">IFERROR(__xludf.DUMMYFUNCTION("IMPORTRANGE(""https://docs.google.com/spreadsheets/d/1IYY_tgx_IHuhSq3AJ5eI5OnqOPBNLWSHKh2a30DoXe8/edit?usp=sharing"",""นครศรีธรรมราช!I98"")"),4)</f>
        <v>4</v>
      </c>
      <c r="J173" s="196">
        <f ca="1">IFERROR(__xludf.DUMMYFUNCTION("IMPORTRANGE(""https://docs.google.com/spreadsheets/d/1IYY_tgx_IHuhSq3AJ5eI5OnqOPBNLWSHKh2a30DoXe8/edit?usp=sharing"",""นครศรีธรรมราช!J98"")"),0)</f>
        <v>0</v>
      </c>
      <c r="K173" s="169">
        <f ca="1">IF(I173&gt;0,J173*100/I173,0)</f>
        <v>0</v>
      </c>
      <c r="L173" s="176"/>
      <c r="M173" s="176"/>
      <c r="N173" s="173"/>
      <c r="O173" s="176"/>
      <c r="P173" s="176"/>
    </row>
    <row r="174" spans="1:16" ht="21.75" customHeight="1" x14ac:dyDescent="0.35">
      <c r="A174" s="183"/>
      <c r="B174" s="184"/>
      <c r="C174" s="184"/>
      <c r="D174" s="201"/>
      <c r="E174" s="202" t="s">
        <v>54</v>
      </c>
      <c r="F174" s="203"/>
      <c r="G174" s="204"/>
      <c r="H174" s="194"/>
      <c r="I174" s="195"/>
      <c r="J174" s="205">
        <f ca="1">IFERROR(__xludf.DUMMYFUNCTION("IMPORTRANGE(""https://docs.google.com/spreadsheets/d/1IYY_tgx_IHuhSq3AJ5eI5OnqOPBNLWSHKh2a30DoXe8/edit?usp=sharing"",""นครศรีธรรมราช!J99"")"),0)</f>
        <v>0</v>
      </c>
      <c r="K174" s="169"/>
      <c r="L174" s="189"/>
      <c r="M174" s="189"/>
      <c r="N174" s="189"/>
      <c r="O174" s="189"/>
      <c r="P174" s="189"/>
    </row>
    <row r="175" spans="1:16" ht="21.75" customHeight="1" x14ac:dyDescent="0.35">
      <c r="A175" s="183"/>
      <c r="B175" s="184"/>
      <c r="C175" s="184"/>
      <c r="D175" s="213">
        <v>3</v>
      </c>
      <c r="E175" s="214" t="s">
        <v>55</v>
      </c>
      <c r="F175" s="215"/>
      <c r="G175" s="216"/>
      <c r="H175" s="194"/>
      <c r="I175" s="195"/>
      <c r="J175" s="217">
        <f ca="1">IFERROR(__xludf.DUMMYFUNCTION("IMPORTRANGE(""https://docs.google.com/spreadsheets/d/1IYY_tgx_IHuhSq3AJ5eI5OnqOPBNLWSHKh2a30DoXe8/edit?usp=sharing"",""นครศรีธรรมราช!J100"")"),0)</f>
        <v>0</v>
      </c>
      <c r="K175" s="169"/>
      <c r="L175" s="189"/>
      <c r="M175" s="189"/>
      <c r="N175" s="189"/>
      <c r="O175" s="189"/>
      <c r="P175" s="189"/>
    </row>
    <row r="176" spans="1:16" ht="21.75" customHeight="1" x14ac:dyDescent="0.35">
      <c r="A176" s="277"/>
      <c r="B176" s="278"/>
      <c r="C176" s="279" t="s">
        <v>85</v>
      </c>
      <c r="D176" s="279"/>
      <c r="E176" s="279"/>
      <c r="F176" s="279"/>
      <c r="G176" s="280"/>
      <c r="H176" s="289" t="s">
        <v>83</v>
      </c>
      <c r="I176" s="290">
        <f ca="1">IFERROR(__xludf.DUMMYFUNCTION("IMPORTRANGE(""https://docs.google.com/spreadsheets/d/1IYY_tgx_IHuhSq3AJ5eI5OnqOPBNLWSHKh2a30DoXe8/edit?usp=sharing"",""นครศรีธรรมราช!I101"")"),2)</f>
        <v>2</v>
      </c>
      <c r="J176" s="290">
        <f ca="1">IFERROR(__xludf.DUMMYFUNCTION("IMPORTRANGE(""https://docs.google.com/spreadsheets/d/1IYY_tgx_IHuhSq3AJ5eI5OnqOPBNLWSHKh2a30DoXe8/edit?usp=sharing"",""นครศรีธรรมราช!J101"")"),0)</f>
        <v>0</v>
      </c>
      <c r="K176" s="291">
        <f ca="1">IF(I176&gt;0,J176*100/I176,0)</f>
        <v>0</v>
      </c>
      <c r="L176" s="284"/>
      <c r="M176" s="284"/>
      <c r="N176" s="284"/>
      <c r="O176" s="284"/>
      <c r="P176" s="284"/>
    </row>
    <row r="177" spans="1:16" ht="21.75" customHeight="1" x14ac:dyDescent="0.35">
      <c r="A177" s="162"/>
      <c r="B177" s="163"/>
      <c r="C177" s="163" t="s">
        <v>16</v>
      </c>
      <c r="D177" s="164" t="s">
        <v>38</v>
      </c>
      <c r="E177" s="165"/>
      <c r="F177" s="165"/>
      <c r="G177" s="166" t="s">
        <v>39</v>
      </c>
      <c r="H177" s="167" t="s">
        <v>12</v>
      </c>
      <c r="I177" s="168" t="s">
        <v>40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 x14ac:dyDescent="0.35">
      <c r="A178" s="162"/>
      <c r="B178" s="163"/>
      <c r="C178" s="163"/>
      <c r="D178" s="172"/>
      <c r="E178" s="165"/>
      <c r="F178" s="165" t="s">
        <v>40</v>
      </c>
      <c r="G178" s="166" t="s">
        <v>41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 x14ac:dyDescent="0.35">
      <c r="A179" s="162"/>
      <c r="B179" s="163"/>
      <c r="C179" s="163"/>
      <c r="D179" s="172"/>
      <c r="E179" s="165"/>
      <c r="F179" s="165"/>
      <c r="G179" s="177" t="s">
        <v>43</v>
      </c>
      <c r="H179" s="167" t="s">
        <v>12</v>
      </c>
      <c r="I179" s="168"/>
      <c r="J179" s="195"/>
      <c r="K179" s="231"/>
      <c r="L179" s="176"/>
      <c r="M179" s="176"/>
      <c r="N179" s="173"/>
      <c r="O179" s="176"/>
      <c r="P179" s="176"/>
    </row>
    <row r="180" spans="1:16" ht="21.75" customHeight="1" x14ac:dyDescent="0.35">
      <c r="A180" s="183"/>
      <c r="B180" s="184"/>
      <c r="C180" s="163" t="s">
        <v>16</v>
      </c>
      <c r="D180" s="185" t="s">
        <v>44</v>
      </c>
      <c r="E180" s="186"/>
      <c r="F180" s="186"/>
      <c r="G180" s="187"/>
      <c r="H180" s="188"/>
      <c r="I180" s="168"/>
      <c r="J180" s="195"/>
      <c r="K180" s="231"/>
      <c r="L180" s="176"/>
      <c r="M180" s="176"/>
      <c r="N180" s="176"/>
      <c r="O180" s="189"/>
      <c r="P180" s="189"/>
    </row>
    <row r="181" spans="1:16" ht="21.75" customHeight="1" x14ac:dyDescent="0.35">
      <c r="A181" s="183"/>
      <c r="B181" s="184"/>
      <c r="C181" s="184"/>
      <c r="D181" s="190">
        <v>1</v>
      </c>
      <c r="E181" s="191" t="s">
        <v>45</v>
      </c>
      <c r="F181" s="192"/>
      <c r="G181" s="193"/>
      <c r="H181" s="194"/>
      <c r="I181" s="195"/>
      <c r="J181" s="195">
        <f ca="1">IFERROR(__xludf.DUMMYFUNCTION("IMPORTRANGE(""https://docs.google.com/spreadsheets/d/1IYY_tgx_IHuhSq3AJ5eI5OnqOPBNLWSHKh2a30DoXe8/edit?usp=sharing"",""นครศรีธรรมราช!J106"")"),0)</f>
        <v>0</v>
      </c>
      <c r="K181" s="231"/>
      <c r="L181" s="176"/>
      <c r="M181" s="176"/>
      <c r="N181" s="176"/>
      <c r="O181" s="189"/>
      <c r="P181" s="189"/>
    </row>
    <row r="182" spans="1:16" ht="21.75" customHeight="1" x14ac:dyDescent="0.35">
      <c r="A182" s="183"/>
      <c r="B182" s="184"/>
      <c r="C182" s="184"/>
      <c r="D182" s="197">
        <v>2</v>
      </c>
      <c r="E182" s="198" t="s">
        <v>46</v>
      </c>
      <c r="F182" s="199"/>
      <c r="G182" s="200"/>
      <c r="H182" s="194"/>
      <c r="I182" s="195"/>
      <c r="J182" s="195">
        <f ca="1">IFERROR(__xludf.DUMMYFUNCTION("IMPORTRANGE(""https://docs.google.com/spreadsheets/d/1IYY_tgx_IHuhSq3AJ5eI5OnqOPBNLWSHKh2a30DoXe8/edit?usp=sharing"",""นครศรีธรรมราช!J107"")"),1)</f>
        <v>1</v>
      </c>
      <c r="K182" s="231"/>
      <c r="L182" s="176"/>
      <c r="M182" s="176"/>
      <c r="N182" s="176"/>
      <c r="O182" s="189"/>
      <c r="P182" s="189"/>
    </row>
    <row r="183" spans="1:16" ht="21.75" customHeight="1" x14ac:dyDescent="0.35">
      <c r="A183" s="183"/>
      <c r="B183" s="184"/>
      <c r="C183" s="184"/>
      <c r="D183" s="201"/>
      <c r="E183" s="202" t="s">
        <v>47</v>
      </c>
      <c r="F183" s="203"/>
      <c r="G183" s="204"/>
      <c r="H183" s="194"/>
      <c r="I183" s="195"/>
      <c r="J183" s="195">
        <f ca="1">IFERROR(__xludf.DUMMYFUNCTION("IMPORTRANGE(""https://docs.google.com/spreadsheets/d/1IYY_tgx_IHuhSq3AJ5eI5OnqOPBNLWSHKh2a30DoXe8/edit?usp=sharing"",""นครศรีธรรมราช!J108"")"),1)</f>
        <v>1</v>
      </c>
      <c r="K183" s="231"/>
      <c r="L183" s="176"/>
      <c r="M183" s="176"/>
      <c r="N183" s="176"/>
      <c r="O183" s="189"/>
      <c r="P183" s="189"/>
    </row>
    <row r="184" spans="1:16" ht="21.75" customHeight="1" x14ac:dyDescent="0.35">
      <c r="A184" s="183"/>
      <c r="B184" s="184"/>
      <c r="C184" s="184"/>
      <c r="D184" s="201"/>
      <c r="E184" s="202" t="s">
        <v>48</v>
      </c>
      <c r="F184" s="203"/>
      <c r="G184" s="204"/>
      <c r="H184" s="194"/>
      <c r="I184" s="195"/>
      <c r="J184" s="195">
        <f ca="1">IFERROR(__xludf.DUMMYFUNCTION("IMPORTRANGE(""https://docs.google.com/spreadsheets/d/1IYY_tgx_IHuhSq3AJ5eI5OnqOPBNLWSHKh2a30DoXe8/edit?usp=sharing"",""นครศรีธรรมราช!J109"")"),1)</f>
        <v>1</v>
      </c>
      <c r="K184" s="231"/>
      <c r="L184" s="176"/>
      <c r="M184" s="176"/>
      <c r="N184" s="176"/>
      <c r="O184" s="189"/>
      <c r="P184" s="189"/>
    </row>
    <row r="185" spans="1:16" ht="21.75" customHeight="1" x14ac:dyDescent="0.35">
      <c r="A185" s="183"/>
      <c r="B185" s="184"/>
      <c r="C185" s="184"/>
      <c r="D185" s="201"/>
      <c r="E185" s="206"/>
      <c r="F185" s="202" t="s">
        <v>86</v>
      </c>
      <c r="G185" s="204"/>
      <c r="H185" s="188" t="s">
        <v>83</v>
      </c>
      <c r="I185" s="195">
        <f ca="1">IFERROR(__xludf.DUMMYFUNCTION("IMPORTRANGE(""https://docs.google.com/spreadsheets/d/1IYY_tgx_IHuhSq3AJ5eI5OnqOPBNLWSHKh2a30DoXe8/edit?usp=sharing"",""นครศรีธรรมราช!I110"")"),2)</f>
        <v>2</v>
      </c>
      <c r="J185" s="211">
        <f ca="1">IFERROR(__xludf.DUMMYFUNCTION("IMPORTRANGE(""https://docs.google.com/spreadsheets/d/1IYY_tgx_IHuhSq3AJ5eI5OnqOPBNLWSHKh2a30DoXe8/edit?usp=sharing"",""นครศรีธรรมราช!J110"")"),0)</f>
        <v>0</v>
      </c>
      <c r="K185" s="231">
        <f t="shared" ref="K185:K186" ca="1" si="69">IF(I185&gt;0,J185*100/I185,0)</f>
        <v>0</v>
      </c>
      <c r="L185" s="176"/>
      <c r="M185" s="176"/>
      <c r="N185" s="173"/>
      <c r="O185" s="176"/>
      <c r="P185" s="176"/>
    </row>
    <row r="186" spans="1:16" ht="21.75" customHeight="1" x14ac:dyDescent="0.35">
      <c r="A186" s="183"/>
      <c r="B186" s="184"/>
      <c r="C186" s="184"/>
      <c r="D186" s="201"/>
      <c r="E186" s="206"/>
      <c r="F186" s="202" t="s">
        <v>87</v>
      </c>
      <c r="G186" s="204"/>
      <c r="H186" s="188" t="s">
        <v>83</v>
      </c>
      <c r="I186" s="195">
        <f ca="1">IFERROR(__xludf.DUMMYFUNCTION("IMPORTRANGE(""https://docs.google.com/spreadsheets/d/1IYY_tgx_IHuhSq3AJ5eI5OnqOPBNLWSHKh2a30DoXe8/edit?usp=sharing"",""นครศรีธรรมราช!I111"")"),2)</f>
        <v>2</v>
      </c>
      <c r="J186" s="211">
        <f ca="1">IFERROR(__xludf.DUMMYFUNCTION("IMPORTRANGE(""https://docs.google.com/spreadsheets/d/1IYY_tgx_IHuhSq3AJ5eI5OnqOPBNLWSHKh2a30DoXe8/edit?usp=sharing"",""นครศรีธรรมราช!J111"")"),0)</f>
        <v>0</v>
      </c>
      <c r="K186" s="231">
        <f t="shared" ca="1" si="69"/>
        <v>0</v>
      </c>
      <c r="L186" s="176"/>
      <c r="M186" s="176"/>
      <c r="N186" s="173"/>
      <c r="O186" s="176"/>
      <c r="P186" s="176"/>
    </row>
    <row r="187" spans="1:16" ht="21.75" customHeight="1" x14ac:dyDescent="0.35">
      <c r="A187" s="183"/>
      <c r="B187" s="184"/>
      <c r="C187" s="184"/>
      <c r="D187" s="201"/>
      <c r="E187" s="202" t="s">
        <v>54</v>
      </c>
      <c r="F187" s="203"/>
      <c r="G187" s="204"/>
      <c r="H187" s="194"/>
      <c r="I187" s="195"/>
      <c r="J187" s="195">
        <f ca="1">IFERROR(__xludf.DUMMYFUNCTION("IMPORTRANGE(""https://docs.google.com/spreadsheets/d/1IYY_tgx_IHuhSq3AJ5eI5OnqOPBNLWSHKh2a30DoXe8/edit?usp=sharing"",""นครศรีธรรมราช!J112"")"),0)</f>
        <v>0</v>
      </c>
      <c r="K187" s="231"/>
      <c r="L187" s="176"/>
      <c r="M187" s="176"/>
      <c r="N187" s="176"/>
      <c r="O187" s="189"/>
      <c r="P187" s="189"/>
    </row>
    <row r="188" spans="1:16" ht="21.75" customHeight="1" x14ac:dyDescent="0.35">
      <c r="A188" s="183"/>
      <c r="B188" s="184"/>
      <c r="C188" s="184"/>
      <c r="D188" s="213">
        <v>3</v>
      </c>
      <c r="E188" s="214" t="s">
        <v>55</v>
      </c>
      <c r="F188" s="215"/>
      <c r="G188" s="216"/>
      <c r="H188" s="194"/>
      <c r="I188" s="195"/>
      <c r="J188" s="234">
        <f ca="1">IFERROR(__xludf.DUMMYFUNCTION("IMPORTRANGE(""https://docs.google.com/spreadsheets/d/1IYY_tgx_IHuhSq3AJ5eI5OnqOPBNLWSHKh2a30DoXe8/edit?usp=sharing"",""นครศรีธรรมราช!J113"")"),0)</f>
        <v>0</v>
      </c>
      <c r="K188" s="231"/>
      <c r="L188" s="176"/>
      <c r="M188" s="176"/>
      <c r="N188" s="176"/>
      <c r="O188" s="189"/>
      <c r="P188" s="189"/>
    </row>
    <row r="189" spans="1:16" ht="21.75" customHeight="1" x14ac:dyDescent="0.35">
      <c r="A189" s="277"/>
      <c r="B189" s="278"/>
      <c r="C189" s="279" t="s">
        <v>88</v>
      </c>
      <c r="D189" s="279"/>
      <c r="E189" s="279"/>
      <c r="F189" s="279"/>
      <c r="G189" s="280"/>
      <c r="H189" s="292" t="s">
        <v>89</v>
      </c>
      <c r="I189" s="290">
        <f ca="1">IFERROR(__xludf.DUMMYFUNCTION("IMPORTRANGE(""https://docs.google.com/spreadsheets/d/1IYY_tgx_IHuhSq3AJ5eI5OnqOPBNLWSHKh2a30DoXe8/edit?usp=sharing"",""นครศรีธรรมราช!I114"")"),50000)</f>
        <v>50000</v>
      </c>
      <c r="J189" s="290">
        <f ca="1">IFERROR(__xludf.DUMMYFUNCTION("IMPORTRANGE(""https://docs.google.com/spreadsheets/d/1IYY_tgx_IHuhSq3AJ5eI5OnqOPBNLWSHKh2a30DoXe8/edit?usp=sharing"",""นครศรีธรรมราช!J114"")"),0)</f>
        <v>0</v>
      </c>
      <c r="K189" s="291">
        <f ca="1">IF(I189&gt;0,J189*100/I189,0)</f>
        <v>0</v>
      </c>
      <c r="L189" s="284"/>
      <c r="M189" s="284"/>
      <c r="N189" s="284"/>
      <c r="O189" s="284"/>
      <c r="P189" s="284"/>
    </row>
    <row r="190" spans="1:16" ht="21.75" customHeight="1" x14ac:dyDescent="0.35">
      <c r="A190" s="162"/>
      <c r="B190" s="163"/>
      <c r="C190" s="163" t="s">
        <v>16</v>
      </c>
      <c r="D190" s="164" t="s">
        <v>38</v>
      </c>
      <c r="E190" s="165"/>
      <c r="F190" s="165"/>
      <c r="G190" s="166" t="s">
        <v>39</v>
      </c>
      <c r="H190" s="167" t="s">
        <v>12</v>
      </c>
      <c r="I190" s="168" t="s">
        <v>40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 x14ac:dyDescent="0.35">
      <c r="A191" s="162"/>
      <c r="B191" s="163"/>
      <c r="C191" s="163"/>
      <c r="D191" s="172"/>
      <c r="E191" s="165"/>
      <c r="F191" s="165" t="s">
        <v>40</v>
      </c>
      <c r="G191" s="166" t="s">
        <v>41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 x14ac:dyDescent="0.35">
      <c r="A192" s="162"/>
      <c r="B192" s="163"/>
      <c r="C192" s="163"/>
      <c r="D192" s="172"/>
      <c r="E192" s="165"/>
      <c r="F192" s="165"/>
      <c r="G192" s="177" t="s">
        <v>43</v>
      </c>
      <c r="H192" s="167" t="s">
        <v>12</v>
      </c>
      <c r="I192" s="168"/>
      <c r="J192" s="168"/>
      <c r="K192" s="169"/>
      <c r="L192" s="176"/>
      <c r="M192" s="176"/>
      <c r="N192" s="173"/>
      <c r="O192" s="176"/>
      <c r="P192" s="176"/>
    </row>
    <row r="193" spans="1:16" ht="21.75" customHeight="1" x14ac:dyDescent="0.35">
      <c r="A193" s="183"/>
      <c r="B193" s="184"/>
      <c r="C193" s="163" t="s">
        <v>16</v>
      </c>
      <c r="D193" s="185" t="s">
        <v>44</v>
      </c>
      <c r="E193" s="186"/>
      <c r="F193" s="186"/>
      <c r="G193" s="187"/>
      <c r="H193" s="188"/>
      <c r="I193" s="168"/>
      <c r="J193" s="168"/>
      <c r="K193" s="169"/>
      <c r="L193" s="189"/>
      <c r="M193" s="189"/>
      <c r="N193" s="189"/>
      <c r="O193" s="189"/>
      <c r="P193" s="189"/>
    </row>
    <row r="194" spans="1:16" ht="21.75" customHeight="1" x14ac:dyDescent="0.35">
      <c r="A194" s="183"/>
      <c r="B194" s="184"/>
      <c r="C194" s="184"/>
      <c r="D194" s="190">
        <v>1</v>
      </c>
      <c r="E194" s="191" t="s">
        <v>45</v>
      </c>
      <c r="F194" s="192"/>
      <c r="G194" s="193"/>
      <c r="H194" s="194"/>
      <c r="I194" s="195"/>
      <c r="J194" s="205">
        <f ca="1">IFERROR(__xludf.DUMMYFUNCTION("IMPORTRANGE(""https://docs.google.com/spreadsheets/d/1IYY_tgx_IHuhSq3AJ5eI5OnqOPBNLWSHKh2a30DoXe8/edit?usp=sharing"",""นครศรีธรรมราช!J119"")"),0)</f>
        <v>0</v>
      </c>
      <c r="K194" s="169"/>
      <c r="L194" s="189"/>
      <c r="M194" s="189"/>
      <c r="N194" s="189"/>
      <c r="O194" s="189"/>
      <c r="P194" s="189"/>
    </row>
    <row r="195" spans="1:16" ht="21.75" customHeight="1" x14ac:dyDescent="0.35">
      <c r="A195" s="183"/>
      <c r="B195" s="184"/>
      <c r="C195" s="184"/>
      <c r="D195" s="197">
        <v>2</v>
      </c>
      <c r="E195" s="198" t="s">
        <v>46</v>
      </c>
      <c r="F195" s="199"/>
      <c r="G195" s="200"/>
      <c r="H195" s="194"/>
      <c r="I195" s="195"/>
      <c r="J195" s="196">
        <f ca="1">IFERROR(__xludf.DUMMYFUNCTION("IMPORTRANGE(""https://docs.google.com/spreadsheets/d/1IYY_tgx_IHuhSq3AJ5eI5OnqOPBNLWSHKh2a30DoXe8/edit?usp=sharing"",""นครศรีธรรมราช!J120"")"),1)</f>
        <v>1</v>
      </c>
      <c r="K195" s="169"/>
      <c r="L195" s="189"/>
      <c r="M195" s="189"/>
      <c r="N195" s="189"/>
      <c r="O195" s="189"/>
      <c r="P195" s="189"/>
    </row>
    <row r="196" spans="1:16" ht="21.75" customHeight="1" x14ac:dyDescent="0.35">
      <c r="A196" s="183"/>
      <c r="B196" s="184"/>
      <c r="C196" s="184"/>
      <c r="D196" s="201"/>
      <c r="E196" s="202" t="s">
        <v>47</v>
      </c>
      <c r="F196" s="203"/>
      <c r="G196" s="204"/>
      <c r="H196" s="194"/>
      <c r="I196" s="195"/>
      <c r="J196" s="196">
        <f ca="1">IFERROR(__xludf.DUMMYFUNCTION("IMPORTRANGE(""https://docs.google.com/spreadsheets/d/1IYY_tgx_IHuhSq3AJ5eI5OnqOPBNLWSHKh2a30DoXe8/edit?usp=sharing"",""นครศรีธรรมราช!J121"")"),1)</f>
        <v>1</v>
      </c>
      <c r="K196" s="169"/>
      <c r="L196" s="189"/>
      <c r="M196" s="189"/>
      <c r="N196" s="189"/>
      <c r="O196" s="189"/>
      <c r="P196" s="189"/>
    </row>
    <row r="197" spans="1:16" ht="21.75" customHeight="1" x14ac:dyDescent="0.35">
      <c r="A197" s="183"/>
      <c r="B197" s="184"/>
      <c r="C197" s="184"/>
      <c r="D197" s="201"/>
      <c r="E197" s="202" t="s">
        <v>48</v>
      </c>
      <c r="F197" s="203"/>
      <c r="G197" s="204"/>
      <c r="H197" s="194"/>
      <c r="I197" s="195"/>
      <c r="J197" s="205">
        <f ca="1">IFERROR(__xludf.DUMMYFUNCTION("IMPORTRANGE(""https://docs.google.com/spreadsheets/d/1IYY_tgx_IHuhSq3AJ5eI5OnqOPBNLWSHKh2a30DoXe8/edit?usp=sharing"",""นครศรีธรรมราช!J122"")"),1)</f>
        <v>1</v>
      </c>
      <c r="K197" s="169"/>
      <c r="L197" s="189"/>
      <c r="M197" s="189"/>
      <c r="N197" s="189"/>
      <c r="O197" s="189"/>
      <c r="P197" s="189"/>
    </row>
    <row r="198" spans="1:16" ht="21.75" customHeight="1" x14ac:dyDescent="0.35">
      <c r="A198" s="183"/>
      <c r="B198" s="184"/>
      <c r="C198" s="184"/>
      <c r="D198" s="201"/>
      <c r="E198" s="203"/>
      <c r="F198" s="203" t="s">
        <v>90</v>
      </c>
      <c r="G198" s="204"/>
      <c r="H198" s="188"/>
      <c r="I198" s="195"/>
      <c r="J198" s="195"/>
      <c r="K198" s="169"/>
      <c r="L198" s="189"/>
      <c r="M198" s="189"/>
      <c r="N198" s="189"/>
      <c r="O198" s="189"/>
      <c r="P198" s="189"/>
    </row>
    <row r="199" spans="1:16" ht="21.75" customHeight="1" x14ac:dyDescent="0.35">
      <c r="A199" s="183"/>
      <c r="B199" s="184"/>
      <c r="C199" s="184"/>
      <c r="D199" s="201"/>
      <c r="E199" s="206"/>
      <c r="F199" s="203"/>
      <c r="G199" s="202" t="s">
        <v>91</v>
      </c>
      <c r="H199" s="188" t="s">
        <v>89</v>
      </c>
      <c r="I199" s="195">
        <f ca="1">IFERROR(__xludf.DUMMYFUNCTION("IMPORTRANGE(""https://docs.google.com/spreadsheets/d/1IYY_tgx_IHuhSq3AJ5eI5OnqOPBNLWSHKh2a30DoXe8/edit?usp=sharing"",""นครศรีธรรมราช!I124"")"),50000)</f>
        <v>50000</v>
      </c>
      <c r="J199" s="196">
        <f ca="1">IFERROR(__xludf.DUMMYFUNCTION("IMPORTRANGE(""https://docs.google.com/spreadsheets/d/1IYY_tgx_IHuhSq3AJ5eI5OnqOPBNLWSHKh2a30DoXe8/edit?usp=sharing"",""นครศรีธรรมราช!J124"")"),0)</f>
        <v>0</v>
      </c>
      <c r="K199" s="169">
        <f t="shared" ref="K199:K201" ca="1" si="70">IF(I199&gt;0,J199*100/I199,0)</f>
        <v>0</v>
      </c>
      <c r="L199" s="189"/>
      <c r="M199" s="189"/>
      <c r="N199" s="189"/>
      <c r="O199" s="189"/>
      <c r="P199" s="189"/>
    </row>
    <row r="200" spans="1:16" ht="21.75" customHeight="1" x14ac:dyDescent="0.35">
      <c r="A200" s="183"/>
      <c r="B200" s="184"/>
      <c r="C200" s="184"/>
      <c r="D200" s="201"/>
      <c r="E200" s="206"/>
      <c r="F200" s="203"/>
      <c r="G200" s="202" t="s">
        <v>92</v>
      </c>
      <c r="H200" s="188" t="s">
        <v>89</v>
      </c>
      <c r="I200" s="195">
        <f ca="1">IFERROR(__xludf.DUMMYFUNCTION("IMPORTRANGE(""https://docs.google.com/spreadsheets/d/1IYY_tgx_IHuhSq3AJ5eI5OnqOPBNLWSHKh2a30DoXe8/edit?usp=sharing"",""นครศรีธรรมราช!I125"")"),50000)</f>
        <v>50000</v>
      </c>
      <c r="J200" s="196">
        <f ca="1">IFERROR(__xludf.DUMMYFUNCTION("IMPORTRANGE(""https://docs.google.com/spreadsheets/d/1IYY_tgx_IHuhSq3AJ5eI5OnqOPBNLWSHKh2a30DoXe8/edit?usp=sharing"",""นครศรีธรรมราช!J125"")"),0)</f>
        <v>0</v>
      </c>
      <c r="K200" s="169">
        <f t="shared" ca="1" si="70"/>
        <v>0</v>
      </c>
      <c r="L200" s="176"/>
      <c r="M200" s="176"/>
      <c r="N200" s="173"/>
      <c r="O200" s="176"/>
      <c r="P200" s="176"/>
    </row>
    <row r="201" spans="1:16" ht="21.75" customHeight="1" x14ac:dyDescent="0.35">
      <c r="A201" s="183"/>
      <c r="B201" s="184"/>
      <c r="C201" s="184"/>
      <c r="D201" s="201"/>
      <c r="E201" s="206"/>
      <c r="F201" s="203" t="s">
        <v>93</v>
      </c>
      <c r="G201" s="204"/>
      <c r="H201" s="188" t="s">
        <v>37</v>
      </c>
      <c r="I201" s="195">
        <f ca="1">IFERROR(__xludf.DUMMYFUNCTION("IMPORTRANGE(""https://docs.google.com/spreadsheets/d/1IYY_tgx_IHuhSq3AJ5eI5OnqOPBNLWSHKh2a30DoXe8/edit?usp=sharing"",""นครศรีธรรมราช!I126"")"),0)</f>
        <v>0</v>
      </c>
      <c r="J201" s="196">
        <f ca="1">IFERROR(__xludf.DUMMYFUNCTION("IMPORTRANGE(""https://docs.google.com/spreadsheets/d/1IYY_tgx_IHuhSq3AJ5eI5OnqOPBNLWSHKh2a30DoXe8/edit?usp=sharing"",""นครศรีธรรมราช!J126"")"),0)</f>
        <v>0</v>
      </c>
      <c r="K201" s="169">
        <f t="shared" ca="1" si="70"/>
        <v>0</v>
      </c>
      <c r="L201" s="176"/>
      <c r="M201" s="176"/>
      <c r="N201" s="173"/>
      <c r="O201" s="176"/>
      <c r="P201" s="176"/>
    </row>
    <row r="202" spans="1:16" ht="21.75" customHeight="1" x14ac:dyDescent="0.35">
      <c r="A202" s="183"/>
      <c r="B202" s="184"/>
      <c r="C202" s="184"/>
      <c r="D202" s="201"/>
      <c r="E202" s="202" t="s">
        <v>54</v>
      </c>
      <c r="F202" s="203"/>
      <c r="G202" s="204"/>
      <c r="H202" s="194"/>
      <c r="I202" s="195"/>
      <c r="J202" s="205">
        <f ca="1">IFERROR(__xludf.DUMMYFUNCTION("IMPORTRANGE(""https://docs.google.com/spreadsheets/d/1IYY_tgx_IHuhSq3AJ5eI5OnqOPBNLWSHKh2a30DoXe8/edit?usp=sharing"",""นครศรีธรรมราช!J127"")"),0)</f>
        <v>0</v>
      </c>
      <c r="K202" s="169"/>
      <c r="L202" s="189"/>
      <c r="M202" s="189"/>
      <c r="N202" s="189"/>
      <c r="O202" s="189"/>
      <c r="P202" s="189"/>
    </row>
    <row r="203" spans="1:16" ht="21.75" customHeight="1" x14ac:dyDescent="0.35">
      <c r="A203" s="241"/>
      <c r="B203" s="242"/>
      <c r="C203" s="242"/>
      <c r="D203" s="243">
        <v>3</v>
      </c>
      <c r="E203" s="244" t="s">
        <v>55</v>
      </c>
      <c r="F203" s="245"/>
      <c r="G203" s="246"/>
      <c r="H203" s="247"/>
      <c r="I203" s="248"/>
      <c r="J203" s="293">
        <f ca="1">IFERROR(__xludf.DUMMYFUNCTION("IMPORTRANGE(""https://docs.google.com/spreadsheets/d/1IYY_tgx_IHuhSq3AJ5eI5OnqOPBNLWSHKh2a30DoXe8/edit?usp=sharing"",""นครศรีธรรมราช!J128"")"),0)</f>
        <v>0</v>
      </c>
      <c r="K203" s="294"/>
      <c r="L203" s="252"/>
      <c r="M203" s="252"/>
      <c r="N203" s="252"/>
      <c r="O203" s="252"/>
      <c r="P203" s="252"/>
    </row>
    <row r="204" spans="1:16" ht="21.75" customHeight="1" x14ac:dyDescent="0.35">
      <c r="A204" s="277"/>
      <c r="B204" s="278"/>
      <c r="C204" s="295" t="s">
        <v>94</v>
      </c>
      <c r="D204" s="279"/>
      <c r="E204" s="279"/>
      <c r="F204" s="279"/>
      <c r="G204" s="280"/>
      <c r="H204" s="292" t="s">
        <v>37</v>
      </c>
      <c r="I204" s="290">
        <f ca="1">IFERROR(__xludf.DUMMYFUNCTION("IMPORTRANGE(""https://docs.google.com/spreadsheets/d/1IYY_tgx_IHuhSq3AJ5eI5OnqOPBNLWSHKh2a30DoXe8/edit?usp=sharing"",""นครศรีธรรมราช!I129"")"),100)</f>
        <v>100</v>
      </c>
      <c r="J204" s="290">
        <f ca="1">IFERROR(__xludf.DUMMYFUNCTION("IMPORTRANGE(""https://docs.google.com/spreadsheets/d/1IYY_tgx_IHuhSq3AJ5eI5OnqOPBNLWSHKh2a30DoXe8/edit?usp=sharing"",""นครศรีธรรมราช!J129"")"),52)</f>
        <v>52</v>
      </c>
      <c r="K204" s="291">
        <f ca="1">IF(I204&gt;0,J204*100/I204,0)</f>
        <v>52</v>
      </c>
      <c r="L204" s="284"/>
      <c r="M204" s="284"/>
      <c r="N204" s="284"/>
      <c r="O204" s="284"/>
      <c r="P204" s="284"/>
    </row>
    <row r="205" spans="1:16" ht="21.75" customHeight="1" x14ac:dyDescent="0.35">
      <c r="A205" s="162"/>
      <c r="B205" s="163"/>
      <c r="C205" s="163" t="s">
        <v>16</v>
      </c>
      <c r="D205" s="164" t="s">
        <v>38</v>
      </c>
      <c r="E205" s="165"/>
      <c r="F205" s="165"/>
      <c r="G205" s="166" t="s">
        <v>39</v>
      </c>
      <c r="H205" s="167" t="s">
        <v>12</v>
      </c>
      <c r="I205" s="168" t="s">
        <v>40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 x14ac:dyDescent="0.35">
      <c r="A206" s="162"/>
      <c r="B206" s="163"/>
      <c r="C206" s="163"/>
      <c r="D206" s="172"/>
      <c r="E206" s="165"/>
      <c r="F206" s="165" t="s">
        <v>40</v>
      </c>
      <c r="G206" s="166" t="s">
        <v>41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 x14ac:dyDescent="0.35">
      <c r="A207" s="162"/>
      <c r="B207" s="163"/>
      <c r="C207" s="163"/>
      <c r="D207" s="172"/>
      <c r="E207" s="165"/>
      <c r="F207" s="165"/>
      <c r="G207" s="177" t="s">
        <v>43</v>
      </c>
      <c r="H207" s="167" t="s">
        <v>12</v>
      </c>
      <c r="I207" s="168"/>
      <c r="J207" s="195"/>
      <c r="K207" s="231"/>
      <c r="L207" s="176"/>
      <c r="M207" s="176"/>
      <c r="N207" s="173"/>
      <c r="O207" s="176"/>
      <c r="P207" s="176"/>
    </row>
    <row r="208" spans="1:16" ht="21.75" customHeight="1" x14ac:dyDescent="0.35">
      <c r="A208" s="183"/>
      <c r="B208" s="184"/>
      <c r="C208" s="163" t="s">
        <v>16</v>
      </c>
      <c r="D208" s="185" t="s">
        <v>44</v>
      </c>
      <c r="E208" s="186"/>
      <c r="F208" s="186"/>
      <c r="G208" s="187"/>
      <c r="H208" s="188"/>
      <c r="I208" s="168"/>
      <c r="J208" s="195"/>
      <c r="K208" s="231"/>
      <c r="L208" s="176"/>
      <c r="M208" s="176"/>
      <c r="N208" s="176"/>
      <c r="O208" s="189"/>
      <c r="P208" s="189"/>
    </row>
    <row r="209" spans="1:16" ht="21.75" customHeight="1" x14ac:dyDescent="0.35">
      <c r="A209" s="183"/>
      <c r="B209" s="184"/>
      <c r="C209" s="184"/>
      <c r="D209" s="190">
        <v>1</v>
      </c>
      <c r="E209" s="191" t="s">
        <v>45</v>
      </c>
      <c r="F209" s="192"/>
      <c r="G209" s="193"/>
      <c r="H209" s="194"/>
      <c r="I209" s="195"/>
      <c r="J209" s="195">
        <f ca="1">IFERROR(__xludf.DUMMYFUNCTION("IMPORTRANGE(""https://docs.google.com/spreadsheets/d/1IYY_tgx_IHuhSq3AJ5eI5OnqOPBNLWSHKh2a30DoXe8/edit?usp=sharing"",""นครศรีธรรมราช!J134"")"),0)</f>
        <v>0</v>
      </c>
      <c r="K209" s="231"/>
      <c r="L209" s="176"/>
      <c r="M209" s="176"/>
      <c r="N209" s="176"/>
      <c r="O209" s="189"/>
      <c r="P209" s="189"/>
    </row>
    <row r="210" spans="1:16" ht="21.75" customHeight="1" x14ac:dyDescent="0.35">
      <c r="A210" s="183"/>
      <c r="B210" s="184"/>
      <c r="C210" s="184"/>
      <c r="D210" s="197">
        <v>2</v>
      </c>
      <c r="E210" s="198" t="s">
        <v>46</v>
      </c>
      <c r="F210" s="199"/>
      <c r="G210" s="200"/>
      <c r="H210" s="194"/>
      <c r="I210" s="195"/>
      <c r="J210" s="195">
        <f ca="1">IFERROR(__xludf.DUMMYFUNCTION("IMPORTRANGE(""https://docs.google.com/spreadsheets/d/1IYY_tgx_IHuhSq3AJ5eI5OnqOPBNLWSHKh2a30DoXe8/edit?usp=sharing"",""นครศรีธรรมราช!J135"")"),1)</f>
        <v>1</v>
      </c>
      <c r="K210" s="231"/>
      <c r="L210" s="176"/>
      <c r="M210" s="176"/>
      <c r="N210" s="176"/>
      <c r="O210" s="189"/>
      <c r="P210" s="189"/>
    </row>
    <row r="211" spans="1:16" ht="21.75" customHeight="1" x14ac:dyDescent="0.35">
      <c r="A211" s="183"/>
      <c r="B211" s="184"/>
      <c r="C211" s="184"/>
      <c r="D211" s="201"/>
      <c r="E211" s="202" t="s">
        <v>47</v>
      </c>
      <c r="F211" s="203"/>
      <c r="G211" s="204"/>
      <c r="H211" s="194"/>
      <c r="I211" s="195"/>
      <c r="J211" s="195">
        <f ca="1">IFERROR(__xludf.DUMMYFUNCTION("IMPORTRANGE(""https://docs.google.com/spreadsheets/d/1IYY_tgx_IHuhSq3AJ5eI5OnqOPBNLWSHKh2a30DoXe8/edit?usp=sharing"",""นครศรีธรรมราช!J136"")"),1)</f>
        <v>1</v>
      </c>
      <c r="K211" s="231"/>
      <c r="L211" s="176"/>
      <c r="M211" s="176"/>
      <c r="N211" s="176"/>
      <c r="O211" s="189"/>
      <c r="P211" s="189"/>
    </row>
    <row r="212" spans="1:16" ht="21.75" customHeight="1" x14ac:dyDescent="0.35">
      <c r="A212" s="183"/>
      <c r="B212" s="184"/>
      <c r="C212" s="184"/>
      <c r="D212" s="201"/>
      <c r="E212" s="202" t="s">
        <v>48</v>
      </c>
      <c r="F212" s="203"/>
      <c r="G212" s="204"/>
      <c r="H212" s="194"/>
      <c r="I212" s="195"/>
      <c r="J212" s="195">
        <f ca="1">IFERROR(__xludf.DUMMYFUNCTION("IMPORTRANGE(""https://docs.google.com/spreadsheets/d/1IYY_tgx_IHuhSq3AJ5eI5OnqOPBNLWSHKh2a30DoXe8/edit?usp=sharing"",""นครศรีธรรมราช!J137"")"),1)</f>
        <v>1</v>
      </c>
      <c r="K212" s="231"/>
      <c r="L212" s="176"/>
      <c r="M212" s="176"/>
      <c r="N212" s="176"/>
      <c r="O212" s="189"/>
      <c r="P212" s="189"/>
    </row>
    <row r="213" spans="1:16" ht="21.75" customHeight="1" x14ac:dyDescent="0.35">
      <c r="A213" s="183"/>
      <c r="B213" s="184"/>
      <c r="C213" s="184"/>
      <c r="D213" s="201"/>
      <c r="E213" s="206"/>
      <c r="F213" s="203" t="s">
        <v>95</v>
      </c>
      <c r="G213" s="204"/>
      <c r="H213" s="188" t="s">
        <v>37</v>
      </c>
      <c r="I213" s="195">
        <f ca="1">IFERROR(__xludf.DUMMYFUNCTION("IMPORTRANGE(""https://docs.google.com/spreadsheets/d/1IYY_tgx_IHuhSq3AJ5eI5OnqOPBNLWSHKh2a30DoXe8/edit?usp=sharing"",""นครศรีธรรมราช!I138"")"),100)</f>
        <v>100</v>
      </c>
      <c r="J213" s="211">
        <f ca="1">IFERROR(__xludf.DUMMYFUNCTION("IMPORTRANGE(""https://docs.google.com/spreadsheets/d/1IYY_tgx_IHuhSq3AJ5eI5OnqOPBNLWSHKh2a30DoXe8/edit?usp=sharing"",""นครศรีธรรมราช!J138"")"),52)</f>
        <v>52</v>
      </c>
      <c r="K213" s="231">
        <f ca="1">IF(I213&gt;0,J213*100/I213,0)</f>
        <v>52</v>
      </c>
      <c r="L213" s="176"/>
      <c r="M213" s="176"/>
      <c r="N213" s="173"/>
      <c r="O213" s="176"/>
      <c r="P213" s="176"/>
    </row>
    <row r="214" spans="1:16" ht="21.75" customHeight="1" x14ac:dyDescent="0.35">
      <c r="A214" s="183"/>
      <c r="B214" s="184"/>
      <c r="C214" s="184"/>
      <c r="D214" s="201"/>
      <c r="E214" s="206"/>
      <c r="F214" s="202" t="s">
        <v>53</v>
      </c>
      <c r="G214" s="204"/>
      <c r="H214" s="188"/>
      <c r="I214" s="195"/>
      <c r="J214" s="195"/>
      <c r="K214" s="231"/>
      <c r="L214" s="176"/>
      <c r="M214" s="176"/>
      <c r="N214" s="176"/>
      <c r="O214" s="189"/>
      <c r="P214" s="189"/>
    </row>
    <row r="215" spans="1:16" ht="21.75" customHeight="1" x14ac:dyDescent="0.35">
      <c r="A215" s="183"/>
      <c r="B215" s="184"/>
      <c r="C215" s="184"/>
      <c r="D215" s="201"/>
      <c r="E215" s="206"/>
      <c r="F215" s="203"/>
      <c r="G215" s="233" t="s">
        <v>96</v>
      </c>
      <c r="H215" s="188" t="s">
        <v>37</v>
      </c>
      <c r="I215" s="195">
        <f ca="1">IFERROR(__xludf.DUMMYFUNCTION("IMPORTRANGE(""https://docs.google.com/spreadsheets/d/1IYY_tgx_IHuhSq3AJ5eI5OnqOPBNLWSHKh2a30DoXe8/edit?usp=sharing"",""นครศรีธรรมราช!I140"")"),0)</f>
        <v>0</v>
      </c>
      <c r="J215" s="211">
        <f ca="1">IFERROR(__xludf.DUMMYFUNCTION("IMPORTRANGE(""https://docs.google.com/spreadsheets/d/1IYY_tgx_IHuhSq3AJ5eI5OnqOPBNLWSHKh2a30DoXe8/edit?usp=sharing"",""นครศรีธรรมราช!J140"")"),0)</f>
        <v>0</v>
      </c>
      <c r="K215" s="231">
        <f t="shared" ref="K215:K216" ca="1" si="71">IF(I215&gt;0,J215*100/I215,0)</f>
        <v>0</v>
      </c>
      <c r="L215" s="176"/>
      <c r="M215" s="176"/>
      <c r="N215" s="173"/>
      <c r="O215" s="176"/>
      <c r="P215" s="176"/>
    </row>
    <row r="216" spans="1:16" ht="21.75" customHeight="1" x14ac:dyDescent="0.35">
      <c r="A216" s="183"/>
      <c r="B216" s="184"/>
      <c r="C216" s="184"/>
      <c r="D216" s="201"/>
      <c r="E216" s="206"/>
      <c r="F216" s="203"/>
      <c r="G216" s="233" t="s">
        <v>97</v>
      </c>
      <c r="H216" s="188" t="s">
        <v>59</v>
      </c>
      <c r="I216" s="195">
        <f ca="1">IFERROR(__xludf.DUMMYFUNCTION("IMPORTRANGE(""https://docs.google.com/spreadsheets/d/1IYY_tgx_IHuhSq3AJ5eI5OnqOPBNLWSHKh2a30DoXe8/edit?usp=sharing"",""นครศรีธรรมราช!I141"")"),6)</f>
        <v>6</v>
      </c>
      <c r="J216" s="211">
        <f ca="1">IFERROR(__xludf.DUMMYFUNCTION("IMPORTRANGE(""https://docs.google.com/spreadsheets/d/1IYY_tgx_IHuhSq3AJ5eI5OnqOPBNLWSHKh2a30DoXe8/edit?usp=sharing"",""นครศรีธรรมราช!J141"")"),0)</f>
        <v>0</v>
      </c>
      <c r="K216" s="231">
        <f t="shared" ca="1" si="71"/>
        <v>0</v>
      </c>
      <c r="L216" s="176"/>
      <c r="M216" s="176"/>
      <c r="N216" s="173"/>
      <c r="O216" s="176"/>
      <c r="P216" s="176"/>
    </row>
    <row r="217" spans="1:16" ht="21.75" customHeight="1" x14ac:dyDescent="0.35">
      <c r="A217" s="183"/>
      <c r="B217" s="184"/>
      <c r="C217" s="184"/>
      <c r="D217" s="201"/>
      <c r="E217" s="202" t="s">
        <v>54</v>
      </c>
      <c r="F217" s="203"/>
      <c r="G217" s="204"/>
      <c r="H217" s="194"/>
      <c r="I217" s="195"/>
      <c r="J217" s="195">
        <f ca="1">IFERROR(__xludf.DUMMYFUNCTION("IMPORTRANGE(""https://docs.google.com/spreadsheets/d/1IYY_tgx_IHuhSq3AJ5eI5OnqOPBNLWSHKh2a30DoXe8/edit?usp=sharing"",""นครศรีธรรมราช!J142"")"),0)</f>
        <v>0</v>
      </c>
      <c r="K217" s="231"/>
      <c r="L217" s="176"/>
      <c r="M217" s="176"/>
      <c r="N217" s="176"/>
      <c r="O217" s="189"/>
      <c r="P217" s="189"/>
    </row>
    <row r="218" spans="1:16" ht="21.75" customHeight="1" x14ac:dyDescent="0.35">
      <c r="A218" s="241"/>
      <c r="B218" s="242"/>
      <c r="C218" s="242"/>
      <c r="D218" s="243">
        <v>3</v>
      </c>
      <c r="E218" s="244" t="s">
        <v>55</v>
      </c>
      <c r="F218" s="245"/>
      <c r="G218" s="246"/>
      <c r="H218" s="247"/>
      <c r="I218" s="248"/>
      <c r="J218" s="249">
        <f ca="1">IFERROR(__xludf.DUMMYFUNCTION("IMPORTRANGE(""https://docs.google.com/spreadsheets/d/1IYY_tgx_IHuhSq3AJ5eI5OnqOPBNLWSHKh2a30DoXe8/edit?usp=sharing"",""นครศรีธรรมราช!J143"")"),0)</f>
        <v>0</v>
      </c>
      <c r="K218" s="250"/>
      <c r="L218" s="251"/>
      <c r="M218" s="251"/>
      <c r="N218" s="251"/>
      <c r="O218" s="252"/>
      <c r="P218" s="252"/>
    </row>
    <row r="219" spans="1:16" ht="21.75" customHeight="1" x14ac:dyDescent="0.35">
      <c r="A219" s="269"/>
      <c r="B219" s="270" t="s">
        <v>98</v>
      </c>
      <c r="C219" s="271"/>
      <c r="D219" s="270"/>
      <c r="E219" s="270"/>
      <c r="F219" s="270"/>
      <c r="G219" s="272"/>
      <c r="H219" s="273" t="s">
        <v>37</v>
      </c>
      <c r="I219" s="274">
        <f ca="1">IFERROR(__xludf.DUMMYFUNCTION("IMPORTRANGE(""https://docs.google.com/spreadsheets/d/1IYY_tgx_IHuhSq3AJ5eI5OnqOPBNLWSHKh2a30DoXe8/edit?usp=sharing"",""นครศรีธรรมราช!I144"")"),15)</f>
        <v>15</v>
      </c>
      <c r="J219" s="274">
        <f ca="1">IFERROR(__xludf.DUMMYFUNCTION("IMPORTRANGE(""https://docs.google.com/spreadsheets/d/1IYY_tgx_IHuhSq3AJ5eI5OnqOPBNLWSHKh2a30DoXe8/edit?usp=sharing"",""นครศรีธรรมราช!J144"")"),15)</f>
        <v>15</v>
      </c>
      <c r="K219" s="275">
        <f ca="1">IF(I219&gt;0,J219*100/I219,0)</f>
        <v>100</v>
      </c>
      <c r="L219" s="276"/>
      <c r="M219" s="276"/>
      <c r="N219" s="276"/>
      <c r="O219" s="275"/>
      <c r="P219" s="275"/>
    </row>
    <row r="220" spans="1:16" ht="21.75" customHeight="1" x14ac:dyDescent="0.45">
      <c r="A220" s="150"/>
      <c r="B220" s="151"/>
      <c r="C220" s="152" t="s">
        <v>16</v>
      </c>
      <c r="D220" s="552" t="s">
        <v>17</v>
      </c>
      <c r="E220" s="543"/>
      <c r="F220" s="543"/>
      <c r="G220" s="543"/>
      <c r="H220" s="153" t="s">
        <v>12</v>
      </c>
      <c r="I220" s="168"/>
      <c r="J220" s="168"/>
      <c r="K220" s="169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8"/>
      <c r="J221" s="168"/>
      <c r="K221" s="169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8"/>
      <c r="J222" s="168"/>
      <c r="K222" s="169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5">
      <c r="A223" s="162"/>
      <c r="B223" s="163"/>
      <c r="C223" s="163" t="s">
        <v>16</v>
      </c>
      <c r="D223" s="164" t="s">
        <v>38</v>
      </c>
      <c r="E223" s="165"/>
      <c r="F223" s="165"/>
      <c r="G223" s="166" t="s">
        <v>39</v>
      </c>
      <c r="H223" s="167" t="s">
        <v>12</v>
      </c>
      <c r="I223" s="168" t="s">
        <v>40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 x14ac:dyDescent="0.35">
      <c r="A224" s="162"/>
      <c r="B224" s="163"/>
      <c r="C224" s="163"/>
      <c r="D224" s="172"/>
      <c r="E224" s="165"/>
      <c r="F224" s="165" t="s">
        <v>40</v>
      </c>
      <c r="G224" s="166" t="s">
        <v>41</v>
      </c>
      <c r="H224" s="167" t="s">
        <v>12</v>
      </c>
      <c r="I224" s="168"/>
      <c r="J224" s="168"/>
      <c r="K224" s="169"/>
      <c r="L224" s="173">
        <f ca="1">L225+L226</f>
        <v>21125</v>
      </c>
      <c r="M224" s="174">
        <f ca="1">IFERROR(__xludf.DUMMYFUNCTION("IMPORTRANGE(""https://docs.google.com/spreadsheets/d/1Yj_ptqi66GCucihVvJfMjLAmec39IyEx_6qawtMGysU/edit?usp=sharing"",""สบก!BS84"")"),21125)</f>
        <v>21125</v>
      </c>
      <c r="N224" s="175">
        <f ca="1">IFERROR(__xludf.DUMMYFUNCTION("IMPORTRANGE(""https://docs.google.com/spreadsheets/d/1Yj_ptqi66GCucihVvJfMjLAmec39IyEx_6qawtMGysU/edit?usp=sharing"",""สบก!BT84"")"),21125)</f>
        <v>21125</v>
      </c>
      <c r="O224" s="176">
        <f ca="1">IF(L224&gt;0,N224*100/L224,0)</f>
        <v>100</v>
      </c>
      <c r="P224" s="176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2"/>
      <c r="E225" s="165"/>
      <c r="F225" s="165"/>
      <c r="G225" s="177" t="s">
        <v>42</v>
      </c>
      <c r="H225" s="167" t="s">
        <v>12</v>
      </c>
      <c r="I225" s="168"/>
      <c r="J225" s="168"/>
      <c r="K225" s="169"/>
      <c r="L225" s="174">
        <f ca="1">IFERROR(__xludf.DUMMYFUNCTION("IMPORTRANGE(""https://docs.google.com/spreadsheets/d/1Yj_ptqi66GCucihVvJfMjLAmec39IyEx_6qawtMGysU/edit?usp=sharing"",""สบก!BO84"")"),0)</f>
        <v>0</v>
      </c>
      <c r="M225" s="173"/>
      <c r="N225" s="173"/>
      <c r="O225" s="176"/>
      <c r="P225" s="176"/>
    </row>
    <row r="226" spans="1:16" ht="21.75" customHeight="1" x14ac:dyDescent="0.35">
      <c r="A226" s="162"/>
      <c r="B226" s="163"/>
      <c r="C226" s="163"/>
      <c r="D226" s="172"/>
      <c r="E226" s="165"/>
      <c r="F226" s="165"/>
      <c r="G226" s="177" t="s">
        <v>43</v>
      </c>
      <c r="H226" s="167" t="s">
        <v>12</v>
      </c>
      <c r="I226" s="168"/>
      <c r="J226" s="168"/>
      <c r="K226" s="169"/>
      <c r="L226" s="174">
        <f ca="1">IFERROR(__xludf.DUMMYFUNCTION("IMPORTRANGE(""https://docs.google.com/spreadsheets/d/1Yj_ptqi66GCucihVvJfMjLAmec39IyEx_6qawtMGysU/edit?usp=sharing"",""สบก!BP84"")"),21125)</f>
        <v>21125</v>
      </c>
      <c r="M226" s="173"/>
      <c r="N226" s="173"/>
      <c r="O226" s="176"/>
      <c r="P226" s="176"/>
    </row>
    <row r="227" spans="1:16" ht="21.75" customHeight="1" x14ac:dyDescent="0.45">
      <c r="A227" s="178"/>
      <c r="B227" s="81"/>
      <c r="C227" s="82" t="s">
        <v>16</v>
      </c>
      <c r="D227" s="549" t="s">
        <v>23</v>
      </c>
      <c r="E227" s="545"/>
      <c r="F227" s="89"/>
      <c r="G227" s="83" t="s">
        <v>18</v>
      </c>
      <c r="H227" s="179" t="s">
        <v>12</v>
      </c>
      <c r="I227" s="208"/>
      <c r="J227" s="208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80"/>
      <c r="B228" s="95"/>
      <c r="C228" s="95"/>
      <c r="D228" s="181"/>
      <c r="E228" s="96"/>
      <c r="F228" s="96"/>
      <c r="G228" s="97" t="s">
        <v>19</v>
      </c>
      <c r="H228" s="182" t="s">
        <v>12</v>
      </c>
      <c r="I228" s="208"/>
      <c r="J228" s="208"/>
      <c r="K228" s="296"/>
      <c r="L228" s="91">
        <f ca="1">IFERROR(__xludf.DUMMYFUNCTION("IMPORTRANGE(""https://docs.google.com/spreadsheets/d/1Yj_ptqi66GCucihVvJfMjLAmec39IyEx_6qawtMGysU/edit?usp=sharing"",""สบก!BQ84"")"),0)</f>
        <v>0</v>
      </c>
      <c r="M228" s="101"/>
      <c r="N228" s="91">
        <f ca="1">IFERROR(__xludf.DUMMYFUNCTION("IMPORTRANGE(""https://docs.google.com/spreadsheets/d/1Yj_ptqi66GCucihVvJfMjLAmec39IyEx_6qawtMGysU/edit?usp=sharing"",""สบก!BU84"")"),0)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3"/>
      <c r="B229" s="297"/>
      <c r="C229" s="271" t="s">
        <v>99</v>
      </c>
      <c r="D229" s="270"/>
      <c r="E229" s="270"/>
      <c r="F229" s="270"/>
      <c r="G229" s="272"/>
      <c r="H229" s="273" t="s">
        <v>37</v>
      </c>
      <c r="I229" s="274">
        <f ca="1">IFERROR(__xludf.DUMMYFUNCTION("IMPORTRANGE(""https://docs.google.com/spreadsheets/d/1IYY_tgx_IHuhSq3AJ5eI5OnqOPBNLWSHKh2a30DoXe8/edit?usp=sharing"",""นครศรีธรรมราช!I149"")"),15)</f>
        <v>15</v>
      </c>
      <c r="J229" s="274">
        <f ca="1">IFERROR(__xludf.DUMMYFUNCTION("IMPORTRANGE(""https://docs.google.com/spreadsheets/d/1IYY_tgx_IHuhSq3AJ5eI5OnqOPBNLWSHKh2a30DoXe8/edit?usp=sharing"",""นครศรีธรรมราช!J149"")"),15)</f>
        <v>15</v>
      </c>
      <c r="K229" s="275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3"/>
      <c r="B230" s="184"/>
      <c r="C230" s="163" t="s">
        <v>16</v>
      </c>
      <c r="D230" s="185" t="s">
        <v>44</v>
      </c>
      <c r="E230" s="186"/>
      <c r="F230" s="186"/>
      <c r="G230" s="187"/>
      <c r="H230" s="188"/>
      <c r="I230" s="168"/>
      <c r="J230" s="168"/>
      <c r="K230" s="169"/>
      <c r="L230" s="189"/>
      <c r="M230" s="189"/>
      <c r="N230" s="189"/>
      <c r="O230" s="189"/>
      <c r="P230" s="189"/>
    </row>
    <row r="231" spans="1:16" ht="21.75" customHeight="1" x14ac:dyDescent="0.35">
      <c r="A231" s="183"/>
      <c r="B231" s="184"/>
      <c r="C231" s="184"/>
      <c r="D231" s="190">
        <v>1</v>
      </c>
      <c r="E231" s="191" t="s">
        <v>45</v>
      </c>
      <c r="F231" s="192"/>
      <c r="G231" s="193"/>
      <c r="H231" s="194"/>
      <c r="I231" s="195"/>
      <c r="J231" s="205">
        <f ca="1">IFERROR(__xludf.DUMMYFUNCTION("IMPORTRANGE(""https://docs.google.com/spreadsheets/d/1IYY_tgx_IHuhSq3AJ5eI5OnqOPBNLWSHKh2a30DoXe8/edit?usp=sharing"",""นครศรีธรรมราช!J151"")"),0)</f>
        <v>0</v>
      </c>
      <c r="K231" s="169"/>
      <c r="L231" s="189"/>
      <c r="M231" s="189"/>
      <c r="N231" s="189"/>
      <c r="O231" s="189"/>
      <c r="P231" s="189"/>
    </row>
    <row r="232" spans="1:16" ht="21.75" customHeight="1" x14ac:dyDescent="0.35">
      <c r="A232" s="183"/>
      <c r="B232" s="184"/>
      <c r="C232" s="184"/>
      <c r="D232" s="197">
        <v>2</v>
      </c>
      <c r="E232" s="198" t="s">
        <v>46</v>
      </c>
      <c r="F232" s="199"/>
      <c r="G232" s="200"/>
      <c r="H232" s="194"/>
      <c r="I232" s="195"/>
      <c r="J232" s="196">
        <f ca="1">IFERROR(__xludf.DUMMYFUNCTION("IMPORTRANGE(""https://docs.google.com/spreadsheets/d/1IYY_tgx_IHuhSq3AJ5eI5OnqOPBNLWSHKh2a30DoXe8/edit?usp=sharing"",""นครศรีธรรมราช!J152"")"),1)</f>
        <v>1</v>
      </c>
      <c r="K232" s="169"/>
      <c r="L232" s="189" t="s">
        <v>40</v>
      </c>
      <c r="M232" s="189"/>
      <c r="N232" s="189" t="s">
        <v>40</v>
      </c>
      <c r="O232" s="189"/>
      <c r="P232" s="189"/>
    </row>
    <row r="233" spans="1:16" ht="21.75" customHeight="1" x14ac:dyDescent="0.35">
      <c r="A233" s="183"/>
      <c r="B233" s="184"/>
      <c r="C233" s="184"/>
      <c r="D233" s="201"/>
      <c r="E233" s="202" t="s">
        <v>47</v>
      </c>
      <c r="F233" s="203"/>
      <c r="G233" s="204"/>
      <c r="H233" s="194"/>
      <c r="I233" s="195"/>
      <c r="J233" s="196">
        <f ca="1">IFERROR(__xludf.DUMMYFUNCTION("IMPORTRANGE(""https://docs.google.com/spreadsheets/d/1IYY_tgx_IHuhSq3AJ5eI5OnqOPBNLWSHKh2a30DoXe8/edit?usp=sharing"",""นครศรีธรรมราช!J153"")"),1)</f>
        <v>1</v>
      </c>
      <c r="K233" s="169"/>
      <c r="L233" s="189"/>
      <c r="M233" s="189"/>
      <c r="N233" s="189"/>
      <c r="O233" s="189"/>
      <c r="P233" s="189"/>
    </row>
    <row r="234" spans="1:16" ht="21.75" customHeight="1" x14ac:dyDescent="0.35">
      <c r="A234" s="183"/>
      <c r="B234" s="184"/>
      <c r="C234" s="184"/>
      <c r="D234" s="201"/>
      <c r="E234" s="202" t="s">
        <v>48</v>
      </c>
      <c r="F234" s="203"/>
      <c r="G234" s="204"/>
      <c r="H234" s="194"/>
      <c r="I234" s="195"/>
      <c r="J234" s="205">
        <f ca="1">IFERROR(__xludf.DUMMYFUNCTION("IMPORTRANGE(""https://docs.google.com/spreadsheets/d/1IYY_tgx_IHuhSq3AJ5eI5OnqOPBNLWSHKh2a30DoXe8/edit?usp=sharing"",""นครศรีธรรมราช!J154"")"),1)</f>
        <v>1</v>
      </c>
      <c r="K234" s="169"/>
      <c r="L234" s="189"/>
      <c r="M234" s="189"/>
      <c r="N234" s="189"/>
      <c r="O234" s="189"/>
      <c r="P234" s="189"/>
    </row>
    <row r="235" spans="1:16" ht="21.75" customHeight="1" x14ac:dyDescent="0.35">
      <c r="A235" s="183"/>
      <c r="B235" s="184"/>
      <c r="C235" s="184"/>
      <c r="D235" s="201"/>
      <c r="E235" s="206"/>
      <c r="F235" s="203"/>
      <c r="G235" s="299" t="s">
        <v>70</v>
      </c>
      <c r="H235" s="194" t="s">
        <v>37</v>
      </c>
      <c r="I235" s="195">
        <f ca="1">IFERROR(__xludf.DUMMYFUNCTION("IMPORTRANGE(""https://docs.google.com/spreadsheets/d/1IYY_tgx_IHuhSq3AJ5eI5OnqOPBNLWSHKh2a30DoXe8/edit?usp=sharing"",""นครศรีธรรมราช!I155"")"),15)</f>
        <v>15</v>
      </c>
      <c r="J235" s="196">
        <f ca="1">IFERROR(__xludf.DUMMYFUNCTION("IMPORTRANGE(""https://docs.google.com/spreadsheets/d/1IYY_tgx_IHuhSq3AJ5eI5OnqOPBNLWSHKh2a30DoXe8/edit?usp=sharing"",""นครศรีธรรมราช!J155"")"),15)</f>
        <v>15</v>
      </c>
      <c r="K235" s="169">
        <f ca="1">IF(I235&gt;0,J235*100/I235,0)</f>
        <v>100</v>
      </c>
      <c r="L235" s="189"/>
      <c r="M235" s="189"/>
      <c r="N235" s="189"/>
      <c r="O235" s="189"/>
      <c r="P235" s="189"/>
    </row>
    <row r="236" spans="1:16" ht="21.75" customHeight="1" x14ac:dyDescent="0.35">
      <c r="A236" s="183"/>
      <c r="B236" s="184"/>
      <c r="C236" s="184"/>
      <c r="D236" s="201"/>
      <c r="E236" s="202" t="s">
        <v>54</v>
      </c>
      <c r="F236" s="203"/>
      <c r="G236" s="204"/>
      <c r="H236" s="194"/>
      <c r="I236" s="195"/>
      <c r="J236" s="205">
        <f ca="1">IFERROR(__xludf.DUMMYFUNCTION("IMPORTRANGE(""https://docs.google.com/spreadsheets/d/1IYY_tgx_IHuhSq3AJ5eI5OnqOPBNLWSHKh2a30DoXe8/edit?usp=sharing"",""นครศรีธรรมราช!J156"")"),1)</f>
        <v>1</v>
      </c>
      <c r="K236" s="169"/>
      <c r="L236" s="189"/>
      <c r="M236" s="189"/>
      <c r="N236" s="189"/>
      <c r="O236" s="189"/>
      <c r="P236" s="189"/>
    </row>
    <row r="237" spans="1:16" ht="21.75" customHeight="1" x14ac:dyDescent="0.35">
      <c r="A237" s="183"/>
      <c r="B237" s="184"/>
      <c r="C237" s="184"/>
      <c r="D237" s="213">
        <v>3</v>
      </c>
      <c r="E237" s="214" t="s">
        <v>55</v>
      </c>
      <c r="F237" s="215"/>
      <c r="G237" s="216"/>
      <c r="H237" s="194"/>
      <c r="I237" s="195"/>
      <c r="J237" s="217">
        <f ca="1">IFERROR(__xludf.DUMMYFUNCTION("IMPORTRANGE(""https://docs.google.com/spreadsheets/d/1IYY_tgx_IHuhSq3AJ5eI5OnqOPBNLWSHKh2a30DoXe8/edit?usp=sharing"",""นครศรีธรรมราช!J157"")"),0)</f>
        <v>0</v>
      </c>
      <c r="K237" s="169"/>
      <c r="L237" s="189"/>
      <c r="M237" s="189"/>
      <c r="N237" s="189"/>
      <c r="O237" s="189"/>
      <c r="P237" s="189"/>
    </row>
    <row r="238" spans="1:16" ht="21.75" customHeight="1" x14ac:dyDescent="0.35">
      <c r="A238" s="183"/>
      <c r="B238" s="184"/>
      <c r="C238" s="271" t="s">
        <v>100</v>
      </c>
      <c r="D238" s="300"/>
      <c r="E238" s="270"/>
      <c r="F238" s="270"/>
      <c r="G238" s="272"/>
      <c r="H238" s="273" t="s">
        <v>37</v>
      </c>
      <c r="I238" s="274">
        <f ca="1">IFERROR(__xludf.DUMMYFUNCTION("IMPORTRANGE(""https://docs.google.com/spreadsheets/d/1IYY_tgx_IHuhSq3AJ5eI5OnqOPBNLWSHKh2a30DoXe8/edit?usp=sharing"",""นครศรีธรรมราช!I158"")"),0)</f>
        <v>0</v>
      </c>
      <c r="J238" s="274">
        <f ca="1">IFERROR(__xludf.DUMMYFUNCTION("IMPORTRANGE(""https://docs.google.com/spreadsheets/d/1IYY_tgx_IHuhSq3AJ5eI5OnqOPBNLWSHKh2a30DoXe8/edit?usp=sharing"",""นครศรีธรรมราช!J158"")"),0)</f>
        <v>0</v>
      </c>
      <c r="K238" s="275">
        <f ca="1">IF(I238&gt;0,J238*100/I238,0)</f>
        <v>0</v>
      </c>
      <c r="L238" s="189"/>
      <c r="M238" s="189"/>
      <c r="N238" s="189"/>
      <c r="O238" s="189"/>
      <c r="P238" s="189"/>
    </row>
    <row r="239" spans="1:16" ht="21.75" customHeight="1" x14ac:dyDescent="0.35">
      <c r="A239" s="183"/>
      <c r="B239" s="184"/>
      <c r="C239" s="163" t="s">
        <v>16</v>
      </c>
      <c r="D239" s="185" t="s">
        <v>44</v>
      </c>
      <c r="E239" s="186"/>
      <c r="F239" s="186"/>
      <c r="G239" s="187"/>
      <c r="H239" s="188"/>
      <c r="I239" s="168"/>
      <c r="J239" s="168"/>
      <c r="K239" s="169"/>
      <c r="L239" s="189"/>
      <c r="M239" s="189"/>
      <c r="N239" s="189"/>
      <c r="O239" s="189"/>
      <c r="P239" s="189"/>
    </row>
    <row r="240" spans="1:16" ht="21.75" customHeight="1" x14ac:dyDescent="0.35">
      <c r="A240" s="183"/>
      <c r="B240" s="184"/>
      <c r="C240" s="184"/>
      <c r="D240" s="190">
        <v>1</v>
      </c>
      <c r="E240" s="191" t="s">
        <v>45</v>
      </c>
      <c r="F240" s="192"/>
      <c r="G240" s="193"/>
      <c r="H240" s="194"/>
      <c r="I240" s="195"/>
      <c r="J240" s="195" t="str">
        <f ca="1">IFERROR(__xludf.DUMMYFUNCTION("IMPORTRANGE(""https://docs.google.com/spreadsheets/d/1IYY_tgx_IHuhSq3AJ5eI5OnqOPBNLWSHKh2a30DoXe8/edit?usp=sharing"",""นครศรีธรรมราช!J159"")"),"")</f>
        <v/>
      </c>
      <c r="K240" s="169"/>
      <c r="L240" s="189"/>
      <c r="M240" s="189"/>
      <c r="N240" s="189"/>
      <c r="O240" s="189"/>
      <c r="P240" s="189"/>
    </row>
    <row r="241" spans="1:16" ht="21.75" customHeight="1" x14ac:dyDescent="0.35">
      <c r="A241" s="183"/>
      <c r="B241" s="184"/>
      <c r="C241" s="184"/>
      <c r="D241" s="197">
        <v>2</v>
      </c>
      <c r="E241" s="198" t="s">
        <v>46</v>
      </c>
      <c r="F241" s="199"/>
      <c r="G241" s="200"/>
      <c r="H241" s="194"/>
      <c r="I241" s="195"/>
      <c r="J241" s="195">
        <f ca="1">IFERROR(__xludf.DUMMYFUNCTION("IMPORTRANGE(""https://docs.google.com/spreadsheets/d/1IYY_tgx_IHuhSq3AJ5eI5OnqOPBNLWSHKh2a30DoXe8/edit?usp=sharing"",""นครศรีธรรมราช!J161"")"),0)</f>
        <v>0</v>
      </c>
      <c r="K241" s="169"/>
      <c r="L241" s="189" t="s">
        <v>40</v>
      </c>
      <c r="M241" s="189"/>
      <c r="N241" s="189" t="s">
        <v>40</v>
      </c>
      <c r="O241" s="189"/>
      <c r="P241" s="189"/>
    </row>
    <row r="242" spans="1:16" ht="21.75" customHeight="1" x14ac:dyDescent="0.35">
      <c r="A242" s="183"/>
      <c r="B242" s="184"/>
      <c r="C242" s="184"/>
      <c r="D242" s="201"/>
      <c r="E242" s="202" t="s">
        <v>47</v>
      </c>
      <c r="F242" s="203"/>
      <c r="G242" s="204"/>
      <c r="H242" s="194"/>
      <c r="I242" s="195"/>
      <c r="J242" s="195">
        <f ca="1">IFERROR(__xludf.DUMMYFUNCTION("IMPORTRANGE(""https://docs.google.com/spreadsheets/d/1IYY_tgx_IHuhSq3AJ5eI5OnqOPBNLWSHKh2a30DoXe8/edit?usp=sharing"",""นครศรีธรรมราช!J162"")"),0)</f>
        <v>0</v>
      </c>
      <c r="K242" s="169"/>
      <c r="L242" s="189"/>
      <c r="M242" s="189"/>
      <c r="N242" s="189"/>
      <c r="O242" s="189"/>
      <c r="P242" s="189"/>
    </row>
    <row r="243" spans="1:16" ht="21.75" customHeight="1" x14ac:dyDescent="0.35">
      <c r="A243" s="183"/>
      <c r="B243" s="184"/>
      <c r="C243" s="184"/>
      <c r="D243" s="201"/>
      <c r="E243" s="202" t="s">
        <v>48</v>
      </c>
      <c r="F243" s="203"/>
      <c r="G243" s="204"/>
      <c r="H243" s="194"/>
      <c r="I243" s="195"/>
      <c r="J243" s="195">
        <f ca="1">IFERROR(__xludf.DUMMYFUNCTION("IMPORTRANGE(""https://docs.google.com/spreadsheets/d/1IYY_tgx_IHuhSq3AJ5eI5OnqOPBNLWSHKh2a30DoXe8/edit?usp=sharing"",""นครศรีธรรมราช!J163"")"),0)</f>
        <v>0</v>
      </c>
      <c r="K243" s="169"/>
      <c r="L243" s="189"/>
      <c r="M243" s="189"/>
      <c r="N243" s="189"/>
      <c r="O243" s="189"/>
      <c r="P243" s="189"/>
    </row>
    <row r="244" spans="1:16" ht="21.75" customHeight="1" x14ac:dyDescent="0.35">
      <c r="A244" s="183"/>
      <c r="B244" s="184"/>
      <c r="C244" s="184"/>
      <c r="D244" s="201"/>
      <c r="E244" s="203"/>
      <c r="F244" s="202" t="s">
        <v>101</v>
      </c>
      <c r="G244" s="203"/>
      <c r="H244" s="194" t="s">
        <v>37</v>
      </c>
      <c r="I244" s="211">
        <f ca="1">IFERROR(__xludf.DUMMYFUNCTION("IMPORTRANGE(""https://docs.google.com/spreadsheets/d/1IYY_tgx_IHuhSq3AJ5eI5OnqOPBNLWSHKh2a30DoXe8/edit?usp=sharing"",""นครศรีธรรมราช!I164"")"),0)</f>
        <v>0</v>
      </c>
      <c r="J244" s="195">
        <f ca="1">IFERROR(__xludf.DUMMYFUNCTION("IMPORTRANGE(""https://docs.google.com/spreadsheets/d/1IYY_tgx_IHuhSq3AJ5eI5OnqOPBNLWSHKh2a30DoXe8/edit?usp=sharing"",""นครศรีธรรมราช!J164"")"),0)</f>
        <v>0</v>
      </c>
      <c r="K244" s="169">
        <f ca="1">IF(I244&gt;0,J244*100/I244,0)</f>
        <v>0</v>
      </c>
      <c r="L244" s="189"/>
      <c r="M244" s="189"/>
      <c r="N244" s="189"/>
      <c r="O244" s="189"/>
      <c r="P244" s="189"/>
    </row>
    <row r="245" spans="1:16" ht="21.75" customHeight="1" x14ac:dyDescent="0.35">
      <c r="A245" s="183"/>
      <c r="B245" s="184"/>
      <c r="C245" s="184"/>
      <c r="D245" s="201"/>
      <c r="E245" s="202" t="s">
        <v>54</v>
      </c>
      <c r="F245" s="203"/>
      <c r="G245" s="204"/>
      <c r="H245" s="194"/>
      <c r="I245" s="195"/>
      <c r="J245" s="195">
        <f ca="1">IFERROR(__xludf.DUMMYFUNCTION("IMPORTRANGE(""https://docs.google.com/spreadsheets/d/1IYY_tgx_IHuhSq3AJ5eI5OnqOPBNLWSHKh2a30DoXe8/edit?usp=sharing"",""นครศรีธรรมราช!J165"")"),0)</f>
        <v>0</v>
      </c>
      <c r="K245" s="169"/>
      <c r="L245" s="189"/>
      <c r="M245" s="189"/>
      <c r="N245" s="189"/>
      <c r="O245" s="189"/>
      <c r="P245" s="189"/>
    </row>
    <row r="246" spans="1:16" ht="21.75" customHeight="1" x14ac:dyDescent="0.35">
      <c r="A246" s="241"/>
      <c r="B246" s="242"/>
      <c r="C246" s="242"/>
      <c r="D246" s="243">
        <v>3</v>
      </c>
      <c r="E246" s="244" t="s">
        <v>55</v>
      </c>
      <c r="F246" s="245"/>
      <c r="G246" s="246"/>
      <c r="H246" s="247"/>
      <c r="I246" s="248"/>
      <c r="J246" s="249">
        <f ca="1">IFERROR(__xludf.DUMMYFUNCTION("IMPORTRANGE(""https://docs.google.com/spreadsheets/d/1IYY_tgx_IHuhSq3AJ5eI5OnqOPBNLWSHKh2a30DoXe8/edit?usp=sharing"",""นครศรีธรรมราช!J166"")"),0)</f>
        <v>0</v>
      </c>
      <c r="K246" s="294"/>
      <c r="L246" s="252"/>
      <c r="M246" s="252"/>
      <c r="N246" s="252"/>
      <c r="O246" s="252"/>
      <c r="P246" s="252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IFERROR(__xludf.DUMMYFUNCTION("IMPORTRANGE(""https://docs.google.com/spreadsheets/d/1IYY_tgx_IHuhSq3AJ5eI5OnqOPBNLWSHKh2a30DoXe8/edit?usp=sharing"",""นครศรีธรรมราช!I169"")"),0)</f>
        <v>0</v>
      </c>
      <c r="J249" s="322">
        <f ca="1">IFERROR(__xludf.DUMMYFUNCTION("IMPORTRANGE(""https://docs.google.com/spreadsheets/d/1IYY_tgx_IHuhSq3AJ5eI5OnqOPBNLWSHKh2a30DoXe8/edit?usp=sharing"",""นครศรีธรรมราช!J169"")"),0)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52" t="s">
        <v>17</v>
      </c>
      <c r="E250" s="543"/>
      <c r="F250" s="543"/>
      <c r="G250" s="543"/>
      <c r="H250" s="153" t="s">
        <v>12</v>
      </c>
      <c r="I250" s="168"/>
      <c r="J250" s="168"/>
      <c r="K250" s="169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8"/>
      <c r="J251" s="168"/>
      <c r="K251" s="169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8"/>
      <c r="J252" s="168"/>
      <c r="K252" s="169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5">
      <c r="A253" s="162"/>
      <c r="B253" s="163"/>
      <c r="C253" s="163" t="s">
        <v>16</v>
      </c>
      <c r="D253" s="164" t="s">
        <v>38</v>
      </c>
      <c r="E253" s="165"/>
      <c r="F253" s="165"/>
      <c r="G253" s="166" t="s">
        <v>39</v>
      </c>
      <c r="H253" s="167" t="s">
        <v>12</v>
      </c>
      <c r="I253" s="168" t="s">
        <v>40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 x14ac:dyDescent="0.35">
      <c r="A254" s="162"/>
      <c r="B254" s="163"/>
      <c r="C254" s="163"/>
      <c r="D254" s="172"/>
      <c r="E254" s="165"/>
      <c r="F254" s="165" t="s">
        <v>40</v>
      </c>
      <c r="G254" s="166" t="s">
        <v>41</v>
      </c>
      <c r="H254" s="167" t="s">
        <v>12</v>
      </c>
      <c r="I254" s="168"/>
      <c r="J254" s="168"/>
      <c r="K254" s="169"/>
      <c r="L254" s="173">
        <f ca="1">L255+L256</f>
        <v>0</v>
      </c>
      <c r="M254" s="174">
        <f ca="1">IFERROR(__xludf.DUMMYFUNCTION("IMPORTRANGE(""https://docs.google.com/spreadsheets/d/1Yj_ptqi66GCucihVvJfMjLAmec39IyEx_6qawtMGysU/edit?usp=sharing"",""สบก!CB84"")"),0)</f>
        <v>0</v>
      </c>
      <c r="N254" s="175">
        <f ca="1">IFERROR(__xludf.DUMMYFUNCTION("IMPORTRANGE(""https://docs.google.com/spreadsheets/d/1Yj_ptqi66GCucihVvJfMjLAmec39IyEx_6qawtMGysU/edit?usp=sharing"",""สบก!CC84"")"),0)</f>
        <v>0</v>
      </c>
      <c r="O254" s="176">
        <f ca="1">IF(L254&gt;0,N254*100/L254,0)</f>
        <v>0</v>
      </c>
      <c r="P254" s="176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2"/>
      <c r="E255" s="165"/>
      <c r="F255" s="165"/>
      <c r="G255" s="177" t="s">
        <v>42</v>
      </c>
      <c r="H255" s="167" t="s">
        <v>12</v>
      </c>
      <c r="I255" s="168"/>
      <c r="J255" s="168"/>
      <c r="K255" s="169"/>
      <c r="L255" s="174">
        <f ca="1">IFERROR(__xludf.DUMMYFUNCTION("IMPORTRANGE(""https://docs.google.com/spreadsheets/d/1Yj_ptqi66GCucihVvJfMjLAmec39IyEx_6qawtMGysU/edit?usp=sharing"",""สบก!BX84"")"),0)</f>
        <v>0</v>
      </c>
      <c r="M255" s="173"/>
      <c r="N255" s="173"/>
      <c r="O255" s="176"/>
      <c r="P255" s="176"/>
    </row>
    <row r="256" spans="1:16" ht="21.75" customHeight="1" x14ac:dyDescent="0.35">
      <c r="A256" s="162"/>
      <c r="B256" s="163"/>
      <c r="C256" s="163"/>
      <c r="D256" s="172"/>
      <c r="E256" s="165"/>
      <c r="F256" s="165"/>
      <c r="G256" s="177" t="s">
        <v>43</v>
      </c>
      <c r="H256" s="167" t="s">
        <v>12</v>
      </c>
      <c r="I256" s="168"/>
      <c r="J256" s="168"/>
      <c r="K256" s="169"/>
      <c r="L256" s="174">
        <f ca="1">IFERROR(__xludf.DUMMYFUNCTION("IMPORTRANGE(""https://docs.google.com/spreadsheets/d/1Yj_ptqi66GCucihVvJfMjLAmec39IyEx_6qawtMGysU/edit?usp=sharing"",""สบก!BY84"")"),0)</f>
        <v>0</v>
      </c>
      <c r="M256" s="173"/>
      <c r="N256" s="173"/>
      <c r="O256" s="176"/>
      <c r="P256" s="176"/>
    </row>
    <row r="257" spans="1:16" ht="21.75" customHeight="1" x14ac:dyDescent="0.45">
      <c r="A257" s="178"/>
      <c r="B257" s="81"/>
      <c r="C257" s="82" t="s">
        <v>16</v>
      </c>
      <c r="D257" s="549" t="s">
        <v>23</v>
      </c>
      <c r="E257" s="545"/>
      <c r="F257" s="89"/>
      <c r="G257" s="83" t="s">
        <v>18</v>
      </c>
      <c r="H257" s="179" t="s">
        <v>12</v>
      </c>
      <c r="I257" s="168"/>
      <c r="J257" s="168"/>
      <c r="K257" s="169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80"/>
      <c r="B258" s="95"/>
      <c r="C258" s="95"/>
      <c r="D258" s="181"/>
      <c r="E258" s="96"/>
      <c r="F258" s="96"/>
      <c r="G258" s="97" t="s">
        <v>19</v>
      </c>
      <c r="H258" s="182" t="s">
        <v>12</v>
      </c>
      <c r="I258" s="168"/>
      <c r="J258" s="168"/>
      <c r="K258" s="169"/>
      <c r="L258" s="91">
        <f ca="1">IFERROR(__xludf.DUMMYFUNCTION("IMPORTRANGE(""https://docs.google.com/spreadsheets/d/1Yj_ptqi66GCucihVvJfMjLAmec39IyEx_6qawtMGysU/edit?usp=sharing"",""สบก!BZ84"")"),0)</f>
        <v>0</v>
      </c>
      <c r="M258" s="101"/>
      <c r="N258" s="91">
        <f ca="1">IFERROR(__xludf.DUMMYFUNCTION("IMPORTRANGE(""https://docs.google.com/spreadsheets/d/1Yj_ptqi66GCucihVvJfMjLAmec39IyEx_6qawtMGysU/edit?usp=sharing"",""สบก!CD84"")"),0)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3"/>
      <c r="B259" s="184"/>
      <c r="C259" s="163" t="s">
        <v>16</v>
      </c>
      <c r="D259" s="185" t="s">
        <v>44</v>
      </c>
      <c r="E259" s="186"/>
      <c r="F259" s="186"/>
      <c r="G259" s="187"/>
      <c r="H259" s="188"/>
      <c r="I259" s="168"/>
      <c r="J259" s="168"/>
      <c r="K259" s="169"/>
      <c r="L259" s="189"/>
      <c r="M259" s="189"/>
      <c r="N259" s="189"/>
      <c r="O259" s="189"/>
      <c r="P259" s="189"/>
    </row>
    <row r="260" spans="1:16" ht="21.75" customHeight="1" x14ac:dyDescent="0.35">
      <c r="A260" s="183"/>
      <c r="B260" s="184"/>
      <c r="C260" s="184"/>
      <c r="D260" s="190">
        <v>1</v>
      </c>
      <c r="E260" s="191" t="s">
        <v>45</v>
      </c>
      <c r="F260" s="192"/>
      <c r="G260" s="193"/>
      <c r="H260" s="194"/>
      <c r="I260" s="195"/>
      <c r="J260" s="196">
        <f ca="1">IFERROR(__xludf.DUMMYFUNCTION("IMPORTRANGE(""https://docs.google.com/spreadsheets/d/1IYY_tgx_IHuhSq3AJ5eI5OnqOPBNLWSHKh2a30DoXe8/edit?usp=sharing"",""นครศรีธรรมราช!J175"")"),0)</f>
        <v>0</v>
      </c>
      <c r="K260" s="169"/>
      <c r="L260" s="189"/>
      <c r="M260" s="189"/>
      <c r="N260" s="189"/>
      <c r="O260" s="189"/>
      <c r="P260" s="189"/>
    </row>
    <row r="261" spans="1:16" ht="21.75" customHeight="1" x14ac:dyDescent="0.35">
      <c r="A261" s="183"/>
      <c r="B261" s="184"/>
      <c r="C261" s="184"/>
      <c r="D261" s="197">
        <v>2</v>
      </c>
      <c r="E261" s="198" t="s">
        <v>46</v>
      </c>
      <c r="F261" s="199"/>
      <c r="G261" s="200"/>
      <c r="H261" s="194"/>
      <c r="I261" s="195"/>
      <c r="J261" s="205">
        <f ca="1">IFERROR(__xludf.DUMMYFUNCTION("IMPORTRANGE(""https://docs.google.com/spreadsheets/d/1IYY_tgx_IHuhSq3AJ5eI5OnqOPBNLWSHKh2a30DoXe8/edit?usp=sharing"",""นครศรีธรรมราช!J176"")"),0)</f>
        <v>0</v>
      </c>
      <c r="K261" s="169"/>
      <c r="L261" s="189" t="s">
        <v>40</v>
      </c>
      <c r="M261" s="189"/>
      <c r="N261" s="189" t="s">
        <v>40</v>
      </c>
      <c r="O261" s="189"/>
      <c r="P261" s="189"/>
    </row>
    <row r="262" spans="1:16" ht="21.75" customHeight="1" x14ac:dyDescent="0.35">
      <c r="A262" s="183"/>
      <c r="B262" s="184"/>
      <c r="C262" s="184"/>
      <c r="D262" s="201"/>
      <c r="E262" s="202" t="s">
        <v>47</v>
      </c>
      <c r="F262" s="203"/>
      <c r="G262" s="204"/>
      <c r="H262" s="194"/>
      <c r="I262" s="195"/>
      <c r="J262" s="205">
        <f ca="1">IFERROR(__xludf.DUMMYFUNCTION("IMPORTRANGE(""https://docs.google.com/spreadsheets/d/1IYY_tgx_IHuhSq3AJ5eI5OnqOPBNLWSHKh2a30DoXe8/edit?usp=sharing"",""นครศรีธรรมราช!J177"")"),0)</f>
        <v>0</v>
      </c>
      <c r="K262" s="169"/>
      <c r="L262" s="189"/>
      <c r="M262" s="189"/>
      <c r="N262" s="189"/>
      <c r="O262" s="189"/>
      <c r="P262" s="189"/>
    </row>
    <row r="263" spans="1:16" ht="21.75" customHeight="1" x14ac:dyDescent="0.35">
      <c r="A263" s="183"/>
      <c r="B263" s="184"/>
      <c r="C263" s="184"/>
      <c r="D263" s="201"/>
      <c r="E263" s="202" t="s">
        <v>48</v>
      </c>
      <c r="F263" s="203"/>
      <c r="G263" s="204"/>
      <c r="H263" s="194"/>
      <c r="I263" s="195"/>
      <c r="J263" s="205">
        <f ca="1">IFERROR(__xludf.DUMMYFUNCTION("IMPORTRANGE(""https://docs.google.com/spreadsheets/d/1IYY_tgx_IHuhSq3AJ5eI5OnqOPBNLWSHKh2a30DoXe8/edit?usp=sharing"",""นครศรีธรรมราช!J178"")"),0)</f>
        <v>0</v>
      </c>
      <c r="K263" s="169"/>
      <c r="L263" s="189"/>
      <c r="M263" s="189"/>
      <c r="N263" s="189"/>
      <c r="O263" s="189"/>
      <c r="P263" s="189"/>
    </row>
    <row r="264" spans="1:16" ht="21.75" customHeight="1" x14ac:dyDescent="0.35">
      <c r="A264" s="183"/>
      <c r="B264" s="184"/>
      <c r="C264" s="184"/>
      <c r="D264" s="201"/>
      <c r="E264" s="206"/>
      <c r="F264" s="202" t="s">
        <v>105</v>
      </c>
      <c r="G264" s="204"/>
      <c r="H264" s="188" t="s">
        <v>59</v>
      </c>
      <c r="I264" s="195">
        <f ca="1">IFERROR(__xludf.DUMMYFUNCTION("IMPORTRANGE(""https://docs.google.com/spreadsheets/d/1IYY_tgx_IHuhSq3AJ5eI5OnqOPBNLWSHKh2a30DoXe8/edit?usp=sharing"",""นครศรีธรรมราช!I179"")"),0)</f>
        <v>0</v>
      </c>
      <c r="J264" s="196">
        <f ca="1">IFERROR(__xludf.DUMMYFUNCTION("IMPORTRANGE(""https://docs.google.com/spreadsheets/d/1IYY_tgx_IHuhSq3AJ5eI5OnqOPBNLWSHKh2a30DoXe8/edit?usp=sharing"",""นครศรีธรรมราช!J179"")"),0)</f>
        <v>0</v>
      </c>
      <c r="K264" s="169">
        <f t="shared" ref="K264:K267" ca="1" si="82">IF(I264&gt;0,J264*100/I264,0)</f>
        <v>0</v>
      </c>
      <c r="L264" s="189"/>
      <c r="M264" s="189"/>
      <c r="N264" s="189"/>
      <c r="O264" s="189"/>
      <c r="P264" s="189"/>
    </row>
    <row r="265" spans="1:16" ht="21.75" customHeight="1" x14ac:dyDescent="0.35">
      <c r="A265" s="183"/>
      <c r="B265" s="184"/>
      <c r="C265" s="184"/>
      <c r="D265" s="201"/>
      <c r="E265" s="206"/>
      <c r="F265" s="202" t="s">
        <v>106</v>
      </c>
      <c r="G265" s="204"/>
      <c r="H265" s="188" t="s">
        <v>37</v>
      </c>
      <c r="I265" s="195">
        <f ca="1">IFERROR(__xludf.DUMMYFUNCTION("IMPORTRANGE(""https://docs.google.com/spreadsheets/d/1IYY_tgx_IHuhSq3AJ5eI5OnqOPBNLWSHKh2a30DoXe8/edit?usp=sharing"",""นครศรีธรรมราช!I180"")"),0)</f>
        <v>0</v>
      </c>
      <c r="J265" s="196">
        <f ca="1">IFERROR(__xludf.DUMMYFUNCTION("IMPORTRANGE(""https://docs.google.com/spreadsheets/d/1IYY_tgx_IHuhSq3AJ5eI5OnqOPBNLWSHKh2a30DoXe8/edit?usp=sharing"",""นครศรีธรรมราช!J180"")"),0)</f>
        <v>0</v>
      </c>
      <c r="K265" s="169">
        <f t="shared" ca="1" si="82"/>
        <v>0</v>
      </c>
      <c r="L265" s="189"/>
      <c r="M265" s="189"/>
      <c r="N265" s="189"/>
      <c r="O265" s="189"/>
      <c r="P265" s="189"/>
    </row>
    <row r="266" spans="1:16" ht="21.75" customHeight="1" x14ac:dyDescent="0.35">
      <c r="A266" s="183"/>
      <c r="B266" s="184"/>
      <c r="C266" s="184"/>
      <c r="D266" s="201"/>
      <c r="E266" s="206"/>
      <c r="F266" s="202" t="s">
        <v>107</v>
      </c>
      <c r="G266" s="204"/>
      <c r="H266" s="188" t="s">
        <v>37</v>
      </c>
      <c r="I266" s="195">
        <f ca="1">IFERROR(__xludf.DUMMYFUNCTION("IMPORTRANGE(""https://docs.google.com/spreadsheets/d/1IYY_tgx_IHuhSq3AJ5eI5OnqOPBNLWSHKh2a30DoXe8/edit?usp=sharing"",""นครศรีธรรมราช!I181"")"),0)</f>
        <v>0</v>
      </c>
      <c r="J266" s="196">
        <f ca="1">IFERROR(__xludf.DUMMYFUNCTION("IMPORTRANGE(""https://docs.google.com/spreadsheets/d/1IYY_tgx_IHuhSq3AJ5eI5OnqOPBNLWSHKh2a30DoXe8/edit?usp=sharing"",""นครศรีธรรมราช!J181"")"),0)</f>
        <v>0</v>
      </c>
      <c r="K266" s="169">
        <f t="shared" ca="1" si="82"/>
        <v>0</v>
      </c>
      <c r="L266" s="189"/>
      <c r="M266" s="189"/>
      <c r="N266" s="189"/>
      <c r="O266" s="189"/>
      <c r="P266" s="189"/>
    </row>
    <row r="267" spans="1:16" ht="21.75" customHeight="1" x14ac:dyDescent="0.35">
      <c r="A267" s="183"/>
      <c r="B267" s="184"/>
      <c r="C267" s="184"/>
      <c r="D267" s="201"/>
      <c r="E267" s="206"/>
      <c r="F267" s="202" t="s">
        <v>108</v>
      </c>
      <c r="G267" s="204"/>
      <c r="H267" s="188" t="s">
        <v>37</v>
      </c>
      <c r="I267" s="195">
        <f ca="1">IFERROR(__xludf.DUMMYFUNCTION("IMPORTRANGE(""https://docs.google.com/spreadsheets/d/1IYY_tgx_IHuhSq3AJ5eI5OnqOPBNLWSHKh2a30DoXe8/edit?usp=sharing"",""นครศรีธรรมราช!I182"")"),0)</f>
        <v>0</v>
      </c>
      <c r="J267" s="196">
        <f ca="1">IFERROR(__xludf.DUMMYFUNCTION("IMPORTRANGE(""https://docs.google.com/spreadsheets/d/1IYY_tgx_IHuhSq3AJ5eI5OnqOPBNLWSHKh2a30DoXe8/edit?usp=sharing"",""นครศรีธรรมราช!J182"")"),0)</f>
        <v>0</v>
      </c>
      <c r="K267" s="169">
        <f t="shared" ca="1" si="82"/>
        <v>0</v>
      </c>
      <c r="L267" s="189"/>
      <c r="M267" s="189"/>
      <c r="N267" s="189"/>
      <c r="O267" s="189"/>
      <c r="P267" s="189"/>
    </row>
    <row r="268" spans="1:16" ht="21.75" customHeight="1" x14ac:dyDescent="0.35">
      <c r="A268" s="183"/>
      <c r="B268" s="184"/>
      <c r="C268" s="184"/>
      <c r="D268" s="201"/>
      <c r="E268" s="202" t="s">
        <v>54</v>
      </c>
      <c r="F268" s="203"/>
      <c r="G268" s="204"/>
      <c r="H268" s="194"/>
      <c r="I268" s="195"/>
      <c r="J268" s="205">
        <f ca="1">IFERROR(__xludf.DUMMYFUNCTION("IMPORTRANGE(""https://docs.google.com/spreadsheets/d/1IYY_tgx_IHuhSq3AJ5eI5OnqOPBNLWSHKh2a30DoXe8/edit?usp=sharing"",""นครศรีธรรมราช!J183"")"),0)</f>
        <v>0</v>
      </c>
      <c r="K268" s="169"/>
      <c r="L268" s="189"/>
      <c r="M268" s="189"/>
      <c r="N268" s="189"/>
      <c r="O268" s="189"/>
      <c r="P268" s="189"/>
    </row>
    <row r="269" spans="1:16" ht="21.75" customHeight="1" x14ac:dyDescent="0.35">
      <c r="A269" s="241"/>
      <c r="B269" s="242"/>
      <c r="C269" s="242"/>
      <c r="D269" s="243">
        <v>3</v>
      </c>
      <c r="E269" s="244" t="s">
        <v>55</v>
      </c>
      <c r="F269" s="245"/>
      <c r="G269" s="246"/>
      <c r="H269" s="247"/>
      <c r="I269" s="248"/>
      <c r="J269" s="293">
        <f ca="1">IFERROR(__xludf.DUMMYFUNCTION("IMPORTRANGE(""https://docs.google.com/spreadsheets/d/1IYY_tgx_IHuhSq3AJ5eI5OnqOPBNLWSHKh2a30DoXe8/edit?usp=sharing"",""นครศรีธรรมราช!J184"")"),0)</f>
        <v>0</v>
      </c>
      <c r="K269" s="294"/>
      <c r="L269" s="252"/>
      <c r="M269" s="252"/>
      <c r="N269" s="252"/>
      <c r="O269" s="252"/>
      <c r="P269" s="252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IFERROR(__xludf.DUMMYFUNCTION("IMPORTRANGE(""https://docs.google.com/spreadsheets/d/1IYY_tgx_IHuhSq3AJ5eI5OnqOPBNLWSHKh2a30DoXe8/edit?usp=sharing"",""นครศรีธรรมราช!I185"")"),0)</f>
        <v>0</v>
      </c>
      <c r="J270" s="322">
        <f ca="1">IFERROR(__xludf.DUMMYFUNCTION("IMPORTRANGE(""https://docs.google.com/spreadsheets/d/1IYY_tgx_IHuhSq3AJ5eI5OnqOPBNLWSHKh2a30DoXe8/edit?usp=sharing"",""นครศรีธรรมราช!J185"")"),0)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52" t="s">
        <v>17</v>
      </c>
      <c r="E271" s="543"/>
      <c r="F271" s="543"/>
      <c r="G271" s="543"/>
      <c r="H271" s="153" t="s">
        <v>12</v>
      </c>
      <c r="I271" s="168"/>
      <c r="J271" s="168"/>
      <c r="K271" s="169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8"/>
      <c r="J272" s="168"/>
      <c r="K272" s="169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8"/>
      <c r="J273" s="168"/>
      <c r="K273" s="169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5">
      <c r="A274" s="162"/>
      <c r="B274" s="163"/>
      <c r="C274" s="163" t="s">
        <v>16</v>
      </c>
      <c r="D274" s="164" t="s">
        <v>38</v>
      </c>
      <c r="E274" s="165"/>
      <c r="F274" s="165"/>
      <c r="G274" s="166" t="s">
        <v>39</v>
      </c>
      <c r="H274" s="167" t="s">
        <v>12</v>
      </c>
      <c r="I274" s="168" t="s">
        <v>40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 x14ac:dyDescent="0.35">
      <c r="A275" s="162"/>
      <c r="B275" s="163"/>
      <c r="C275" s="163"/>
      <c r="D275" s="172"/>
      <c r="E275" s="165"/>
      <c r="F275" s="165" t="s">
        <v>40</v>
      </c>
      <c r="G275" s="166" t="s">
        <v>41</v>
      </c>
      <c r="H275" s="167" t="s">
        <v>12</v>
      </c>
      <c r="I275" s="168"/>
      <c r="J275" s="168"/>
      <c r="K275" s="169"/>
      <c r="L275" s="173">
        <f ca="1">L276+L277</f>
        <v>0</v>
      </c>
      <c r="M275" s="174">
        <f ca="1">IFERROR(__xludf.DUMMYFUNCTION("IMPORTRANGE(""https://docs.google.com/spreadsheets/d/1Yj_ptqi66GCucihVvJfMjLAmec39IyEx_6qawtMGysU/edit?usp=sharing"",""สบก!CK84"")"),0)</f>
        <v>0</v>
      </c>
      <c r="N275" s="175">
        <f ca="1">IFERROR(__xludf.DUMMYFUNCTION("IMPORTRANGE(""https://docs.google.com/spreadsheets/d/1Yj_ptqi66GCucihVvJfMjLAmec39IyEx_6qawtMGysU/edit?usp=sharing"",""สบก!CL84"")"),0)</f>
        <v>0</v>
      </c>
      <c r="O275" s="176">
        <f ca="1">IF(L275&gt;0,N275*100/L275,0)</f>
        <v>0</v>
      </c>
      <c r="P275" s="176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2"/>
      <c r="E276" s="165"/>
      <c r="F276" s="165"/>
      <c r="G276" s="177" t="s">
        <v>42</v>
      </c>
      <c r="H276" s="167" t="s">
        <v>12</v>
      </c>
      <c r="I276" s="168"/>
      <c r="J276" s="168"/>
      <c r="K276" s="169"/>
      <c r="L276" s="174">
        <f ca="1">IFERROR(__xludf.DUMMYFUNCTION("IMPORTRANGE(""https://docs.google.com/spreadsheets/d/1Yj_ptqi66GCucihVvJfMjLAmec39IyEx_6qawtMGysU/edit?usp=sharing"",""สบก!CG84"")"),0)</f>
        <v>0</v>
      </c>
      <c r="M276" s="173"/>
      <c r="N276" s="173"/>
      <c r="O276" s="176"/>
      <c r="P276" s="176"/>
    </row>
    <row r="277" spans="1:16" ht="21.75" customHeight="1" x14ac:dyDescent="0.35">
      <c r="A277" s="162"/>
      <c r="B277" s="163"/>
      <c r="C277" s="163"/>
      <c r="D277" s="172"/>
      <c r="E277" s="165"/>
      <c r="F277" s="165"/>
      <c r="G277" s="177" t="s">
        <v>43</v>
      </c>
      <c r="H277" s="167" t="s">
        <v>12</v>
      </c>
      <c r="I277" s="168"/>
      <c r="J277" s="168"/>
      <c r="K277" s="169"/>
      <c r="L277" s="174">
        <f ca="1">IFERROR(__xludf.DUMMYFUNCTION("IMPORTRANGE(""https://docs.google.com/spreadsheets/d/1Yj_ptqi66GCucihVvJfMjLAmec39IyEx_6qawtMGysU/edit?usp=sharing"",""สบก!CH84"")"),0)</f>
        <v>0</v>
      </c>
      <c r="M277" s="173"/>
      <c r="N277" s="173"/>
      <c r="O277" s="176"/>
      <c r="P277" s="176"/>
    </row>
    <row r="278" spans="1:16" ht="21.75" customHeight="1" x14ac:dyDescent="0.45">
      <c r="A278" s="178"/>
      <c r="B278" s="81"/>
      <c r="C278" s="82" t="s">
        <v>16</v>
      </c>
      <c r="D278" s="549" t="s">
        <v>23</v>
      </c>
      <c r="E278" s="545"/>
      <c r="F278" s="89"/>
      <c r="G278" s="83" t="s">
        <v>18</v>
      </c>
      <c r="H278" s="179" t="s">
        <v>12</v>
      </c>
      <c r="I278" s="168"/>
      <c r="J278" s="168"/>
      <c r="K278" s="169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80"/>
      <c r="B279" s="95"/>
      <c r="C279" s="95"/>
      <c r="D279" s="181"/>
      <c r="E279" s="96"/>
      <c r="F279" s="96"/>
      <c r="G279" s="97" t="s">
        <v>19</v>
      </c>
      <c r="H279" s="182" t="s">
        <v>12</v>
      </c>
      <c r="I279" s="168"/>
      <c r="J279" s="168"/>
      <c r="K279" s="169"/>
      <c r="L279" s="91">
        <f ca="1">IFERROR(__xludf.DUMMYFUNCTION("IMPORTRANGE(""https://docs.google.com/spreadsheets/d/1Yj_ptqi66GCucihVvJfMjLAmec39IyEx_6qawtMGysU/edit?usp=sharing"",""สบก!CI84"")"),0)</f>
        <v>0</v>
      </c>
      <c r="M279" s="101"/>
      <c r="N279" s="91">
        <f ca="1">IFERROR(__xludf.DUMMYFUNCTION("IMPORTRANGE(""https://docs.google.com/spreadsheets/d/1Yj_ptqi66GCucihVvJfMjLAmec39IyEx_6qawtMGysU/edit?usp=sharing"",""สบก!CM84"")"),0)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3"/>
      <c r="B280" s="184"/>
      <c r="C280" s="163" t="s">
        <v>16</v>
      </c>
      <c r="D280" s="185" t="s">
        <v>44</v>
      </c>
      <c r="E280" s="186"/>
      <c r="F280" s="186"/>
      <c r="G280" s="187"/>
      <c r="H280" s="188"/>
      <c r="I280" s="168"/>
      <c r="J280" s="168"/>
      <c r="K280" s="169"/>
      <c r="L280" s="189"/>
      <c r="M280" s="189"/>
      <c r="N280" s="189"/>
      <c r="O280" s="189"/>
      <c r="P280" s="189"/>
    </row>
    <row r="281" spans="1:16" ht="21.75" customHeight="1" x14ac:dyDescent="0.35">
      <c r="A281" s="183"/>
      <c r="B281" s="184"/>
      <c r="C281" s="184"/>
      <c r="D281" s="190">
        <v>1</v>
      </c>
      <c r="E281" s="191" t="s">
        <v>45</v>
      </c>
      <c r="F281" s="192"/>
      <c r="G281" s="193"/>
      <c r="H281" s="194"/>
      <c r="I281" s="195"/>
      <c r="J281" s="196">
        <f ca="1">IFERROR(__xludf.DUMMYFUNCTION("IMPORTRANGE(""https://docs.google.com/spreadsheets/d/1IYY_tgx_IHuhSq3AJ5eI5OnqOPBNLWSHKh2a30DoXe8/edit?usp=sharing"",""นครศรีธรรมราช!J191"")"),0)</f>
        <v>0</v>
      </c>
      <c r="K281" s="169"/>
      <c r="L281" s="189"/>
      <c r="M281" s="189"/>
      <c r="N281" s="189"/>
      <c r="O281" s="189"/>
      <c r="P281" s="189"/>
    </row>
    <row r="282" spans="1:16" ht="21.75" customHeight="1" x14ac:dyDescent="0.35">
      <c r="A282" s="183"/>
      <c r="B282" s="184"/>
      <c r="C282" s="184"/>
      <c r="D282" s="197">
        <v>2</v>
      </c>
      <c r="E282" s="198" t="s">
        <v>46</v>
      </c>
      <c r="F282" s="199"/>
      <c r="G282" s="200"/>
      <c r="H282" s="194"/>
      <c r="I282" s="195"/>
      <c r="J282" s="205">
        <f ca="1">IFERROR(__xludf.DUMMYFUNCTION("IMPORTRANGE(""https://docs.google.com/spreadsheets/d/1IYY_tgx_IHuhSq3AJ5eI5OnqOPBNLWSHKh2a30DoXe8/edit?usp=sharing"",""นครศรีธรรมราช!J192"")"),0)</f>
        <v>0</v>
      </c>
      <c r="K282" s="169"/>
      <c r="L282" s="189"/>
      <c r="M282" s="189"/>
      <c r="N282" s="189"/>
      <c r="O282" s="189"/>
      <c r="P282" s="189"/>
    </row>
    <row r="283" spans="1:16" ht="21.75" customHeight="1" x14ac:dyDescent="0.35">
      <c r="A283" s="183"/>
      <c r="B283" s="184"/>
      <c r="C283" s="184"/>
      <c r="D283" s="201"/>
      <c r="E283" s="202" t="s">
        <v>47</v>
      </c>
      <c r="F283" s="203"/>
      <c r="G283" s="204"/>
      <c r="H283" s="194"/>
      <c r="I283" s="195"/>
      <c r="J283" s="205">
        <f ca="1">IFERROR(__xludf.DUMMYFUNCTION("IMPORTRANGE(""https://docs.google.com/spreadsheets/d/1IYY_tgx_IHuhSq3AJ5eI5OnqOPBNLWSHKh2a30DoXe8/edit?usp=sharing"",""นครศรีธรรมราช!J193"")"),0)</f>
        <v>0</v>
      </c>
      <c r="K283" s="169"/>
      <c r="L283" s="189"/>
      <c r="M283" s="189"/>
      <c r="N283" s="189"/>
      <c r="O283" s="189"/>
      <c r="P283" s="189"/>
    </row>
    <row r="284" spans="1:16" ht="21.75" customHeight="1" x14ac:dyDescent="0.35">
      <c r="A284" s="183"/>
      <c r="B284" s="184"/>
      <c r="C284" s="184"/>
      <c r="D284" s="201"/>
      <c r="E284" s="202" t="s">
        <v>48</v>
      </c>
      <c r="F284" s="203"/>
      <c r="G284" s="204"/>
      <c r="H284" s="194"/>
      <c r="I284" s="195"/>
      <c r="J284" s="205">
        <f ca="1">IFERROR(__xludf.DUMMYFUNCTION("IMPORTRANGE(""https://docs.google.com/spreadsheets/d/1IYY_tgx_IHuhSq3AJ5eI5OnqOPBNLWSHKh2a30DoXe8/edit?usp=sharing"",""นครศรีธรรมราช!J194"")"),0)</f>
        <v>0</v>
      </c>
      <c r="K284" s="169"/>
      <c r="L284" s="189"/>
      <c r="M284" s="189"/>
      <c r="N284" s="189"/>
      <c r="O284" s="189"/>
      <c r="P284" s="189"/>
    </row>
    <row r="285" spans="1:16" ht="21.75" customHeight="1" x14ac:dyDescent="0.35">
      <c r="A285" s="183"/>
      <c r="B285" s="184"/>
      <c r="C285" s="184"/>
      <c r="D285" s="201"/>
      <c r="E285" s="203"/>
      <c r="F285" s="202" t="s">
        <v>110</v>
      </c>
      <c r="G285" s="204"/>
      <c r="H285" s="194" t="s">
        <v>37</v>
      </c>
      <c r="I285" s="195">
        <f ca="1">IFERROR(__xludf.DUMMYFUNCTION("IMPORTRANGE(""https://docs.google.com/spreadsheets/d/1IYY_tgx_IHuhSq3AJ5eI5OnqOPBNLWSHKh2a30DoXe8/edit?usp=sharing"",""นครศรีธรรมราช!I195"")"),0)</f>
        <v>0</v>
      </c>
      <c r="J285" s="196">
        <f ca="1">IFERROR(__xludf.DUMMYFUNCTION("IMPORTRANGE(""https://docs.google.com/spreadsheets/d/1IYY_tgx_IHuhSq3AJ5eI5OnqOPBNLWSHKh2a30DoXe8/edit?usp=sharing"",""นครศรีธรรมราช!J195"")"),0)</f>
        <v>0</v>
      </c>
      <c r="K285" s="169">
        <f ca="1">IF(I285&gt;0,J285*100/I285,0)</f>
        <v>0</v>
      </c>
      <c r="L285" s="189"/>
      <c r="M285" s="189"/>
      <c r="N285" s="189"/>
      <c r="O285" s="189"/>
      <c r="P285" s="189"/>
    </row>
    <row r="286" spans="1:16" ht="21.75" customHeight="1" x14ac:dyDescent="0.35">
      <c r="A286" s="183"/>
      <c r="B286" s="184"/>
      <c r="C286" s="184"/>
      <c r="D286" s="201"/>
      <c r="E286" s="202" t="s">
        <v>54</v>
      </c>
      <c r="F286" s="203"/>
      <c r="G286" s="204"/>
      <c r="H286" s="194"/>
      <c r="I286" s="195"/>
      <c r="J286" s="205">
        <f ca="1">IFERROR(__xludf.DUMMYFUNCTION("IMPORTRANGE(""https://docs.google.com/spreadsheets/d/1IYY_tgx_IHuhSq3AJ5eI5OnqOPBNLWSHKh2a30DoXe8/edit?usp=sharing"",""นครศรีธรรมราช!J196"")"),0)</f>
        <v>0</v>
      </c>
      <c r="K286" s="169"/>
      <c r="L286" s="189"/>
      <c r="M286" s="189"/>
      <c r="N286" s="189"/>
      <c r="O286" s="189"/>
      <c r="P286" s="189"/>
    </row>
    <row r="287" spans="1:16" ht="21.75" customHeight="1" x14ac:dyDescent="0.35">
      <c r="A287" s="183"/>
      <c r="B287" s="184"/>
      <c r="C287" s="184"/>
      <c r="D287" s="213">
        <v>3</v>
      </c>
      <c r="E287" s="214" t="s">
        <v>55</v>
      </c>
      <c r="F287" s="215"/>
      <c r="G287" s="216"/>
      <c r="H287" s="194"/>
      <c r="I287" s="195"/>
      <c r="J287" s="217">
        <f ca="1">IFERROR(__xludf.DUMMYFUNCTION("IMPORTRANGE(""https://docs.google.com/spreadsheets/d/1IYY_tgx_IHuhSq3AJ5eI5OnqOPBNLWSHKh2a30DoXe8/edit?usp=sharing"",""นครศรีธรรมราช!J197"")"),0)</f>
        <v>0</v>
      </c>
      <c r="K287" s="169"/>
      <c r="L287" s="189"/>
      <c r="M287" s="189"/>
      <c r="N287" s="189"/>
      <c r="O287" s="189"/>
      <c r="P287" s="189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IFERROR(__xludf.DUMMYFUNCTION("IMPORTRANGE(""https://docs.google.com/spreadsheets/d/1IYY_tgx_IHuhSq3AJ5eI5OnqOPBNLWSHKh2a30DoXe8/edit?usp=sharing"",""นครศรีธรรมราช!I199"")"),0)</f>
        <v>0</v>
      </c>
      <c r="J289" s="322">
        <f ca="1">IFERROR(__xludf.DUMMYFUNCTION("IMPORTRANGE(""https://docs.google.com/spreadsheets/d/1IYY_tgx_IHuhSq3AJ5eI5OnqOPBNLWSHKh2a30DoXe8/edit?usp=sharing"",""นครศรีธรรมราช!J199"")"),0)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52" t="s">
        <v>17</v>
      </c>
      <c r="E290" s="543"/>
      <c r="F290" s="543"/>
      <c r="G290" s="543"/>
      <c r="H290" s="153" t="s">
        <v>12</v>
      </c>
      <c r="I290" s="195"/>
      <c r="J290" s="195"/>
      <c r="K290" s="231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5"/>
      <c r="J291" s="195"/>
      <c r="K291" s="231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5"/>
      <c r="J292" s="195"/>
      <c r="K292" s="231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5">
      <c r="A293" s="162"/>
      <c r="B293" s="163"/>
      <c r="C293" s="163" t="s">
        <v>16</v>
      </c>
      <c r="D293" s="164" t="s">
        <v>38</v>
      </c>
      <c r="E293" s="165"/>
      <c r="F293" s="165"/>
      <c r="G293" s="166" t="s">
        <v>39</v>
      </c>
      <c r="H293" s="167" t="s">
        <v>12</v>
      </c>
      <c r="I293" s="195" t="s">
        <v>40</v>
      </c>
      <c r="J293" s="195"/>
      <c r="K293" s="231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 x14ac:dyDescent="0.35">
      <c r="A294" s="162"/>
      <c r="B294" s="163"/>
      <c r="C294" s="163"/>
      <c r="D294" s="172"/>
      <c r="E294" s="165"/>
      <c r="F294" s="165" t="s">
        <v>40</v>
      </c>
      <c r="G294" s="166" t="s">
        <v>41</v>
      </c>
      <c r="H294" s="167" t="s">
        <v>12</v>
      </c>
      <c r="I294" s="195"/>
      <c r="J294" s="195"/>
      <c r="K294" s="231"/>
      <c r="L294" s="173">
        <f ca="1">L295+L296</f>
        <v>0</v>
      </c>
      <c r="M294" s="174">
        <f ca="1">IFERROR(__xludf.DUMMYFUNCTION("IMPORTRANGE(""https://docs.google.com/spreadsheets/d/1Yj_ptqi66GCucihVvJfMjLAmec39IyEx_6qawtMGysU/edit?usp=sharing"",""สบก!CT84"")"),0)</f>
        <v>0</v>
      </c>
      <c r="N294" s="175">
        <f ca="1">IFERROR(__xludf.DUMMYFUNCTION("IMPORTRANGE(""https://docs.google.com/spreadsheets/d/1Yj_ptqi66GCucihVvJfMjLAmec39IyEx_6qawtMGysU/edit?usp=sharing"",""สบก!CU84"")"),0)</f>
        <v>0</v>
      </c>
      <c r="O294" s="176">
        <f ca="1">IF(L294&gt;0,N294*100/L294,0)</f>
        <v>0</v>
      </c>
      <c r="P294" s="176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2"/>
      <c r="E295" s="165"/>
      <c r="F295" s="165"/>
      <c r="G295" s="177" t="s">
        <v>42</v>
      </c>
      <c r="H295" s="167" t="s">
        <v>12</v>
      </c>
      <c r="I295" s="195"/>
      <c r="J295" s="195"/>
      <c r="K295" s="231"/>
      <c r="L295" s="174">
        <f ca="1">IFERROR(__xludf.DUMMYFUNCTION("IMPORTRANGE(""https://docs.google.com/spreadsheets/d/1Yj_ptqi66GCucihVvJfMjLAmec39IyEx_6qawtMGysU/edit?usp=sharing"",""สบก!CP84"")"),0)</f>
        <v>0</v>
      </c>
      <c r="M295" s="173"/>
      <c r="N295" s="173"/>
      <c r="O295" s="176"/>
      <c r="P295" s="176"/>
    </row>
    <row r="296" spans="1:16" ht="21.75" customHeight="1" x14ac:dyDescent="0.35">
      <c r="A296" s="162"/>
      <c r="B296" s="163"/>
      <c r="C296" s="163"/>
      <c r="D296" s="172"/>
      <c r="E296" s="165"/>
      <c r="F296" s="165"/>
      <c r="G296" s="177" t="s">
        <v>43</v>
      </c>
      <c r="H296" s="167" t="s">
        <v>12</v>
      </c>
      <c r="I296" s="195"/>
      <c r="J296" s="195"/>
      <c r="K296" s="231"/>
      <c r="L296" s="174">
        <f ca="1">IFERROR(__xludf.DUMMYFUNCTION("IMPORTRANGE(""https://docs.google.com/spreadsheets/d/1Yj_ptqi66GCucihVvJfMjLAmec39IyEx_6qawtMGysU/edit?usp=sharing"",""สบก!CQ84"")"),0)</f>
        <v>0</v>
      </c>
      <c r="M296" s="173"/>
      <c r="N296" s="173"/>
      <c r="O296" s="176"/>
      <c r="P296" s="176"/>
    </row>
    <row r="297" spans="1:16" ht="21.75" customHeight="1" x14ac:dyDescent="0.45">
      <c r="A297" s="178"/>
      <c r="B297" s="81"/>
      <c r="C297" s="82" t="s">
        <v>16</v>
      </c>
      <c r="D297" s="549" t="s">
        <v>23</v>
      </c>
      <c r="E297" s="545"/>
      <c r="F297" s="89"/>
      <c r="G297" s="83" t="s">
        <v>18</v>
      </c>
      <c r="H297" s="179" t="s">
        <v>12</v>
      </c>
      <c r="I297" s="195"/>
      <c r="J297" s="195"/>
      <c r="K297" s="231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80"/>
      <c r="B298" s="95"/>
      <c r="C298" s="95"/>
      <c r="D298" s="181"/>
      <c r="E298" s="96"/>
      <c r="F298" s="96"/>
      <c r="G298" s="97" t="s">
        <v>19</v>
      </c>
      <c r="H298" s="182" t="s">
        <v>12</v>
      </c>
      <c r="I298" s="195"/>
      <c r="J298" s="195"/>
      <c r="K298" s="231"/>
      <c r="L298" s="91">
        <f ca="1">IFERROR(__xludf.DUMMYFUNCTION("IMPORTRANGE(""https://docs.google.com/spreadsheets/d/1Yj_ptqi66GCucihVvJfMjLAmec39IyEx_6qawtMGysU/edit?usp=sharing"",""สบก!CR84"")"),0)</f>
        <v>0</v>
      </c>
      <c r="M298" s="101"/>
      <c r="N298" s="91">
        <f ca="1">IFERROR(__xludf.DUMMYFUNCTION("IMPORTRANGE(""https://docs.google.com/spreadsheets/d/1Yj_ptqi66GCucihVvJfMjLAmec39IyEx_6qawtMGysU/edit?usp=sharing"",""สบก!CV84"")"),0)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3"/>
      <c r="B299" s="184"/>
      <c r="C299" s="163" t="s">
        <v>16</v>
      </c>
      <c r="D299" s="185" t="s">
        <v>44</v>
      </c>
      <c r="E299" s="186"/>
      <c r="F299" s="186"/>
      <c r="G299" s="187"/>
      <c r="H299" s="188"/>
      <c r="I299" s="195"/>
      <c r="J299" s="195"/>
      <c r="K299" s="231"/>
      <c r="L299" s="176"/>
      <c r="M299" s="176"/>
      <c r="N299" s="176"/>
      <c r="O299" s="189"/>
      <c r="P299" s="189"/>
    </row>
    <row r="300" spans="1:16" ht="21.75" customHeight="1" x14ac:dyDescent="0.35">
      <c r="A300" s="183"/>
      <c r="B300" s="184"/>
      <c r="C300" s="184"/>
      <c r="D300" s="190">
        <v>1</v>
      </c>
      <c r="E300" s="191" t="s">
        <v>45</v>
      </c>
      <c r="F300" s="192"/>
      <c r="G300" s="193"/>
      <c r="H300" s="194"/>
      <c r="I300" s="195"/>
      <c r="J300" s="195">
        <f ca="1">IFERROR(__xludf.DUMMYFUNCTION("IMPORTRANGE(""https://docs.google.com/spreadsheets/d/1IYY_tgx_IHuhSq3AJ5eI5OnqOPBNLWSHKh2a30DoXe8/edit?usp=sharing"",""นครศรีธรรมราช!J205"")"),0)</f>
        <v>0</v>
      </c>
      <c r="K300" s="231"/>
      <c r="L300" s="176"/>
      <c r="M300" s="176"/>
      <c r="N300" s="176"/>
      <c r="O300" s="189"/>
      <c r="P300" s="189"/>
    </row>
    <row r="301" spans="1:16" ht="21.75" customHeight="1" x14ac:dyDescent="0.35">
      <c r="A301" s="183"/>
      <c r="B301" s="184"/>
      <c r="C301" s="184"/>
      <c r="D301" s="197">
        <v>2</v>
      </c>
      <c r="E301" s="198" t="s">
        <v>46</v>
      </c>
      <c r="F301" s="199"/>
      <c r="G301" s="200"/>
      <c r="H301" s="194"/>
      <c r="I301" s="195"/>
      <c r="J301" s="195">
        <f ca="1">IFERROR(__xludf.DUMMYFUNCTION("IMPORTRANGE(""https://docs.google.com/spreadsheets/d/1IYY_tgx_IHuhSq3AJ5eI5OnqOPBNLWSHKh2a30DoXe8/edit?usp=sharing"",""นครศรีธรรมราช!J206"")"),0)</f>
        <v>0</v>
      </c>
      <c r="K301" s="231"/>
      <c r="L301" s="176" t="s">
        <v>40</v>
      </c>
      <c r="M301" s="176"/>
      <c r="N301" s="176" t="s">
        <v>40</v>
      </c>
      <c r="O301" s="189"/>
      <c r="P301" s="189"/>
    </row>
    <row r="302" spans="1:16" ht="21.75" customHeight="1" x14ac:dyDescent="0.35">
      <c r="A302" s="183"/>
      <c r="B302" s="184"/>
      <c r="C302" s="184"/>
      <c r="D302" s="201"/>
      <c r="E302" s="202" t="s">
        <v>47</v>
      </c>
      <c r="F302" s="203"/>
      <c r="G302" s="204"/>
      <c r="H302" s="194"/>
      <c r="I302" s="195"/>
      <c r="J302" s="195">
        <f ca="1">IFERROR(__xludf.DUMMYFUNCTION("IMPORTRANGE(""https://docs.google.com/spreadsheets/d/1IYY_tgx_IHuhSq3AJ5eI5OnqOPBNLWSHKh2a30DoXe8/edit?usp=sharing"",""นครศรีธรรมราช!J207"")"),0)</f>
        <v>0</v>
      </c>
      <c r="K302" s="231"/>
      <c r="L302" s="176"/>
      <c r="M302" s="176"/>
      <c r="N302" s="176"/>
      <c r="O302" s="189"/>
      <c r="P302" s="189"/>
    </row>
    <row r="303" spans="1:16" ht="21.75" customHeight="1" x14ac:dyDescent="0.35">
      <c r="A303" s="183"/>
      <c r="B303" s="184"/>
      <c r="C303" s="184"/>
      <c r="D303" s="201"/>
      <c r="E303" s="202" t="s">
        <v>48</v>
      </c>
      <c r="F303" s="203"/>
      <c r="G303" s="204"/>
      <c r="H303" s="194"/>
      <c r="I303" s="195"/>
      <c r="J303" s="195">
        <f ca="1">IFERROR(__xludf.DUMMYFUNCTION("IMPORTRANGE(""https://docs.google.com/spreadsheets/d/1IYY_tgx_IHuhSq3AJ5eI5OnqOPBNLWSHKh2a30DoXe8/edit?usp=sharing"",""นครศรีธรรมราช!J208"")"),0)</f>
        <v>0</v>
      </c>
      <c r="K303" s="231"/>
      <c r="L303" s="176"/>
      <c r="M303" s="176"/>
      <c r="N303" s="176"/>
      <c r="O303" s="189"/>
      <c r="P303" s="189"/>
    </row>
    <row r="304" spans="1:16" ht="21.75" customHeight="1" x14ac:dyDescent="0.35">
      <c r="A304" s="183"/>
      <c r="B304" s="184"/>
      <c r="C304" s="184"/>
      <c r="D304" s="201"/>
      <c r="E304" s="206"/>
      <c r="F304" s="202" t="s">
        <v>113</v>
      </c>
      <c r="G304" s="204"/>
      <c r="H304" s="188" t="s">
        <v>37</v>
      </c>
      <c r="I304" s="195">
        <f ca="1">IFERROR(__xludf.DUMMYFUNCTION("IMPORTRANGE(""https://docs.google.com/spreadsheets/d/1IYY_tgx_IHuhSq3AJ5eI5OnqOPBNLWSHKh2a30DoXe8/edit?usp=sharing"",""นครศรีธรรมราช!I209"")"),0)</f>
        <v>0</v>
      </c>
      <c r="J304" s="211">
        <f ca="1">IFERROR(__xludf.DUMMYFUNCTION("IMPORTRANGE(""https://docs.google.com/spreadsheets/d/1IYY_tgx_IHuhSq3AJ5eI5OnqOPBNLWSHKh2a30DoXe8/edit?usp=sharing"",""นครศรีธรรมราช!J209"")"),0)</f>
        <v>0</v>
      </c>
      <c r="K304" s="231">
        <f ca="1">IF(I304&gt;0,J304*100/I304,0)</f>
        <v>0</v>
      </c>
      <c r="L304" s="176"/>
      <c r="M304" s="176"/>
      <c r="N304" s="176"/>
      <c r="O304" s="189"/>
      <c r="P304" s="189"/>
    </row>
    <row r="305" spans="1:16" ht="21.75" customHeight="1" x14ac:dyDescent="0.35">
      <c r="A305" s="183"/>
      <c r="B305" s="184"/>
      <c r="C305" s="184"/>
      <c r="D305" s="201"/>
      <c r="E305" s="206"/>
      <c r="F305" s="202" t="s">
        <v>114</v>
      </c>
      <c r="G305" s="204"/>
      <c r="H305" s="188"/>
      <c r="I305" s="195"/>
      <c r="J305" s="195"/>
      <c r="K305" s="231"/>
      <c r="L305" s="176"/>
      <c r="M305" s="176"/>
      <c r="N305" s="176"/>
      <c r="O305" s="189"/>
      <c r="P305" s="189"/>
    </row>
    <row r="306" spans="1:16" ht="21.75" customHeight="1" x14ac:dyDescent="0.35">
      <c r="A306" s="183"/>
      <c r="B306" s="184"/>
      <c r="C306" s="184"/>
      <c r="D306" s="201"/>
      <c r="E306" s="206"/>
      <c r="F306" s="203" t="s">
        <v>53</v>
      </c>
      <c r="G306" s="204"/>
      <c r="H306" s="188" t="s">
        <v>37</v>
      </c>
      <c r="I306" s="195">
        <f ca="1">IFERROR(__xludf.DUMMYFUNCTION("IMPORTRANGE(""https://docs.google.com/spreadsheets/d/1IYY_tgx_IHuhSq3AJ5eI5OnqOPBNLWSHKh2a30DoXe8/edit?usp=sharing"",""นครศรีธรรมราช!I211"")"),0)</f>
        <v>0</v>
      </c>
      <c r="J306" s="211">
        <f ca="1">IFERROR(__xludf.DUMMYFUNCTION("IMPORTRANGE(""https://docs.google.com/spreadsheets/d/1IYY_tgx_IHuhSq3AJ5eI5OnqOPBNLWSHKh2a30DoXe8/edit?usp=sharing"",""นครศรีธรรมราช!J211"")"),0)</f>
        <v>0</v>
      </c>
      <c r="K306" s="231">
        <f ca="1">IF(I306&gt;0,J306*100/I306,0)</f>
        <v>0</v>
      </c>
      <c r="L306" s="176"/>
      <c r="M306" s="176"/>
      <c r="N306" s="176"/>
      <c r="O306" s="189"/>
      <c r="P306" s="189"/>
    </row>
    <row r="307" spans="1:16" ht="21.75" customHeight="1" x14ac:dyDescent="0.35">
      <c r="A307" s="183"/>
      <c r="B307" s="184"/>
      <c r="C307" s="184"/>
      <c r="D307" s="201"/>
      <c r="E307" s="202" t="s">
        <v>54</v>
      </c>
      <c r="F307" s="203"/>
      <c r="G307" s="204"/>
      <c r="H307" s="194"/>
      <c r="I307" s="195"/>
      <c r="J307" s="195">
        <f ca="1">IFERROR(__xludf.DUMMYFUNCTION("IMPORTRANGE(""https://docs.google.com/spreadsheets/d/1IYY_tgx_IHuhSq3AJ5eI5OnqOPBNLWSHKh2a30DoXe8/edit?usp=sharing"",""นครศรีธรรมราช!J212"")"),0)</f>
        <v>0</v>
      </c>
      <c r="K307" s="231"/>
      <c r="L307" s="176"/>
      <c r="M307" s="176"/>
      <c r="N307" s="176"/>
      <c r="O307" s="189"/>
      <c r="P307" s="189"/>
    </row>
    <row r="308" spans="1:16" ht="21.75" customHeight="1" x14ac:dyDescent="0.35">
      <c r="A308" s="183"/>
      <c r="B308" s="184"/>
      <c r="C308" s="184"/>
      <c r="D308" s="213">
        <v>3</v>
      </c>
      <c r="E308" s="214" t="s">
        <v>55</v>
      </c>
      <c r="F308" s="215"/>
      <c r="G308" s="216"/>
      <c r="H308" s="194"/>
      <c r="I308" s="195"/>
      <c r="J308" s="332">
        <f ca="1">IFERROR(__xludf.DUMMYFUNCTION("IMPORTRANGE(""https://docs.google.com/spreadsheets/d/1IYY_tgx_IHuhSq3AJ5eI5OnqOPBNLWSHKh2a30DoXe8/edit?usp=sharing"",""นครศรีธรรมราช!J213"")"),0)</f>
        <v>0</v>
      </c>
      <c r="K308" s="231"/>
      <c r="L308" s="176"/>
      <c r="M308" s="176"/>
      <c r="N308" s="176"/>
      <c r="O308" s="189"/>
      <c r="P308" s="189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IFERROR(__xludf.DUMMYFUNCTION("IMPORTRANGE(""https://docs.google.com/spreadsheets/d/1IYY_tgx_IHuhSq3AJ5eI5OnqOPBNLWSHKh2a30DoXe8/edit?usp=sharing"",""นครศรีธรรมราช!I214"")"),0)</f>
        <v>0</v>
      </c>
      <c r="J309" s="339">
        <f ca="1">IFERROR(__xludf.DUMMYFUNCTION("IMPORTRANGE(""https://docs.google.com/spreadsheets/d/1IYY_tgx_IHuhSq3AJ5eI5OnqOPBNLWSHKh2a30DoXe8/edit?usp=sharing"",""นครศรีธรรมราช!J214"")"),0)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52" t="s">
        <v>17</v>
      </c>
      <c r="E310" s="543"/>
      <c r="F310" s="543"/>
      <c r="G310" s="54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5">
      <c r="A313" s="162"/>
      <c r="B313" s="163"/>
      <c r="C313" s="163" t="s">
        <v>16</v>
      </c>
      <c r="D313" s="164" t="s">
        <v>38</v>
      </c>
      <c r="E313" s="165"/>
      <c r="F313" s="165"/>
      <c r="G313" s="166" t="s">
        <v>39</v>
      </c>
      <c r="H313" s="167" t="s">
        <v>12</v>
      </c>
      <c r="I313" s="168" t="s">
        <v>40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 x14ac:dyDescent="0.35">
      <c r="A314" s="162"/>
      <c r="B314" s="163"/>
      <c r="C314" s="163"/>
      <c r="D314" s="172"/>
      <c r="E314" s="165"/>
      <c r="F314" s="165" t="s">
        <v>40</v>
      </c>
      <c r="G314" s="166" t="s">
        <v>41</v>
      </c>
      <c r="H314" s="167" t="s">
        <v>12</v>
      </c>
      <c r="I314" s="168"/>
      <c r="J314" s="168"/>
      <c r="K314" s="169"/>
      <c r="L314" s="173">
        <f ca="1">L315+L316</f>
        <v>0</v>
      </c>
      <c r="M314" s="174">
        <f ca="1">IFERROR(__xludf.DUMMYFUNCTION("IMPORTRANGE(""https://docs.google.com/spreadsheets/d/1Yj_ptqi66GCucihVvJfMjLAmec39IyEx_6qawtMGysU/edit?usp=sharing"",""สบก!DC84"")"),0)</f>
        <v>0</v>
      </c>
      <c r="N314" s="175">
        <f ca="1">IFERROR(__xludf.DUMMYFUNCTION("IMPORTRANGE(""https://docs.google.com/spreadsheets/d/1Yj_ptqi66GCucihVvJfMjLAmec39IyEx_6qawtMGysU/edit?usp=sharing"",""สบก!DD84"")"),0)</f>
        <v>0</v>
      </c>
      <c r="O314" s="176">
        <f ca="1">IF(L314&gt;0,N314*100/L314,0)</f>
        <v>0</v>
      </c>
      <c r="P314" s="176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2"/>
      <c r="E315" s="165"/>
      <c r="F315" s="165"/>
      <c r="G315" s="177" t="s">
        <v>42</v>
      </c>
      <c r="H315" s="167" t="s">
        <v>12</v>
      </c>
      <c r="I315" s="168"/>
      <c r="J315" s="168"/>
      <c r="K315" s="169"/>
      <c r="L315" s="174">
        <f ca="1">IFERROR(__xludf.DUMMYFUNCTION("IMPORTRANGE(""https://docs.google.com/spreadsheets/d/1Yj_ptqi66GCucihVvJfMjLAmec39IyEx_6qawtMGysU/edit?usp=sharing"",""สบก!CY84"")"),0)</f>
        <v>0</v>
      </c>
      <c r="M315" s="173"/>
      <c r="N315" s="173"/>
      <c r="O315" s="176"/>
      <c r="P315" s="176"/>
    </row>
    <row r="316" spans="1:16" ht="21.75" customHeight="1" x14ac:dyDescent="0.35">
      <c r="A316" s="162"/>
      <c r="B316" s="163"/>
      <c r="C316" s="163"/>
      <c r="D316" s="172"/>
      <c r="E316" s="165"/>
      <c r="F316" s="165"/>
      <c r="G316" s="177" t="s">
        <v>43</v>
      </c>
      <c r="H316" s="167" t="s">
        <v>12</v>
      </c>
      <c r="I316" s="168"/>
      <c r="J316" s="195"/>
      <c r="K316" s="231"/>
      <c r="L316" s="174">
        <f ca="1">IFERROR(__xludf.DUMMYFUNCTION("IMPORTRANGE(""https://docs.google.com/spreadsheets/d/1Yj_ptqi66GCucihVvJfMjLAmec39IyEx_6qawtMGysU/edit?usp=sharing"",""สบก!CZ84"")"),0)</f>
        <v>0</v>
      </c>
      <c r="M316" s="173"/>
      <c r="N316" s="173"/>
      <c r="O316" s="176"/>
      <c r="P316" s="176"/>
    </row>
    <row r="317" spans="1:16" ht="21.75" customHeight="1" x14ac:dyDescent="0.45">
      <c r="A317" s="178"/>
      <c r="B317" s="81"/>
      <c r="C317" s="82" t="s">
        <v>16</v>
      </c>
      <c r="D317" s="549" t="s">
        <v>23</v>
      </c>
      <c r="E317" s="545"/>
      <c r="F317" s="89"/>
      <c r="G317" s="83" t="s">
        <v>18</v>
      </c>
      <c r="H317" s="179" t="s">
        <v>12</v>
      </c>
      <c r="I317" s="168"/>
      <c r="J317" s="195"/>
      <c r="K317" s="231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80"/>
      <c r="B318" s="95"/>
      <c r="C318" s="95"/>
      <c r="D318" s="181"/>
      <c r="E318" s="96"/>
      <c r="F318" s="96"/>
      <c r="G318" s="97" t="s">
        <v>19</v>
      </c>
      <c r="H318" s="182" t="s">
        <v>12</v>
      </c>
      <c r="I318" s="168"/>
      <c r="J318" s="195"/>
      <c r="K318" s="231"/>
      <c r="L318" s="91">
        <f ca="1">IFERROR(__xludf.DUMMYFUNCTION("IMPORTRANGE(""https://docs.google.com/spreadsheets/d/1Yj_ptqi66GCucihVvJfMjLAmec39IyEx_6qawtMGysU/edit?usp=sharing"",""สบก!DA84"")"),0)</f>
        <v>0</v>
      </c>
      <c r="M318" s="101"/>
      <c r="N318" s="91">
        <f ca="1">IFERROR(__xludf.DUMMYFUNCTION("IMPORTRANGE(""https://docs.google.com/spreadsheets/d/1Yj_ptqi66GCucihVvJfMjLAmec39IyEx_6qawtMGysU/edit?usp=sharing"",""สบก!DE84"")"),0)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3"/>
      <c r="B319" s="184"/>
      <c r="C319" s="163" t="s">
        <v>16</v>
      </c>
      <c r="D319" s="185" t="s">
        <v>44</v>
      </c>
      <c r="E319" s="186"/>
      <c r="F319" s="186"/>
      <c r="G319" s="187"/>
      <c r="H319" s="188"/>
      <c r="I319" s="168"/>
      <c r="J319" s="195"/>
      <c r="K319" s="231"/>
      <c r="L319" s="176"/>
      <c r="M319" s="176"/>
      <c r="N319" s="176"/>
      <c r="O319" s="189"/>
      <c r="P319" s="189"/>
    </row>
    <row r="320" spans="1:16" ht="21.75" customHeight="1" x14ac:dyDescent="0.35">
      <c r="A320" s="183"/>
      <c r="B320" s="184"/>
      <c r="C320" s="184"/>
      <c r="D320" s="190">
        <v>1</v>
      </c>
      <c r="E320" s="191" t="s">
        <v>45</v>
      </c>
      <c r="F320" s="192"/>
      <c r="G320" s="193"/>
      <c r="H320" s="194"/>
      <c r="I320" s="195"/>
      <c r="J320" s="195">
        <f ca="1">IFERROR(__xludf.DUMMYFUNCTION("IMPORTRANGE(""https://docs.google.com/spreadsheets/d/1IYY_tgx_IHuhSq3AJ5eI5OnqOPBNLWSHKh2a30DoXe8/edit?usp=sharing"",""นครศรีธรรมราช!J220"")"),0)</f>
        <v>0</v>
      </c>
      <c r="K320" s="231"/>
      <c r="L320" s="176"/>
      <c r="M320" s="176"/>
      <c r="N320" s="176"/>
      <c r="O320" s="189"/>
      <c r="P320" s="189"/>
    </row>
    <row r="321" spans="1:16" ht="21.75" customHeight="1" x14ac:dyDescent="0.35">
      <c r="A321" s="183"/>
      <c r="B321" s="184"/>
      <c r="C321" s="184"/>
      <c r="D321" s="197">
        <v>2</v>
      </c>
      <c r="E321" s="198" t="s">
        <v>46</v>
      </c>
      <c r="F321" s="199"/>
      <c r="G321" s="200"/>
      <c r="H321" s="194"/>
      <c r="I321" s="195"/>
      <c r="J321" s="195">
        <f ca="1">IFERROR(__xludf.DUMMYFUNCTION("IMPORTRANGE(""https://docs.google.com/spreadsheets/d/1IYY_tgx_IHuhSq3AJ5eI5OnqOPBNLWSHKh2a30DoXe8/edit?usp=sharing"",""นครศรีธรรมราช!J221"")"),0)</f>
        <v>0</v>
      </c>
      <c r="K321" s="231"/>
      <c r="L321" s="176" t="s">
        <v>40</v>
      </c>
      <c r="M321" s="176"/>
      <c r="N321" s="176" t="s">
        <v>40</v>
      </c>
      <c r="O321" s="189"/>
      <c r="P321" s="189"/>
    </row>
    <row r="322" spans="1:16" ht="21.75" customHeight="1" x14ac:dyDescent="0.35">
      <c r="A322" s="183"/>
      <c r="B322" s="184"/>
      <c r="C322" s="184"/>
      <c r="D322" s="201"/>
      <c r="E322" s="202" t="s">
        <v>47</v>
      </c>
      <c r="F322" s="203"/>
      <c r="G322" s="204"/>
      <c r="H322" s="194"/>
      <c r="I322" s="195"/>
      <c r="J322" s="195">
        <f ca="1">IFERROR(__xludf.DUMMYFUNCTION("IMPORTRANGE(""https://docs.google.com/spreadsheets/d/1IYY_tgx_IHuhSq3AJ5eI5OnqOPBNLWSHKh2a30DoXe8/edit?usp=sharing"",""นครศรีธรรมราช!J222"")"),0)</f>
        <v>0</v>
      </c>
      <c r="K322" s="231"/>
      <c r="L322" s="176"/>
      <c r="M322" s="176"/>
      <c r="N322" s="176"/>
      <c r="O322" s="189"/>
      <c r="P322" s="189"/>
    </row>
    <row r="323" spans="1:16" ht="21.75" customHeight="1" x14ac:dyDescent="0.35">
      <c r="A323" s="183"/>
      <c r="B323" s="184"/>
      <c r="C323" s="184"/>
      <c r="D323" s="201"/>
      <c r="E323" s="202" t="s">
        <v>48</v>
      </c>
      <c r="F323" s="203"/>
      <c r="G323" s="204"/>
      <c r="H323" s="194"/>
      <c r="I323" s="195"/>
      <c r="J323" s="195">
        <f ca="1">IFERROR(__xludf.DUMMYFUNCTION("IMPORTRANGE(""https://docs.google.com/spreadsheets/d/1IYY_tgx_IHuhSq3AJ5eI5OnqOPBNLWSHKh2a30DoXe8/edit?usp=sharing"",""นครศรีธรรมราช!J223"")"),0)</f>
        <v>0</v>
      </c>
      <c r="K323" s="231"/>
      <c r="L323" s="176"/>
      <c r="M323" s="176"/>
      <c r="N323" s="176"/>
      <c r="O323" s="189"/>
      <c r="P323" s="189"/>
    </row>
    <row r="324" spans="1:16" ht="21.75" customHeight="1" x14ac:dyDescent="0.35">
      <c r="A324" s="183"/>
      <c r="B324" s="184"/>
      <c r="C324" s="184"/>
      <c r="D324" s="201"/>
      <c r="E324" s="206"/>
      <c r="F324" s="202" t="s">
        <v>117</v>
      </c>
      <c r="G324" s="204"/>
      <c r="H324" s="194" t="s">
        <v>116</v>
      </c>
      <c r="I324" s="195">
        <f ca="1">IFERROR(__xludf.DUMMYFUNCTION("IMPORTRANGE(""https://docs.google.com/spreadsheets/d/1IYY_tgx_IHuhSq3AJ5eI5OnqOPBNLWSHKh2a30DoXe8/edit?usp=sharing"",""นครศรีธรรมราช!I224"")"),0)</f>
        <v>0</v>
      </c>
      <c r="J324" s="211">
        <f ca="1">IFERROR(__xludf.DUMMYFUNCTION("IMPORTRANGE(""https://docs.google.com/spreadsheets/d/1IYY_tgx_IHuhSq3AJ5eI5OnqOPBNLWSHKh2a30DoXe8/edit?usp=sharing"",""นครศรีธรรมราช!J224"")"),0)</f>
        <v>0</v>
      </c>
      <c r="K324" s="231">
        <f ca="1">IF(I324&gt;0,J324*100/I324,0)</f>
        <v>0</v>
      </c>
      <c r="L324" s="176"/>
      <c r="M324" s="176"/>
      <c r="N324" s="176"/>
      <c r="O324" s="189"/>
      <c r="P324" s="189"/>
    </row>
    <row r="325" spans="1:16" ht="21.75" customHeight="1" x14ac:dyDescent="0.35">
      <c r="A325" s="183"/>
      <c r="B325" s="184"/>
      <c r="C325" s="184"/>
      <c r="D325" s="201"/>
      <c r="E325" s="202" t="s">
        <v>54</v>
      </c>
      <c r="F325" s="203"/>
      <c r="G325" s="204"/>
      <c r="H325" s="194"/>
      <c r="I325" s="195"/>
      <c r="J325" s="195">
        <f ca="1">IFERROR(__xludf.DUMMYFUNCTION("IMPORTRANGE(""https://docs.google.com/spreadsheets/d/1IYY_tgx_IHuhSq3AJ5eI5OnqOPBNLWSHKh2a30DoXe8/edit?usp=sharing"",""นครศรีธรรมราช!J225"")"),0)</f>
        <v>0</v>
      </c>
      <c r="K325" s="231"/>
      <c r="L325" s="176"/>
      <c r="M325" s="176"/>
      <c r="N325" s="176"/>
      <c r="O325" s="189"/>
      <c r="P325" s="189"/>
    </row>
    <row r="326" spans="1:16" ht="21.75" customHeight="1" x14ac:dyDescent="0.35">
      <c r="A326" s="183"/>
      <c r="B326" s="184"/>
      <c r="C326" s="184"/>
      <c r="D326" s="213">
        <v>3</v>
      </c>
      <c r="E326" s="214" t="s">
        <v>55</v>
      </c>
      <c r="F326" s="215"/>
      <c r="G326" s="216"/>
      <c r="H326" s="194"/>
      <c r="I326" s="195"/>
      <c r="J326" s="234">
        <f ca="1">IFERROR(__xludf.DUMMYFUNCTION("IMPORTRANGE(""https://docs.google.com/spreadsheets/d/1IYY_tgx_IHuhSq3AJ5eI5OnqOPBNLWSHKh2a30DoXe8/edit?usp=sharing"",""นครศรีธรรมราช!J226"")"),0)</f>
        <v>0</v>
      </c>
      <c r="K326" s="231"/>
      <c r="L326" s="176"/>
      <c r="M326" s="176"/>
      <c r="N326" s="176"/>
      <c r="O326" s="189"/>
      <c r="P326" s="189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IFERROR(__xludf.DUMMYFUNCTION("IMPORTRANGE(""https://docs.google.com/spreadsheets/d/1IYY_tgx_IHuhSq3AJ5eI5OnqOPBNLWSHKh2a30DoXe8/edit?usp=sharing"",""นครศรีธรรมราช!I228"")"),310)</f>
        <v>310</v>
      </c>
      <c r="J328" s="345">
        <f ca="1">IFERROR(__xludf.DUMMYFUNCTION("IMPORTRANGE(""https://docs.google.com/spreadsheets/d/1IYY_tgx_IHuhSq3AJ5eI5OnqOPBNLWSHKh2a30DoXe8/edit?usp=sharing"",""นครศรีธรรมราช!J228"")"),41)</f>
        <v>41</v>
      </c>
      <c r="K328" s="323">
        <f ca="1">IF(I328&gt;0,J328*100/I328,0)</f>
        <v>13.225806451612904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52" t="s">
        <v>17</v>
      </c>
      <c r="E329" s="543"/>
      <c r="F329" s="543"/>
      <c r="G329" s="543"/>
      <c r="H329" s="153" t="s">
        <v>12</v>
      </c>
      <c r="I329" s="168"/>
      <c r="J329" s="168"/>
      <c r="K329" s="169"/>
      <c r="L329" s="156">
        <f t="shared" ref="L329:N329" ca="1" si="98">L330+L331</f>
        <v>680840</v>
      </c>
      <c r="M329" s="156">
        <f t="shared" ca="1" si="98"/>
        <v>391460</v>
      </c>
      <c r="N329" s="156">
        <f t="shared" ca="1" si="98"/>
        <v>385547</v>
      </c>
      <c r="O329" s="155">
        <f t="shared" ref="O329:O331" ca="1" si="99">IF(L329&gt;0,N329*100/L329,0)</f>
        <v>56.628135832207271</v>
      </c>
      <c r="P329" s="155">
        <f t="shared" ref="P329:P331" ca="1" si="100">IF(M329&gt;0,N329*100/M329,0)</f>
        <v>98.489500842998012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8"/>
      <c r="J330" s="168"/>
      <c r="K330" s="169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8"/>
      <c r="J331" s="168"/>
      <c r="K331" s="169"/>
      <c r="L331" s="161">
        <f t="shared" ref="L331:N331" ca="1" si="102">L333+L337</f>
        <v>680840</v>
      </c>
      <c r="M331" s="161">
        <f t="shared" ca="1" si="102"/>
        <v>391460</v>
      </c>
      <c r="N331" s="161">
        <f t="shared" ca="1" si="102"/>
        <v>385547</v>
      </c>
      <c r="O331" s="160">
        <f t="shared" ca="1" si="99"/>
        <v>56.628135832207271</v>
      </c>
      <c r="P331" s="160">
        <f t="shared" ca="1" si="100"/>
        <v>98.489500842998012</v>
      </c>
    </row>
    <row r="332" spans="1:16" ht="21.75" customHeight="1" x14ac:dyDescent="0.35">
      <c r="A332" s="162"/>
      <c r="B332" s="163"/>
      <c r="C332" s="163" t="s">
        <v>16</v>
      </c>
      <c r="D332" s="164" t="s">
        <v>38</v>
      </c>
      <c r="E332" s="165"/>
      <c r="F332" s="165"/>
      <c r="G332" s="166" t="s">
        <v>39</v>
      </c>
      <c r="H332" s="167" t="s">
        <v>12</v>
      </c>
      <c r="I332" s="168" t="s">
        <v>40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 x14ac:dyDescent="0.35">
      <c r="A333" s="162"/>
      <c r="B333" s="163"/>
      <c r="C333" s="163"/>
      <c r="D333" s="172"/>
      <c r="E333" s="165"/>
      <c r="F333" s="165" t="s">
        <v>40</v>
      </c>
      <c r="G333" s="166" t="s">
        <v>41</v>
      </c>
      <c r="H333" s="167" t="s">
        <v>12</v>
      </c>
      <c r="I333" s="168"/>
      <c r="J333" s="168"/>
      <c r="K333" s="169"/>
      <c r="L333" s="173">
        <f ca="1">L334+L335</f>
        <v>667340</v>
      </c>
      <c r="M333" s="174">
        <f ca="1">IFERROR(__xludf.DUMMYFUNCTION("IMPORTRANGE(""https://docs.google.com/spreadsheets/d/1Yj_ptqi66GCucihVvJfMjLAmec39IyEx_6qawtMGysU/edit?usp=sharing"",""สบก!DL84"")"),377960)</f>
        <v>377960</v>
      </c>
      <c r="N333" s="175">
        <f ca="1">IFERROR(__xludf.DUMMYFUNCTION("IMPORTRANGE(""https://docs.google.com/spreadsheets/d/1Yj_ptqi66GCucihVvJfMjLAmec39IyEx_6qawtMGysU/edit?usp=sharing"",""สบก!DM84"")"),372047)</f>
        <v>372047</v>
      </c>
      <c r="O333" s="176">
        <f ca="1">IF(L333&gt;0,N333*100/L333,0)</f>
        <v>55.750741750831658</v>
      </c>
      <c r="P333" s="176">
        <f ca="1">IF(M333&gt;0,N333*100/M333,0)</f>
        <v>98.435548735315905</v>
      </c>
    </row>
    <row r="334" spans="1:16" ht="21.75" customHeight="1" x14ac:dyDescent="0.35">
      <c r="A334" s="162"/>
      <c r="B334" s="163"/>
      <c r="C334" s="163"/>
      <c r="D334" s="172"/>
      <c r="E334" s="165"/>
      <c r="F334" s="165"/>
      <c r="G334" s="177" t="s">
        <v>42</v>
      </c>
      <c r="H334" s="167" t="s">
        <v>12</v>
      </c>
      <c r="I334" s="168"/>
      <c r="J334" s="168"/>
      <c r="K334" s="169"/>
      <c r="L334" s="174">
        <f ca="1">IFERROR(__xludf.DUMMYFUNCTION("IMPORTRANGE(""https://docs.google.com/spreadsheets/d/1Yj_ptqi66GCucihVvJfMjLAmec39IyEx_6qawtMGysU/edit?usp=sharing"",""สบก!DH84"")"),194400)</f>
        <v>194400</v>
      </c>
      <c r="M334" s="173"/>
      <c r="N334" s="173"/>
      <c r="O334" s="176"/>
      <c r="P334" s="176"/>
    </row>
    <row r="335" spans="1:16" ht="21.75" customHeight="1" x14ac:dyDescent="0.35">
      <c r="A335" s="162"/>
      <c r="B335" s="163"/>
      <c r="C335" s="163"/>
      <c r="D335" s="172"/>
      <c r="E335" s="165"/>
      <c r="F335" s="165"/>
      <c r="G335" s="177" t="s">
        <v>43</v>
      </c>
      <c r="H335" s="167" t="s">
        <v>12</v>
      </c>
      <c r="I335" s="168"/>
      <c r="J335" s="168"/>
      <c r="K335" s="169"/>
      <c r="L335" s="174">
        <f ca="1">IFERROR(__xludf.DUMMYFUNCTION("IMPORTRANGE(""https://docs.google.com/spreadsheets/d/1Yj_ptqi66GCucihVvJfMjLAmec39IyEx_6qawtMGysU/edit?usp=sharing"",""สบก!DI84"")"),472940)</f>
        <v>472940</v>
      </c>
      <c r="M335" s="173"/>
      <c r="N335" s="173"/>
      <c r="O335" s="176"/>
      <c r="P335" s="176"/>
    </row>
    <row r="336" spans="1:16" ht="21.75" customHeight="1" x14ac:dyDescent="0.45">
      <c r="A336" s="178"/>
      <c r="B336" s="81"/>
      <c r="C336" s="82" t="s">
        <v>16</v>
      </c>
      <c r="D336" s="549" t="s">
        <v>23</v>
      </c>
      <c r="E336" s="545"/>
      <c r="F336" s="89"/>
      <c r="G336" s="83" t="s">
        <v>18</v>
      </c>
      <c r="H336" s="179" t="s">
        <v>12</v>
      </c>
      <c r="I336" s="168"/>
      <c r="J336" s="168"/>
      <c r="K336" s="169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80"/>
      <c r="B337" s="95"/>
      <c r="C337" s="95"/>
      <c r="D337" s="181"/>
      <c r="E337" s="96"/>
      <c r="F337" s="96"/>
      <c r="G337" s="97" t="s">
        <v>19</v>
      </c>
      <c r="H337" s="182" t="s">
        <v>12</v>
      </c>
      <c r="I337" s="168"/>
      <c r="J337" s="168"/>
      <c r="K337" s="169"/>
      <c r="L337" s="91">
        <f ca="1">IFERROR(__xludf.DUMMYFUNCTION("IMPORTRANGE(""https://docs.google.com/spreadsheets/d/1Yj_ptqi66GCucihVvJfMjLAmec39IyEx_6qawtMGysU/edit?usp=sharing"",""สบก!DJ84"")"),13500)</f>
        <v>13500</v>
      </c>
      <c r="M337" s="101">
        <f ca="1">L337</f>
        <v>13500</v>
      </c>
      <c r="N337" s="91">
        <f ca="1">IFERROR(__xludf.DUMMYFUNCTION("IMPORTRANGE(""https://docs.google.com/spreadsheets/d/1Yj_ptqi66GCucihVvJfMjLAmec39IyEx_6qawtMGysU/edit?usp=sharing"",""สบก!DN84"")"),13500)</f>
        <v>13500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3"/>
      <c r="B338" s="297"/>
      <c r="C338" s="346" t="s">
        <v>120</v>
      </c>
      <c r="D338" s="203"/>
      <c r="E338" s="203"/>
      <c r="F338" s="203"/>
      <c r="G338" s="204"/>
      <c r="H338" s="188"/>
      <c r="I338" s="347"/>
      <c r="J338" s="347"/>
      <c r="K338" s="348"/>
      <c r="L338" s="189"/>
      <c r="M338" s="189"/>
      <c r="N338" s="189"/>
      <c r="O338" s="349"/>
      <c r="P338" s="349"/>
    </row>
    <row r="339" spans="1:16" ht="21.75" customHeight="1" x14ac:dyDescent="0.35">
      <c r="A339" s="183"/>
      <c r="B339" s="297"/>
      <c r="C339" s="184"/>
      <c r="D339" s="203"/>
      <c r="E339" s="202" t="s">
        <v>121</v>
      </c>
      <c r="F339" s="203"/>
      <c r="G339" s="204"/>
      <c r="H339" s="350" t="s">
        <v>37</v>
      </c>
      <c r="I339" s="211">
        <f ca="1">IFERROR(__xludf.DUMMYFUNCTION("IMPORTRANGE(""https://docs.google.com/spreadsheets/d/1IYY_tgx_IHuhSq3AJ5eI5OnqOPBNLWSHKh2a30DoXe8/edit?usp=sharing"",""นครศรีธรรมราช!I234"")"),0)</f>
        <v>0</v>
      </c>
      <c r="J339" s="195">
        <f ca="1">IFERROR(__xludf.DUMMYFUNCTION("IMPORTRANGE(""https://docs.google.com/spreadsheets/d/1IYY_tgx_IHuhSq3AJ5eI5OnqOPBNLWSHKh2a30DoXe8/edit?usp=sharing"",""นครศรีธรรมราช!J234"")"),107)</f>
        <v>107</v>
      </c>
      <c r="K339" s="348">
        <f t="shared" ref="K339:K346" ca="1" si="103">IF(I339&gt;0,J339*100/I339,0)</f>
        <v>0</v>
      </c>
      <c r="L339" s="189"/>
      <c r="M339" s="189"/>
      <c r="N339" s="189"/>
      <c r="O339" s="349"/>
      <c r="P339" s="349"/>
    </row>
    <row r="340" spans="1:16" ht="21.75" customHeight="1" x14ac:dyDescent="0.35">
      <c r="A340" s="183"/>
      <c r="B340" s="297"/>
      <c r="C340" s="184"/>
      <c r="D340" s="203"/>
      <c r="E340" s="203"/>
      <c r="F340" s="203"/>
      <c r="G340" s="204"/>
      <c r="H340" s="350" t="s">
        <v>122</v>
      </c>
      <c r="I340" s="195">
        <f ca="1">IFERROR(__xludf.DUMMYFUNCTION("IMPORTRANGE(""https://docs.google.com/spreadsheets/d/1IYY_tgx_IHuhSq3AJ5eI5OnqOPBNLWSHKh2a30DoXe8/edit?usp=sharing"",""นครศรีธรรมราช!I235"")"),2720)</f>
        <v>2720</v>
      </c>
      <c r="J340" s="195">
        <f ca="1">IFERROR(__xludf.DUMMYFUNCTION("IMPORTRANGE(""https://docs.google.com/spreadsheets/d/1IYY_tgx_IHuhSq3AJ5eI5OnqOPBNLWSHKh2a30DoXe8/edit?usp=sharing"",""นครศรีธรรมราช!J235"")"),783.08)</f>
        <v>783.08</v>
      </c>
      <c r="K340" s="348">
        <f t="shared" ca="1" si="103"/>
        <v>28.789705882352941</v>
      </c>
      <c r="L340" s="189"/>
      <c r="M340" s="189"/>
      <c r="N340" s="189"/>
      <c r="O340" s="349"/>
      <c r="P340" s="349"/>
    </row>
    <row r="341" spans="1:16" ht="21.75" customHeight="1" x14ac:dyDescent="0.35">
      <c r="A341" s="183"/>
      <c r="B341" s="297"/>
      <c r="C341" s="184"/>
      <c r="D341" s="203"/>
      <c r="E341" s="202" t="s">
        <v>123</v>
      </c>
      <c r="F341" s="203"/>
      <c r="G341" s="204"/>
      <c r="H341" s="188" t="s">
        <v>37</v>
      </c>
      <c r="I341" s="195">
        <f ca="1">IFERROR(__xludf.DUMMYFUNCTION("IMPORTRANGE(""https://docs.google.com/spreadsheets/d/1IYY_tgx_IHuhSq3AJ5eI5OnqOPBNLWSHKh2a30DoXe8/edit?usp=sharing"",""นครศรีธรรมราช!I236"")"),310)</f>
        <v>310</v>
      </c>
      <c r="J341" s="195">
        <f ca="1">IFERROR(__xludf.DUMMYFUNCTION("IMPORTRANGE(""https://docs.google.com/spreadsheets/d/1IYY_tgx_IHuhSq3AJ5eI5OnqOPBNLWSHKh2a30DoXe8/edit?usp=sharing"",""นครศรีธรรมราช!J236"")"),161)</f>
        <v>161</v>
      </c>
      <c r="K341" s="348">
        <f t="shared" ca="1" si="103"/>
        <v>51.935483870967744</v>
      </c>
      <c r="L341" s="189"/>
      <c r="M341" s="189"/>
      <c r="N341" s="189"/>
      <c r="O341" s="349"/>
      <c r="P341" s="349"/>
    </row>
    <row r="342" spans="1:16" ht="21.75" customHeight="1" x14ac:dyDescent="0.35">
      <c r="A342" s="183"/>
      <c r="B342" s="297"/>
      <c r="C342" s="184"/>
      <c r="D342" s="203"/>
      <c r="E342" s="203"/>
      <c r="F342" s="203"/>
      <c r="G342" s="204"/>
      <c r="H342" s="188" t="s">
        <v>122</v>
      </c>
      <c r="I342" s="351">
        <f ca="1">IFERROR(__xludf.DUMMYFUNCTION("IMPORTRANGE(""https://docs.google.com/spreadsheets/d/1IYY_tgx_IHuhSq3AJ5eI5OnqOPBNLWSHKh2a30DoXe8/edit?usp=sharing"",""นครศรีธรรมราช!I237"")"),0)</f>
        <v>0</v>
      </c>
      <c r="J342" s="195">
        <f ca="1">IFERROR(__xludf.DUMMYFUNCTION("IMPORTRANGE(""https://docs.google.com/spreadsheets/d/1IYY_tgx_IHuhSq3AJ5eI5OnqOPBNLWSHKh2a30DoXe8/edit?usp=sharing"",""นครศรีธรรมราช!J237"")"),1289.23)</f>
        <v>1289.23</v>
      </c>
      <c r="K342" s="348">
        <f t="shared" ca="1" si="103"/>
        <v>0</v>
      </c>
      <c r="L342" s="189"/>
      <c r="M342" s="189"/>
      <c r="N342" s="189"/>
      <c r="O342" s="349"/>
      <c r="P342" s="349"/>
    </row>
    <row r="343" spans="1:16" ht="21.75" customHeight="1" x14ac:dyDescent="0.35">
      <c r="A343" s="183"/>
      <c r="B343" s="297"/>
      <c r="C343" s="184"/>
      <c r="D343" s="203"/>
      <c r="E343" s="202" t="s">
        <v>124</v>
      </c>
      <c r="F343" s="203"/>
      <c r="G343" s="204"/>
      <c r="H343" s="188" t="s">
        <v>37</v>
      </c>
      <c r="I343" s="195">
        <f ca="1">IFERROR(__xludf.DUMMYFUNCTION("IMPORTRANGE(""https://docs.google.com/spreadsheets/d/1IYY_tgx_IHuhSq3AJ5eI5OnqOPBNLWSHKh2a30DoXe8/edit?usp=sharing"",""นครศรีธรรมราช!I238"")"),310)</f>
        <v>310</v>
      </c>
      <c r="J343" s="195">
        <f ca="1">IFERROR(__xludf.DUMMYFUNCTION("IMPORTRANGE(""https://docs.google.com/spreadsheets/d/1IYY_tgx_IHuhSq3AJ5eI5OnqOPBNLWSHKh2a30DoXe8/edit?usp=sharing"",""นครศรีธรรมราช!J238"")"),0)</f>
        <v>0</v>
      </c>
      <c r="K343" s="348">
        <f t="shared" ca="1" si="103"/>
        <v>0</v>
      </c>
      <c r="L343" s="189"/>
      <c r="M343" s="189"/>
      <c r="N343" s="189"/>
      <c r="O343" s="349"/>
      <c r="P343" s="349"/>
    </row>
    <row r="344" spans="1:16" ht="21.75" customHeight="1" x14ac:dyDescent="0.35">
      <c r="A344" s="183"/>
      <c r="B344" s="297"/>
      <c r="C344" s="184"/>
      <c r="D344" s="203"/>
      <c r="E344" s="203"/>
      <c r="F344" s="203"/>
      <c r="G344" s="204"/>
      <c r="H344" s="188" t="s">
        <v>122</v>
      </c>
      <c r="I344" s="351">
        <f ca="1">IFERROR(__xludf.DUMMYFUNCTION("IMPORTRANGE(""https://docs.google.com/spreadsheets/d/1IYY_tgx_IHuhSq3AJ5eI5OnqOPBNLWSHKh2a30DoXe8/edit?usp=sharing"",""นครศรีธรรมราช!I239"")"),0)</f>
        <v>0</v>
      </c>
      <c r="J344" s="195">
        <f ca="1">IFERROR(__xludf.DUMMYFUNCTION("IMPORTRANGE(""https://docs.google.com/spreadsheets/d/1IYY_tgx_IHuhSq3AJ5eI5OnqOPBNLWSHKh2a30DoXe8/edit?usp=sharing"",""นครศรีธรรมราช!J239"")"),0)</f>
        <v>0</v>
      </c>
      <c r="K344" s="348">
        <f t="shared" ca="1" si="103"/>
        <v>0</v>
      </c>
      <c r="L344" s="189"/>
      <c r="M344" s="189"/>
      <c r="N344" s="189"/>
      <c r="O344" s="349"/>
      <c r="P344" s="349"/>
    </row>
    <row r="345" spans="1:16" ht="21.75" customHeight="1" x14ac:dyDescent="0.35">
      <c r="A345" s="183"/>
      <c r="B345" s="297"/>
      <c r="C345" s="184"/>
      <c r="D345" s="203"/>
      <c r="E345" s="202" t="s">
        <v>125</v>
      </c>
      <c r="F345" s="203"/>
      <c r="G345" s="204"/>
      <c r="H345" s="188" t="s">
        <v>37</v>
      </c>
      <c r="I345" s="195">
        <f ca="1">IFERROR(__xludf.DUMMYFUNCTION("IMPORTRANGE(""https://docs.google.com/spreadsheets/d/1IYY_tgx_IHuhSq3AJ5eI5OnqOPBNLWSHKh2a30DoXe8/edit?usp=sharing"",""นครศรีธรรมราช!I240"")"),310)</f>
        <v>310</v>
      </c>
      <c r="J345" s="195">
        <f ca="1">IFERROR(__xludf.DUMMYFUNCTION("IMPORTRANGE(""https://docs.google.com/spreadsheets/d/1IYY_tgx_IHuhSq3AJ5eI5OnqOPBNLWSHKh2a30DoXe8/edit?usp=sharing"",""นครศรีธรรมราช!J240"")"),41)</f>
        <v>41</v>
      </c>
      <c r="K345" s="348">
        <f t="shared" ca="1" si="103"/>
        <v>13.225806451612904</v>
      </c>
      <c r="L345" s="189"/>
      <c r="M345" s="189"/>
      <c r="N345" s="189"/>
      <c r="O345" s="349"/>
      <c r="P345" s="349"/>
    </row>
    <row r="346" spans="1:16" ht="21.75" customHeight="1" x14ac:dyDescent="0.35">
      <c r="A346" s="241"/>
      <c r="B346" s="352"/>
      <c r="C346" s="242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IFERROR(__xludf.DUMMYFUNCTION("IMPORTRANGE(""https://docs.google.com/spreadsheets/d/1IYY_tgx_IHuhSq3AJ5eI5OnqOPBNLWSHKh2a30DoXe8/edit?usp=sharing"",""นครศรีธรรมราช!I241"")"),0)</f>
        <v>0</v>
      </c>
      <c r="J346" s="195">
        <f ca="1">IFERROR(__xludf.DUMMYFUNCTION("IMPORTRANGE(""https://docs.google.com/spreadsheets/d/1IYY_tgx_IHuhSq3AJ5eI5OnqOPBNLWSHKh2a30DoXe8/edit?usp=sharing"",""นครศรีธรรมราช!J241"")"),385)</f>
        <v>385</v>
      </c>
      <c r="K346" s="357">
        <f t="shared" ca="1" si="103"/>
        <v>0</v>
      </c>
      <c r="L346" s="252"/>
      <c r="M346" s="252"/>
      <c r="N346" s="252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IFERROR(__xludf.DUMMYFUNCTION("IMPORTRANGE(""https://docs.google.com/spreadsheets/d/1IYY_tgx_IHuhSq3AJ5eI5OnqOPBNLWSHKh2a30DoXe8/edit?usp=sharing"",""นครศรีธรรมราช!L242"")"),1197431)</f>
        <v>1197431</v>
      </c>
      <c r="M347" s="364"/>
      <c r="N347" s="364">
        <f ca="1">IFERROR(__xludf.DUMMYFUNCTION("IMPORTRANGE(""https://docs.google.com/spreadsheets/d/1IYY_tgx_IHuhSq3AJ5eI5OnqOPBNLWSHKh2a30DoXe8/edit?usp=sharing"",""นครศรีธรรมราช!M242"")"),246094.87)</f>
        <v>246094.87</v>
      </c>
      <c r="O347" s="364">
        <f ca="1">+IF(L347&gt;0,N347*100/L347,0)</f>
        <v>20.551904034553974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IFERROR(__xludf.DUMMYFUNCTION("IMPORTRANGE(""https://docs.google.com/spreadsheets/d/1IYY_tgx_IHuhSq3AJ5eI5OnqOPBNLWSHKh2a30DoXe8/edit?usp=sharing"",""นครศรีธรรมราช!I244"")"),0)</f>
        <v>0</v>
      </c>
      <c r="J349" s="377">
        <f ca="1">IFERROR(__xludf.DUMMYFUNCTION("IMPORTRANGE(""https://docs.google.com/spreadsheets/d/1IYY_tgx_IHuhSq3AJ5eI5OnqOPBNLWSHKh2a30DoXe8/edit?usp=sharing"",""นครศรีธรรมราช!J244"")"),0)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IFERROR(__xludf.DUMMYFUNCTION("IMPORTRANGE(""https://docs.google.com/spreadsheets/d/1IYY_tgx_IHuhSq3AJ5eI5OnqOPBNLWSHKh2a30DoXe8/edit?usp=sharing"",""นครศรีธรรมราช!L244"")"),0)</f>
        <v>0</v>
      </c>
      <c r="M349" s="379"/>
      <c r="N349" s="379">
        <f ca="1">IFERROR(__xludf.DUMMYFUNCTION("IMPORTRANGE(""https://docs.google.com/spreadsheets/d/1IYY_tgx_IHuhSq3AJ5eI5OnqOPBNLWSHKh2a30DoXe8/edit?usp=sharing"",""นครศรีธรรมราช!M244"")"),0)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IFERROR(__xludf.DUMMYFUNCTION("IMPORTRANGE(""https://docs.google.com/spreadsheets/d/1IYY_tgx_IHuhSq3AJ5eI5OnqOPBNLWSHKh2a30DoXe8/edit?usp=sharing"",""นครศรีธรรมราช!I245"")"),0)</f>
        <v>0</v>
      </c>
      <c r="J350" s="377">
        <f ca="1">IFERROR(__xludf.DUMMYFUNCTION("IMPORTRANGE(""https://docs.google.com/spreadsheets/d/1IYY_tgx_IHuhSq3AJ5eI5OnqOPBNLWSHKh2a30DoXe8/edit?usp=sharing"",""นครศรีธรรมราช!J245"")"),0)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164" t="s">
        <v>38</v>
      </c>
      <c r="E351" s="165"/>
      <c r="F351" s="165"/>
      <c r="G351" s="166" t="s">
        <v>39</v>
      </c>
      <c r="H351" s="167" t="s">
        <v>12</v>
      </c>
      <c r="I351" s="168" t="s">
        <v>40</v>
      </c>
      <c r="J351" s="168"/>
      <c r="K351" s="169"/>
      <c r="L351" s="170">
        <f ca="1">IFERROR(__xludf.DUMMYFUNCTION("IMPORTRANGE(""https://docs.google.com/spreadsheets/d/1IYY_tgx_IHuhSq3AJ5eI5OnqOPBNLWSHKh2a30DoXe8/edit?usp=sharing"",""นครศรีธรรมราช!L246"")"),0)</f>
        <v>0</v>
      </c>
      <c r="M351" s="170"/>
      <c r="N351" s="170">
        <f ca="1">IFERROR(__xludf.DUMMYFUNCTION("IMPORTRANGE(""https://docs.google.com/spreadsheets/d/1IYY_tgx_IHuhSq3AJ5eI5OnqOPBNLWSHKh2a30DoXe8/edit?usp=sharing"",""นครศรีธรรมราช!M246"")"),0)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 x14ac:dyDescent="0.35">
      <c r="A352" s="162"/>
      <c r="B352" s="163"/>
      <c r="C352" s="163"/>
      <c r="D352" s="172"/>
      <c r="E352" s="165"/>
      <c r="F352" s="165" t="s">
        <v>40</v>
      </c>
      <c r="G352" s="166" t="s">
        <v>41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IFERROR(__xludf.DUMMYFUNCTION("IMPORTRANGE(""https://docs.google.com/spreadsheets/d/1IYY_tgx_IHuhSq3AJ5eI5OnqOPBNLWSHKh2a30DoXe8/edit?usp=sharing"",""นครศรีธรรมราช!L247"")"),0)</f>
        <v>0</v>
      </c>
      <c r="M352" s="171"/>
      <c r="N352" s="170">
        <f ca="1">IFERROR(__xludf.DUMMYFUNCTION("IMPORTRANGE(""https://docs.google.com/spreadsheets/d/1IYY_tgx_IHuhSq3AJ5eI5OnqOPBNLWSHKh2a30DoXe8/edit?usp=sharing"",""นครศรีธรรมราช!M247"")"),0)</f>
        <v>0</v>
      </c>
      <c r="O352" s="171">
        <f t="shared" ca="1" si="105"/>
        <v>0</v>
      </c>
      <c r="P352" s="171"/>
    </row>
    <row r="353" spans="1:16" ht="21.75" customHeight="1" x14ac:dyDescent="0.35">
      <c r="A353" s="162"/>
      <c r="B353" s="163"/>
      <c r="C353" s="163"/>
      <c r="D353" s="172"/>
      <c r="E353" s="165"/>
      <c r="F353" s="165"/>
      <c r="G353" s="380" t="s">
        <v>129</v>
      </c>
      <c r="H353" s="167" t="s">
        <v>12</v>
      </c>
      <c r="I353" s="168"/>
      <c r="J353" s="168"/>
      <c r="K353" s="169"/>
      <c r="L353" s="176">
        <f ca="1">IFERROR(__xludf.DUMMYFUNCTION("IMPORTRANGE(""https://docs.google.com/spreadsheets/d/1IYY_tgx_IHuhSq3AJ5eI5OnqOPBNLWSHKh2a30DoXe8/edit?usp=sharing"",""นครศรีธรรมราช!L248"")"),0)</f>
        <v>0</v>
      </c>
      <c r="M353" s="176"/>
      <c r="N353" s="176">
        <f ca="1">IFERROR(__xludf.DUMMYFUNCTION("IMPORTRANGE(""https://docs.google.com/spreadsheets/d/1IYY_tgx_IHuhSq3AJ5eI5OnqOPBNLWSHKh2a30DoXe8/edit?usp=sharing"",""นครศรีธรรมราช!M248"")"),0)</f>
        <v>0</v>
      </c>
      <c r="O353" s="176">
        <f t="shared" ca="1" si="105"/>
        <v>0</v>
      </c>
      <c r="P353" s="176"/>
    </row>
    <row r="354" spans="1:16" ht="21.75" customHeight="1" x14ac:dyDescent="0.35">
      <c r="A354" s="162"/>
      <c r="B354" s="163"/>
      <c r="C354" s="163"/>
      <c r="D354" s="172"/>
      <c r="E354" s="165"/>
      <c r="F354" s="165"/>
      <c r="G354" s="380" t="s">
        <v>130</v>
      </c>
      <c r="H354" s="167" t="s">
        <v>12</v>
      </c>
      <c r="I354" s="168"/>
      <c r="J354" s="168"/>
      <c r="K354" s="169"/>
      <c r="L354" s="176">
        <f ca="1">IFERROR(__xludf.DUMMYFUNCTION("IMPORTRANGE(""https://docs.google.com/spreadsheets/d/1IYY_tgx_IHuhSq3AJ5eI5OnqOPBNLWSHKh2a30DoXe8/edit?usp=sharing"",""นครศรีธรรมราช!L249"")"),0)</f>
        <v>0</v>
      </c>
      <c r="M354" s="176"/>
      <c r="N354" s="173">
        <f ca="1">IFERROR(__xludf.DUMMYFUNCTION("IMPORTRANGE(""https://docs.google.com/spreadsheets/d/1IYY_tgx_IHuhSq3AJ5eI5OnqOPBNLWSHKh2a30DoXe8/edit?usp=sharing"",""นครศรีธรรมราช!M249"")"),0)</f>
        <v>0</v>
      </c>
      <c r="O354" s="176">
        <f t="shared" ca="1" si="105"/>
        <v>0</v>
      </c>
      <c r="P354" s="176"/>
    </row>
    <row r="355" spans="1:16" ht="21.75" customHeight="1" x14ac:dyDescent="0.35">
      <c r="A355" s="381"/>
      <c r="B355" s="382"/>
      <c r="C355" s="163"/>
      <c r="D355" s="383"/>
      <c r="E355" s="165"/>
      <c r="F355" s="165"/>
      <c r="G355" s="384" t="s">
        <v>131</v>
      </c>
      <c r="H355" s="167" t="s">
        <v>12</v>
      </c>
      <c r="I355" s="195"/>
      <c r="J355" s="195"/>
      <c r="K355" s="231"/>
      <c r="L355" s="176"/>
      <c r="M355" s="176"/>
      <c r="N355" s="385">
        <f ca="1">IFERROR(__xludf.DUMMYFUNCTION("IMPORTRANGE(""https://docs.google.com/spreadsheets/d/1IYY_tgx_IHuhSq3AJ5eI5OnqOPBNLWSHKh2a30DoXe8/edit?usp=sharing"",""นครศรีธรรมราช!M250"")"),0)</f>
        <v>0</v>
      </c>
      <c r="O355" s="176"/>
      <c r="P355" s="176"/>
    </row>
    <row r="356" spans="1:16" ht="21.75" customHeight="1" x14ac:dyDescent="0.35">
      <c r="A356" s="381"/>
      <c r="B356" s="382"/>
      <c r="C356" s="163"/>
      <c r="D356" s="383"/>
      <c r="E356" s="165"/>
      <c r="F356" s="165"/>
      <c r="G356" s="384" t="s">
        <v>132</v>
      </c>
      <c r="H356" s="167" t="s">
        <v>12</v>
      </c>
      <c r="I356" s="195"/>
      <c r="J356" s="195"/>
      <c r="K356" s="231"/>
      <c r="L356" s="176"/>
      <c r="M356" s="176"/>
      <c r="N356" s="385">
        <f ca="1">IFERROR(__xludf.DUMMYFUNCTION("IMPORTRANGE(""https://docs.google.com/spreadsheets/d/1IYY_tgx_IHuhSq3AJ5eI5OnqOPBNLWSHKh2a30DoXe8/edit?usp=sharing"",""นครศรีธรรมราช!M251"")"),0)</f>
        <v>0</v>
      </c>
      <c r="O356" s="176"/>
      <c r="P356" s="176"/>
    </row>
    <row r="357" spans="1:16" ht="21.75" customHeight="1" x14ac:dyDescent="0.35">
      <c r="A357" s="381"/>
      <c r="B357" s="382"/>
      <c r="C357" s="163"/>
      <c r="D357" s="383"/>
      <c r="E357" s="165"/>
      <c r="F357" s="165"/>
      <c r="G357" s="384" t="s">
        <v>133</v>
      </c>
      <c r="H357" s="167" t="s">
        <v>12</v>
      </c>
      <c r="I357" s="195"/>
      <c r="J357" s="195"/>
      <c r="K357" s="231"/>
      <c r="L357" s="176"/>
      <c r="M357" s="176"/>
      <c r="N357" s="385">
        <f ca="1">IFERROR(__xludf.DUMMYFUNCTION("IMPORTRANGE(""https://docs.google.com/spreadsheets/d/1IYY_tgx_IHuhSq3AJ5eI5OnqOPBNLWSHKh2a30DoXe8/edit?usp=sharing"",""นครศรีธรรมราช!M252"")"),0)</f>
        <v>0</v>
      </c>
      <c r="O357" s="176"/>
      <c r="P357" s="176"/>
    </row>
    <row r="358" spans="1:16" ht="21.75" customHeight="1" x14ac:dyDescent="0.35">
      <c r="A358" s="381"/>
      <c r="B358" s="382"/>
      <c r="C358" s="163"/>
      <c r="D358" s="383"/>
      <c r="E358" s="165"/>
      <c r="F358" s="165"/>
      <c r="G358" s="384" t="s">
        <v>134</v>
      </c>
      <c r="H358" s="167" t="s">
        <v>12</v>
      </c>
      <c r="I358" s="195"/>
      <c r="J358" s="195"/>
      <c r="K358" s="231"/>
      <c r="L358" s="176"/>
      <c r="M358" s="176"/>
      <c r="N358" s="385">
        <f ca="1">IFERROR(__xludf.DUMMYFUNCTION("IMPORTRANGE(""https://docs.google.com/spreadsheets/d/1IYY_tgx_IHuhSq3AJ5eI5OnqOPBNLWSHKh2a30DoXe8/edit?usp=sharing"",""นครศรีธรรมราช!M253"")"),0)</f>
        <v>0</v>
      </c>
      <c r="O358" s="176"/>
      <c r="P358" s="176"/>
    </row>
    <row r="359" spans="1:16" ht="21.75" customHeight="1" x14ac:dyDescent="0.35">
      <c r="A359" s="183"/>
      <c r="B359" s="184"/>
      <c r="C359" s="163" t="s">
        <v>16</v>
      </c>
      <c r="D359" s="185" t="s">
        <v>44</v>
      </c>
      <c r="E359" s="186"/>
      <c r="F359" s="186"/>
      <c r="G359" s="187"/>
      <c r="H359" s="188"/>
      <c r="I359" s="168"/>
      <c r="J359" s="168"/>
      <c r="K359" s="169"/>
      <c r="L359" s="189"/>
      <c r="M359" s="189"/>
      <c r="N359" s="189"/>
      <c r="O359" s="189"/>
      <c r="P359" s="189"/>
    </row>
    <row r="360" spans="1:16" ht="21.75" customHeight="1" x14ac:dyDescent="0.35">
      <c r="A360" s="183"/>
      <c r="B360" s="184"/>
      <c r="C360" s="184"/>
      <c r="D360" s="190">
        <v>1</v>
      </c>
      <c r="E360" s="191" t="s">
        <v>45</v>
      </c>
      <c r="F360" s="192"/>
      <c r="G360" s="193"/>
      <c r="H360" s="194"/>
      <c r="I360" s="195"/>
      <c r="J360" s="205">
        <f ca="1">IFERROR(__xludf.DUMMYFUNCTION("IMPORTRANGE(""https://docs.google.com/spreadsheets/d/1IYY_tgx_IHuhSq3AJ5eI5OnqOPBNLWSHKh2a30DoXe8/edit?usp=sharing"",""นครศรีธรรมราช!J255"")"),0)</f>
        <v>0</v>
      </c>
      <c r="K360" s="169"/>
      <c r="L360" s="189"/>
      <c r="M360" s="189"/>
      <c r="N360" s="189"/>
      <c r="O360" s="189"/>
      <c r="P360" s="189"/>
    </row>
    <row r="361" spans="1:16" ht="21.75" customHeight="1" x14ac:dyDescent="0.35">
      <c r="A361" s="183"/>
      <c r="B361" s="184"/>
      <c r="C361" s="184"/>
      <c r="D361" s="197">
        <v>2</v>
      </c>
      <c r="E361" s="198" t="s">
        <v>46</v>
      </c>
      <c r="F361" s="199"/>
      <c r="G361" s="200"/>
      <c r="H361" s="194"/>
      <c r="I361" s="195"/>
      <c r="J361" s="196">
        <f ca="1">IFERROR(__xludf.DUMMYFUNCTION("IMPORTRANGE(""https://docs.google.com/spreadsheets/d/1IYY_tgx_IHuhSq3AJ5eI5OnqOPBNLWSHKh2a30DoXe8/edit?usp=sharing"",""นครศรีธรรมราช!J256"")"),0)</f>
        <v>0</v>
      </c>
      <c r="K361" s="169"/>
      <c r="L361" s="189" t="s">
        <v>40</v>
      </c>
      <c r="M361" s="189"/>
      <c r="N361" s="189" t="s">
        <v>40</v>
      </c>
      <c r="O361" s="189"/>
      <c r="P361" s="189"/>
    </row>
    <row r="362" spans="1:16" ht="21.75" customHeight="1" x14ac:dyDescent="0.35">
      <c r="A362" s="183"/>
      <c r="B362" s="184"/>
      <c r="C362" s="184"/>
      <c r="D362" s="201"/>
      <c r="E362" s="202" t="s">
        <v>47</v>
      </c>
      <c r="F362" s="203"/>
      <c r="G362" s="204"/>
      <c r="H362" s="194"/>
      <c r="I362" s="195"/>
      <c r="J362" s="196">
        <f ca="1">IFERROR(__xludf.DUMMYFUNCTION("IMPORTRANGE(""https://docs.google.com/spreadsheets/d/1IYY_tgx_IHuhSq3AJ5eI5OnqOPBNLWSHKh2a30DoXe8/edit?usp=sharing"",""นครศรีธรรมราช!J257"")"),0)</f>
        <v>0</v>
      </c>
      <c r="K362" s="169"/>
      <c r="L362" s="189"/>
      <c r="M362" s="189"/>
      <c r="N362" s="189"/>
      <c r="O362" s="189"/>
      <c r="P362" s="189"/>
    </row>
    <row r="363" spans="1:16" ht="21.75" customHeight="1" x14ac:dyDescent="0.35">
      <c r="A363" s="183"/>
      <c r="B363" s="184"/>
      <c r="C363" s="184"/>
      <c r="D363" s="201"/>
      <c r="E363" s="202" t="s">
        <v>48</v>
      </c>
      <c r="F363" s="203"/>
      <c r="G363" s="204"/>
      <c r="H363" s="194"/>
      <c r="I363" s="195"/>
      <c r="J363" s="205">
        <f ca="1">IFERROR(__xludf.DUMMYFUNCTION("IMPORTRANGE(""https://docs.google.com/spreadsheets/d/1IYY_tgx_IHuhSq3AJ5eI5OnqOPBNLWSHKh2a30DoXe8/edit?usp=sharing"",""นครศรีธรรมราช!J258"")"),0)</f>
        <v>0</v>
      </c>
      <c r="K363" s="169"/>
      <c r="L363" s="189"/>
      <c r="M363" s="189"/>
      <c r="N363" s="189"/>
      <c r="O363" s="189"/>
      <c r="P363" s="189"/>
    </row>
    <row r="364" spans="1:16" ht="21.75" hidden="1" customHeight="1" x14ac:dyDescent="0.35">
      <c r="A364" s="183"/>
      <c r="B364" s="184"/>
      <c r="C364" s="184"/>
      <c r="D364" s="201"/>
      <c r="E364" s="206"/>
      <c r="F364" s="202" t="s">
        <v>70</v>
      </c>
      <c r="G364" s="204"/>
      <c r="H364" s="188"/>
      <c r="I364" s="195"/>
      <c r="J364" s="195">
        <f ca="1">IFERROR(__xludf.DUMMYFUNCTION("IMPORTRANGE(""https://docs.google.com/spreadsheets/d/1IYY_tgx_IHuhSq3AJ5eI5OnqOPBNLWSHKh2a30DoXe8/edit?usp=sharing"",""นครศรีธรรมราช!J166"")"),0)</f>
        <v>0</v>
      </c>
      <c r="K364" s="169"/>
      <c r="L364" s="189"/>
      <c r="M364" s="189"/>
      <c r="N364" s="189"/>
      <c r="O364" s="189"/>
      <c r="P364" s="189"/>
    </row>
    <row r="365" spans="1:16" ht="21.75" hidden="1" customHeight="1" x14ac:dyDescent="0.35">
      <c r="A365" s="183"/>
      <c r="B365" s="184"/>
      <c r="C365" s="184"/>
      <c r="D365" s="201"/>
      <c r="E365" s="206"/>
      <c r="F365" s="203"/>
      <c r="G365" s="233" t="s">
        <v>135</v>
      </c>
      <c r="H365" s="188" t="s">
        <v>37</v>
      </c>
      <c r="I365" s="195">
        <f ca="1">IFERROR(__xludf.DUMMYFUNCTION("IMPORTRANGE(""https://docs.google.com/spreadsheets/d/1C3CXT74ZlgGe6_JY_1olB1XN4rF0dxEuIIF-xsYjHgg/edit?usp=sharing"",""งบกองทุน!f63"")"),0)</f>
        <v>0</v>
      </c>
      <c r="J365" s="195">
        <f ca="1">IFERROR(__xludf.DUMMYFUNCTION("IMPORTRANGE(""https://docs.google.com/spreadsheets/d/1IYY_tgx_IHuhSq3AJ5eI5OnqOPBNLWSHKh2a30DoXe8/edit?usp=sharing"",""นครศรีธรรมราช!J166"")"),0)</f>
        <v>0</v>
      </c>
      <c r="K365" s="169">
        <f ca="1">IF(I365&gt;0,J365*100/I365,0)</f>
        <v>0</v>
      </c>
      <c r="L365" s="189"/>
      <c r="M365" s="189"/>
      <c r="N365" s="189"/>
      <c r="O365" s="189"/>
      <c r="P365" s="189"/>
    </row>
    <row r="366" spans="1:16" ht="21.75" hidden="1" customHeight="1" x14ac:dyDescent="0.35">
      <c r="A366" s="183"/>
      <c r="B366" s="184"/>
      <c r="C366" s="184"/>
      <c r="D366" s="201"/>
      <c r="E366" s="206"/>
      <c r="F366" s="203"/>
      <c r="G366" s="204" t="s">
        <v>136</v>
      </c>
      <c r="H366" s="188"/>
      <c r="I366" s="168"/>
      <c r="J366" s="195">
        <f ca="1">IFERROR(__xludf.DUMMYFUNCTION("IMPORTRANGE(""https://docs.google.com/spreadsheets/d/1IYY_tgx_IHuhSq3AJ5eI5OnqOPBNLWSHKh2a30DoXe8/edit?usp=sharing"",""นครศรีธรรมราช!J166"")"),0)</f>
        <v>0</v>
      </c>
      <c r="K366" s="169"/>
      <c r="L366" s="189"/>
      <c r="M366" s="189"/>
      <c r="N366" s="189"/>
      <c r="O366" s="189"/>
      <c r="P366" s="189"/>
    </row>
    <row r="367" spans="1:16" ht="21.75" hidden="1" customHeight="1" x14ac:dyDescent="0.35">
      <c r="A367" s="183"/>
      <c r="B367" s="184"/>
      <c r="C367" s="184"/>
      <c r="D367" s="201"/>
      <c r="E367" s="206"/>
      <c r="F367" s="203"/>
      <c r="G367" s="233" t="s">
        <v>137</v>
      </c>
      <c r="H367" s="194" t="s">
        <v>122</v>
      </c>
      <c r="I367" s="195">
        <f ca="1">SUM(I369,I371)</f>
        <v>0</v>
      </c>
      <c r="J367" s="195">
        <f ca="1">IFERROR(__xludf.DUMMYFUNCTION("IMPORTRANGE(""https://docs.google.com/spreadsheets/d/1IYY_tgx_IHuhSq3AJ5eI5OnqOPBNLWSHKh2a30DoXe8/edit?usp=sharing"",""นครศรีธรรมราช!J166"")"),0)</f>
        <v>0</v>
      </c>
      <c r="K367" s="169">
        <f t="shared" ref="K367:K373" ca="1" si="106">IF(I367&gt;0,J367*100/I367,0)</f>
        <v>0</v>
      </c>
      <c r="L367" s="189"/>
      <c r="M367" s="189"/>
      <c r="N367" s="189"/>
      <c r="O367" s="189"/>
      <c r="P367" s="189"/>
    </row>
    <row r="368" spans="1:16" ht="21.75" customHeight="1" x14ac:dyDescent="0.35">
      <c r="A368" s="183"/>
      <c r="B368" s="184"/>
      <c r="C368" s="184"/>
      <c r="D368" s="201"/>
      <c r="E368" s="206"/>
      <c r="F368" s="386" t="s">
        <v>138</v>
      </c>
      <c r="G368" s="387"/>
      <c r="H368" s="194" t="s">
        <v>37</v>
      </c>
      <c r="I368" s="168">
        <f ca="1">IFERROR(__xludf.DUMMYFUNCTION("IMPORTRANGE(""https://docs.google.com/spreadsheets/d/1IYY_tgx_IHuhSq3AJ5eI5OnqOPBNLWSHKh2a30DoXe8/edit?usp=sharing"",""นครศรีธรรมราช!I263"")"),0)</f>
        <v>0</v>
      </c>
      <c r="J368" s="195">
        <f ca="1">IFERROR(__xludf.DUMMYFUNCTION("IMPORTRANGE(""https://docs.google.com/spreadsheets/d/1IYY_tgx_IHuhSq3AJ5eI5OnqOPBNLWSHKh2a30DoXe8/edit?usp=sharing"",""นครศรีธรรมราช!J263"")"),0)</f>
        <v>0</v>
      </c>
      <c r="K368" s="169">
        <f t="shared" ca="1" si="106"/>
        <v>0</v>
      </c>
      <c r="L368" s="189"/>
      <c r="M368" s="189"/>
      <c r="N368" s="189"/>
      <c r="O368" s="189"/>
      <c r="P368" s="189"/>
    </row>
    <row r="369" spans="1:16" ht="21.75" hidden="1" customHeight="1" x14ac:dyDescent="0.35">
      <c r="A369" s="183"/>
      <c r="B369" s="184"/>
      <c r="C369" s="184"/>
      <c r="D369" s="201"/>
      <c r="E369" s="206"/>
      <c r="F369" s="203"/>
      <c r="G369" s="387"/>
      <c r="H369" s="188" t="s">
        <v>122</v>
      </c>
      <c r="I369" s="168">
        <f ca="1">IFERROR(__xludf.DUMMYFUNCTION("IMPORTRANGE(""https://docs.google.com/spreadsheets/d/1IYY_tgx_IHuhSq3AJ5eI5OnqOPBNLWSHKh2a30DoXe8/edit?usp=sharing"",""นครศรีธรรมราช!I164"")"),0)</f>
        <v>0</v>
      </c>
      <c r="J369" s="211">
        <f ca="1">IFERROR(__xludf.DUMMYFUNCTION("IMPORTRANGE(""https://docs.google.com/spreadsheets/d/1IYY_tgx_IHuhSq3AJ5eI5OnqOPBNLWSHKh2a30DoXe8/edit?usp=sharing"",""นครศรีธรรมราช!J164"")"),0)</f>
        <v>0</v>
      </c>
      <c r="K369" s="169">
        <f t="shared" ca="1" si="106"/>
        <v>0</v>
      </c>
      <c r="L369" s="189"/>
      <c r="M369" s="189"/>
      <c r="N369" s="189"/>
      <c r="O369" s="189"/>
      <c r="P369" s="189"/>
    </row>
    <row r="370" spans="1:16" ht="21.75" customHeight="1" x14ac:dyDescent="0.35">
      <c r="A370" s="183"/>
      <c r="B370" s="184"/>
      <c r="C370" s="184"/>
      <c r="D370" s="201"/>
      <c r="E370" s="206"/>
      <c r="F370" s="203"/>
      <c r="G370" s="386" t="s">
        <v>139</v>
      </c>
      <c r="H370" s="188" t="s">
        <v>37</v>
      </c>
      <c r="I370" s="168">
        <f ca="1">IFERROR(__xludf.DUMMYFUNCTION("IMPORTRANGE(""https://docs.google.com/spreadsheets/d/1IYY_tgx_IHuhSq3AJ5eI5OnqOPBNLWSHKh2a30DoXe8/edit?usp=sharing"",""นครศรีธรรมราช!I265"")"),0)</f>
        <v>0</v>
      </c>
      <c r="J370" s="211">
        <f ca="1">IFERROR(__xludf.DUMMYFUNCTION("IMPORTRANGE(""https://docs.google.com/spreadsheets/d/1IYY_tgx_IHuhSq3AJ5eI5OnqOPBNLWSHKh2a30DoXe8/edit?usp=sharing"",""นครศรีธรรมราช!J265"")"),0)</f>
        <v>0</v>
      </c>
      <c r="K370" s="169">
        <f t="shared" ca="1" si="106"/>
        <v>0</v>
      </c>
      <c r="L370" s="189"/>
      <c r="M370" s="189"/>
      <c r="N370" s="189"/>
      <c r="O370" s="189"/>
      <c r="P370" s="189"/>
    </row>
    <row r="371" spans="1:16" ht="21.75" hidden="1" customHeight="1" x14ac:dyDescent="0.35">
      <c r="A371" s="183"/>
      <c r="B371" s="184"/>
      <c r="C371" s="184"/>
      <c r="D371" s="201"/>
      <c r="E371" s="206"/>
      <c r="F371" s="203"/>
      <c r="G371" s="387"/>
      <c r="H371" s="188" t="s">
        <v>122</v>
      </c>
      <c r="I371" s="168">
        <f ca="1">IFERROR(__xludf.DUMMYFUNCTION("IMPORTRANGE(""https://docs.google.com/spreadsheets/d/1IYY_tgx_IHuhSq3AJ5eI5OnqOPBNLWSHKh2a30DoXe8/edit?usp=sharing"",""นครศรีธรรมราช!I164"")"),0)</f>
        <v>0</v>
      </c>
      <c r="J371" s="196">
        <f ca="1">IFERROR(__xludf.DUMMYFUNCTION("IMPORTRANGE(""https://docs.google.com/spreadsheets/d/1IYY_tgx_IHuhSq3AJ5eI5OnqOPBNLWSHKh2a30DoXe8/edit?usp=sharing"",""นครศรีธรรมราช!J164"")"),0)</f>
        <v>0</v>
      </c>
      <c r="K371" s="169">
        <f t="shared" ca="1" si="106"/>
        <v>0</v>
      </c>
      <c r="L371" s="189"/>
      <c r="M371" s="189"/>
      <c r="N371" s="189"/>
      <c r="O371" s="189"/>
      <c r="P371" s="189"/>
    </row>
    <row r="372" spans="1:16" ht="21.75" customHeight="1" x14ac:dyDescent="0.35">
      <c r="A372" s="183"/>
      <c r="B372" s="184"/>
      <c r="C372" s="184"/>
      <c r="D372" s="201"/>
      <c r="E372" s="206"/>
      <c r="F372" s="203"/>
      <c r="G372" s="386" t="s">
        <v>140</v>
      </c>
      <c r="H372" s="188" t="s">
        <v>37</v>
      </c>
      <c r="I372" s="168">
        <f ca="1">IFERROR(__xludf.DUMMYFUNCTION("IMPORTRANGE(""https://docs.google.com/spreadsheets/d/1IYY_tgx_IHuhSq3AJ5eI5OnqOPBNLWSHKh2a30DoXe8/edit?usp=sharing"",""นครศรีธรรมราช!I267"")"),0)</f>
        <v>0</v>
      </c>
      <c r="J372" s="196">
        <f ca="1">IFERROR(__xludf.DUMMYFUNCTION("IMPORTRANGE(""https://docs.google.com/spreadsheets/d/1IYY_tgx_IHuhSq3AJ5eI5OnqOPBNLWSHKh2a30DoXe8/edit?usp=sharing"",""นครศรีธรรมราช!J267"")"),0)</f>
        <v>0</v>
      </c>
      <c r="K372" s="169">
        <f t="shared" ca="1" si="106"/>
        <v>0</v>
      </c>
      <c r="L372" s="189"/>
      <c r="M372" s="189"/>
      <c r="N372" s="189"/>
      <c r="O372" s="189"/>
      <c r="P372" s="189"/>
    </row>
    <row r="373" spans="1:16" ht="21.75" hidden="1" customHeight="1" x14ac:dyDescent="0.35">
      <c r="A373" s="183"/>
      <c r="B373" s="184"/>
      <c r="C373" s="184"/>
      <c r="D373" s="201"/>
      <c r="E373" s="206"/>
      <c r="F373" s="203"/>
      <c r="G373" s="233" t="s">
        <v>141</v>
      </c>
      <c r="H373" s="188" t="s">
        <v>37</v>
      </c>
      <c r="I373" s="195">
        <f ca="1">IFERROR(__xludf.DUMMYFUNCTION("IMPORTRANGE(""https://docs.google.com/spreadsheets/d/1IYY_tgx_IHuhSq3AJ5eI5OnqOPBNLWSHKh2a30DoXe8/edit?usp=sharing"",""นครศรีธรรมราช!I164"")"),0)</f>
        <v>0</v>
      </c>
      <c r="J373" s="211">
        <f ca="1">IFERROR(__xludf.DUMMYFUNCTION("IMPORTRANGE(""https://docs.google.com/spreadsheets/d/1IYY_tgx_IHuhSq3AJ5eI5OnqOPBNLWSHKh2a30DoXe8/edit?usp=sharing"",""นครศรีธรรมราช!J164"")"),0)</f>
        <v>0</v>
      </c>
      <c r="K373" s="169">
        <f t="shared" ca="1" si="106"/>
        <v>0</v>
      </c>
      <c r="L373" s="189"/>
      <c r="M373" s="189"/>
      <c r="N373" s="189"/>
      <c r="O373" s="189"/>
      <c r="P373" s="189"/>
    </row>
    <row r="374" spans="1:16" ht="21.75" hidden="1" customHeight="1" x14ac:dyDescent="0.35">
      <c r="A374" s="183"/>
      <c r="B374" s="184"/>
      <c r="C374" s="184"/>
      <c r="D374" s="201"/>
      <c r="E374" s="206"/>
      <c r="F374" s="203"/>
      <c r="G374" s="204" t="s">
        <v>142</v>
      </c>
      <c r="H374" s="188"/>
      <c r="I374" s="195">
        <f ca="1">IFERROR(__xludf.DUMMYFUNCTION("IMPORTRANGE(""https://docs.google.com/spreadsheets/d/1IYY_tgx_IHuhSq3AJ5eI5OnqOPBNLWSHKh2a30DoXe8/edit?usp=sharing"",""นครศรีธรรมราช!I164"")"),0)</f>
        <v>0</v>
      </c>
      <c r="J374" s="195">
        <f ca="1">IFERROR(__xludf.DUMMYFUNCTION("IMPORTRANGE(""https://docs.google.com/spreadsheets/d/1IYY_tgx_IHuhSq3AJ5eI5OnqOPBNLWSHKh2a30DoXe8/edit?usp=sharing"",""นครศรีธรรมราช!J164"")"),0)</f>
        <v>0</v>
      </c>
      <c r="K374" s="169"/>
      <c r="L374" s="189"/>
      <c r="M374" s="189"/>
      <c r="N374" s="189"/>
      <c r="O374" s="189"/>
      <c r="P374" s="189"/>
    </row>
    <row r="375" spans="1:16" ht="21.75" customHeight="1" x14ac:dyDescent="0.35">
      <c r="A375" s="183"/>
      <c r="B375" s="184"/>
      <c r="C375" s="184"/>
      <c r="D375" s="201"/>
      <c r="E375" s="203"/>
      <c r="F375" s="212" t="s">
        <v>53</v>
      </c>
      <c r="G375" s="204"/>
      <c r="H375" s="286" t="s">
        <v>122</v>
      </c>
      <c r="I375" s="195">
        <f ca="1">IFERROR(__xludf.DUMMYFUNCTION("IMPORTRANGE(""https://docs.google.com/spreadsheets/d/1IYY_tgx_IHuhSq3AJ5eI5OnqOPBNLWSHKh2a30DoXe8/edit?usp=sharing"",""นครศรีธรรมราช!I270"")"),0)</f>
        <v>0</v>
      </c>
      <c r="J375" s="195">
        <f ca="1">IFERROR(__xludf.DUMMYFUNCTION("IMPORTRANGE(""https://docs.google.com/spreadsheets/d/1IYY_tgx_IHuhSq3AJ5eI5OnqOPBNLWSHKh2a30DoXe8/edit?usp=sharing"",""นครศรีธรรมราช!J270"")"),0)</f>
        <v>0</v>
      </c>
      <c r="K375" s="169">
        <f t="shared" ref="K375:K377" ca="1" si="107">IF(I375&gt;0,J375*100/I375,0)</f>
        <v>0</v>
      </c>
      <c r="L375" s="189"/>
      <c r="M375" s="189"/>
      <c r="N375" s="189"/>
      <c r="O375" s="189"/>
      <c r="P375" s="189"/>
    </row>
    <row r="376" spans="1:16" ht="21.75" customHeight="1" x14ac:dyDescent="0.35">
      <c r="A376" s="183"/>
      <c r="B376" s="184"/>
      <c r="C376" s="184"/>
      <c r="D376" s="201"/>
      <c r="E376" s="203"/>
      <c r="F376" s="203"/>
      <c r="G376" s="287" t="s">
        <v>143</v>
      </c>
      <c r="H376" s="286" t="s">
        <v>122</v>
      </c>
      <c r="I376" s="195">
        <f ca="1">IFERROR(__xludf.DUMMYFUNCTION("IMPORTRANGE(""https://docs.google.com/spreadsheets/d/1IYY_tgx_IHuhSq3AJ5eI5OnqOPBNLWSHKh2a30DoXe8/edit?usp=sharing"",""นครศรีธรรมราช!I271"")"),0)</f>
        <v>0</v>
      </c>
      <c r="J376" s="196">
        <f ca="1">IFERROR(__xludf.DUMMYFUNCTION("IMPORTRANGE(""https://docs.google.com/spreadsheets/d/1IYY_tgx_IHuhSq3AJ5eI5OnqOPBNLWSHKh2a30DoXe8/edit?usp=sharing"",""นครศรีธรรมราช!J271"")"),0)</f>
        <v>0</v>
      </c>
      <c r="K376" s="169">
        <f t="shared" ca="1" si="107"/>
        <v>0</v>
      </c>
      <c r="L376" s="189"/>
      <c r="M376" s="189"/>
      <c r="N376" s="189"/>
      <c r="O376" s="189"/>
      <c r="P376" s="189"/>
    </row>
    <row r="377" spans="1:16" ht="21.75" customHeight="1" x14ac:dyDescent="0.35">
      <c r="A377" s="183"/>
      <c r="B377" s="184"/>
      <c r="C377" s="184"/>
      <c r="D377" s="201"/>
      <c r="E377" s="203"/>
      <c r="F377" s="203"/>
      <c r="G377" s="287" t="s">
        <v>144</v>
      </c>
      <c r="H377" s="286" t="s">
        <v>122</v>
      </c>
      <c r="I377" s="195">
        <f ca="1">IFERROR(__xludf.DUMMYFUNCTION("IMPORTRANGE(""https://docs.google.com/spreadsheets/d/1IYY_tgx_IHuhSq3AJ5eI5OnqOPBNLWSHKh2a30DoXe8/edit?usp=sharing"",""นครศรีธรรมราช!I272"")"),0)</f>
        <v>0</v>
      </c>
      <c r="J377" s="211">
        <f ca="1">IFERROR(__xludf.DUMMYFUNCTION("IMPORTRANGE(""https://docs.google.com/spreadsheets/d/1IYY_tgx_IHuhSq3AJ5eI5OnqOPBNLWSHKh2a30DoXe8/edit?usp=sharing"",""นครศรีธรรมราช!J272"")"),0)</f>
        <v>0</v>
      </c>
      <c r="K377" s="169">
        <f t="shared" ca="1" si="107"/>
        <v>0</v>
      </c>
      <c r="L377" s="189"/>
      <c r="M377" s="189"/>
      <c r="N377" s="189"/>
      <c r="O377" s="189"/>
      <c r="P377" s="189"/>
    </row>
    <row r="378" spans="1:16" ht="21.75" customHeight="1" x14ac:dyDescent="0.35">
      <c r="A378" s="183"/>
      <c r="B378" s="184"/>
      <c r="C378" s="184"/>
      <c r="D378" s="201"/>
      <c r="E378" s="202" t="s">
        <v>54</v>
      </c>
      <c r="F378" s="203"/>
      <c r="G378" s="204"/>
      <c r="H378" s="194"/>
      <c r="I378" s="195"/>
      <c r="J378" s="205">
        <f ca="1">IFERROR(__xludf.DUMMYFUNCTION("IMPORTRANGE(""https://docs.google.com/spreadsheets/d/1IYY_tgx_IHuhSq3AJ5eI5OnqOPBNLWSHKh2a30DoXe8/edit?usp=sharing"",""นครศรีธรรมราช!J273"")"),0)</f>
        <v>0</v>
      </c>
      <c r="K378" s="169"/>
      <c r="L378" s="189"/>
      <c r="M378" s="189"/>
      <c r="N378" s="189"/>
      <c r="O378" s="189"/>
      <c r="P378" s="189"/>
    </row>
    <row r="379" spans="1:16" ht="21.75" customHeight="1" x14ac:dyDescent="0.35">
      <c r="A379" s="183"/>
      <c r="B379" s="184"/>
      <c r="C379" s="184"/>
      <c r="D379" s="213">
        <v>3</v>
      </c>
      <c r="E379" s="214" t="s">
        <v>55</v>
      </c>
      <c r="F379" s="215"/>
      <c r="G379" s="216"/>
      <c r="H379" s="194"/>
      <c r="I379" s="195"/>
      <c r="J379" s="217">
        <f ca="1">IFERROR(__xludf.DUMMYFUNCTION("IMPORTRANGE(""https://docs.google.com/spreadsheets/d/1IYY_tgx_IHuhSq3AJ5eI5OnqOPBNLWSHKh2a30DoXe8/edit?usp=sharing"",""นครศรีธรรมราช!J274"")"),0)</f>
        <v>0</v>
      </c>
      <c r="K379" s="169"/>
      <c r="L379" s="189"/>
      <c r="M379" s="189"/>
      <c r="N379" s="189"/>
      <c r="O379" s="189"/>
      <c r="P379" s="189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IFERROR(__xludf.DUMMYFUNCTION("IMPORTRANGE(""https://docs.google.com/spreadsheets/d/1IYY_tgx_IHuhSq3AJ5eI5OnqOPBNLWSHKh2a30DoXe8/edit?usp=sharing"",""นครศรีธรรมราช!I275"")"),200)</f>
        <v>200</v>
      </c>
      <c r="J380" s="377">
        <f ca="1">IFERROR(__xludf.DUMMYFUNCTION("IMPORTRANGE(""https://docs.google.com/spreadsheets/d/1IYY_tgx_IHuhSq3AJ5eI5OnqOPBNLWSHKh2a30DoXe8/edit?usp=sharing"",""นครศรีธรรมราช!J275"")"),0)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IFERROR(__xludf.DUMMYFUNCTION("IMPORTRANGE(""https://docs.google.com/spreadsheets/d/1IYY_tgx_IHuhSq3AJ5eI5OnqOPBNLWSHKh2a30DoXe8/edit?usp=sharing"",""นครศรีธรรมราช!L275"")"),207560)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IFERROR(__xludf.DUMMYFUNCTION("IMPORTRANGE(""https://docs.google.com/spreadsheets/d/1IYY_tgx_IHuhSq3AJ5eI5OnqOPBNLWSHKh2a30DoXe8/edit?usp=sharing"",""นครศรีธรรมราช!M275"")"),24976)</f>
        <v>24976</v>
      </c>
      <c r="O380" s="379">
        <f ca="1">+IF(L380&gt;0,N380*100/L380,0)</f>
        <v>12.033147041819232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IFERROR(__xludf.DUMMYFUNCTION("IMPORTRANGE(""https://docs.google.com/spreadsheets/d/1IYY_tgx_IHuhSq3AJ5eI5OnqOPBNLWSHKh2a30DoXe8/edit?usp=sharing"",""นครศรีธรรมราช!I276"")"),20)</f>
        <v>20</v>
      </c>
      <c r="J381" s="377">
        <f ca="1">IFERROR(__xludf.DUMMYFUNCTION("IMPORTRANGE(""https://docs.google.com/spreadsheets/d/1IYY_tgx_IHuhSq3AJ5eI5OnqOPBNLWSHKh2a30DoXe8/edit?usp=sharing"",""นครศรีธรรมราช!J276"")"),20)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164" t="s">
        <v>38</v>
      </c>
      <c r="E382" s="165"/>
      <c r="F382" s="165"/>
      <c r="G382" s="166" t="s">
        <v>39</v>
      </c>
      <c r="H382" s="167" t="s">
        <v>12</v>
      </c>
      <c r="I382" s="168" t="s">
        <v>40</v>
      </c>
      <c r="J382" s="168"/>
      <c r="K382" s="169"/>
      <c r="L382" s="170">
        <f ca="1">IFERROR(__xludf.DUMMYFUNCTION("IMPORTRANGE(""https://docs.google.com/spreadsheets/d/1IYY_tgx_IHuhSq3AJ5eI5OnqOPBNLWSHKh2a30DoXe8/edit?usp=sharing"",""นครศรีธรรมราช!L277"")"),0)</f>
        <v>0</v>
      </c>
      <c r="M382" s="170"/>
      <c r="N382" s="170">
        <f ca="1">IFERROR(__xludf.DUMMYFUNCTION("IMPORTRANGE(""https://docs.google.com/spreadsheets/d/1IYY_tgx_IHuhSq3AJ5eI5OnqOPBNLWSHKh2a30DoXe8/edit?usp=sharing"",""นครศรีธรรมราช!M277"")"),0)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 x14ac:dyDescent="0.35">
      <c r="A383" s="162"/>
      <c r="B383" s="163"/>
      <c r="C383" s="163"/>
      <c r="D383" s="172"/>
      <c r="E383" s="165"/>
      <c r="F383" s="165" t="s">
        <v>40</v>
      </c>
      <c r="G383" s="166" t="s">
        <v>41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IFERROR(__xludf.DUMMYFUNCTION("IMPORTRANGE(""https://docs.google.com/spreadsheets/d/1IYY_tgx_IHuhSq3AJ5eI5OnqOPBNLWSHKh2a30DoXe8/edit?usp=sharing"",""นครศรีธรรมราช!L278"")"),207560)</f>
        <v>207560</v>
      </c>
      <c r="M383" s="171"/>
      <c r="N383" s="171">
        <f ca="1">IFERROR(__xludf.DUMMYFUNCTION("IMPORTRANGE(""https://docs.google.com/spreadsheets/d/1IYY_tgx_IHuhSq3AJ5eI5OnqOPBNLWSHKh2a30DoXe8/edit?usp=sharing"",""นครศรีธรรมราช!M278"")"),24976)</f>
        <v>24976</v>
      </c>
      <c r="O383" s="171">
        <f t="shared" ca="1" si="109"/>
        <v>12.033147041819232</v>
      </c>
      <c r="P383" s="171"/>
    </row>
    <row r="384" spans="1:16" ht="21.75" customHeight="1" x14ac:dyDescent="0.35">
      <c r="A384" s="162"/>
      <c r="B384" s="163"/>
      <c r="C384" s="163"/>
      <c r="D384" s="172"/>
      <c r="E384" s="165"/>
      <c r="F384" s="165"/>
      <c r="G384" s="380" t="s">
        <v>129</v>
      </c>
      <c r="H384" s="167" t="s">
        <v>12</v>
      </c>
      <c r="I384" s="168"/>
      <c r="J384" s="168"/>
      <c r="K384" s="169"/>
      <c r="L384" s="176">
        <f ca="1">IFERROR(__xludf.DUMMYFUNCTION("IMPORTRANGE(""https://docs.google.com/spreadsheets/d/1IYY_tgx_IHuhSq3AJ5eI5OnqOPBNLWSHKh2a30DoXe8/edit?usp=sharing"",""นครศรีธรรมราช!L279"")"),0)</f>
        <v>0</v>
      </c>
      <c r="M384" s="176"/>
      <c r="N384" s="176">
        <f ca="1">IFERROR(__xludf.DUMMYFUNCTION("IMPORTRANGE(""https://docs.google.com/spreadsheets/d/1IYY_tgx_IHuhSq3AJ5eI5OnqOPBNLWSHKh2a30DoXe8/edit?usp=sharing"",""นครศรีธรรมราช!M279"")"),0)</f>
        <v>0</v>
      </c>
      <c r="O384" s="176">
        <f t="shared" ca="1" si="109"/>
        <v>0</v>
      </c>
      <c r="P384" s="176"/>
    </row>
    <row r="385" spans="1:16" ht="21.75" customHeight="1" x14ac:dyDescent="0.35">
      <c r="A385" s="162"/>
      <c r="B385" s="163"/>
      <c r="C385" s="163"/>
      <c r="D385" s="172"/>
      <c r="E385" s="165"/>
      <c r="F385" s="165"/>
      <c r="G385" s="380" t="s">
        <v>130</v>
      </c>
      <c r="H385" s="167" t="s">
        <v>12</v>
      </c>
      <c r="I385" s="168"/>
      <c r="J385" s="168"/>
      <c r="K385" s="169"/>
      <c r="L385" s="176">
        <f ca="1">IFERROR(__xludf.DUMMYFUNCTION("IMPORTRANGE(""https://docs.google.com/spreadsheets/d/1IYY_tgx_IHuhSq3AJ5eI5OnqOPBNLWSHKh2a30DoXe8/edit?usp=sharing"",""นครศรีธรรมราช!L280"")"),207560)</f>
        <v>207560</v>
      </c>
      <c r="M385" s="176"/>
      <c r="N385" s="173">
        <f ca="1">IFERROR(__xludf.DUMMYFUNCTION("IMPORTRANGE(""https://docs.google.com/spreadsheets/d/1IYY_tgx_IHuhSq3AJ5eI5OnqOPBNLWSHKh2a30DoXe8/edit?usp=sharing"",""นครศรีธรรมราช!M280"")"),24976)</f>
        <v>24976</v>
      </c>
      <c r="O385" s="176">
        <f t="shared" ca="1" si="109"/>
        <v>12.033147041819232</v>
      </c>
      <c r="P385" s="176"/>
    </row>
    <row r="386" spans="1:16" ht="21.75" customHeight="1" x14ac:dyDescent="0.35">
      <c r="A386" s="381"/>
      <c r="B386" s="382"/>
      <c r="C386" s="163"/>
      <c r="D386" s="383"/>
      <c r="E386" s="165"/>
      <c r="F386" s="165"/>
      <c r="G386" s="384" t="s">
        <v>131</v>
      </c>
      <c r="H386" s="167" t="s">
        <v>12</v>
      </c>
      <c r="I386" s="195"/>
      <c r="J386" s="195"/>
      <c r="K386" s="231"/>
      <c r="L386" s="176"/>
      <c r="M386" s="176"/>
      <c r="N386" s="385">
        <f ca="1">IFERROR(__xludf.DUMMYFUNCTION("IMPORTRANGE(""https://docs.google.com/spreadsheets/d/1IYY_tgx_IHuhSq3AJ5eI5OnqOPBNLWSHKh2a30DoXe8/edit?usp=sharing"",""นครศรีธรรมราช!M281"")"),23036)</f>
        <v>23036</v>
      </c>
      <c r="O386" s="176"/>
      <c r="P386" s="176"/>
    </row>
    <row r="387" spans="1:16" ht="21.75" customHeight="1" x14ac:dyDescent="0.35">
      <c r="A387" s="381"/>
      <c r="B387" s="382"/>
      <c r="C387" s="163"/>
      <c r="D387" s="383"/>
      <c r="E387" s="165"/>
      <c r="F387" s="165"/>
      <c r="G387" s="384" t="s">
        <v>132</v>
      </c>
      <c r="H387" s="167" t="s">
        <v>12</v>
      </c>
      <c r="I387" s="195"/>
      <c r="J387" s="195"/>
      <c r="K387" s="231"/>
      <c r="L387" s="176"/>
      <c r="M387" s="176"/>
      <c r="N387" s="385">
        <f ca="1">IFERROR(__xludf.DUMMYFUNCTION("IMPORTRANGE(""https://docs.google.com/spreadsheets/d/1IYY_tgx_IHuhSq3AJ5eI5OnqOPBNLWSHKh2a30DoXe8/edit?usp=sharing"",""นครศรีธรรมราช!M282"")"),0)</f>
        <v>0</v>
      </c>
      <c r="O387" s="176"/>
      <c r="P387" s="176"/>
    </row>
    <row r="388" spans="1:16" ht="21.75" customHeight="1" x14ac:dyDescent="0.35">
      <c r="A388" s="381"/>
      <c r="B388" s="382"/>
      <c r="C388" s="163"/>
      <c r="D388" s="383"/>
      <c r="E388" s="165"/>
      <c r="F388" s="165"/>
      <c r="G388" s="384" t="s">
        <v>133</v>
      </c>
      <c r="H388" s="167" t="s">
        <v>12</v>
      </c>
      <c r="I388" s="195"/>
      <c r="J388" s="195"/>
      <c r="K388" s="231"/>
      <c r="L388" s="176"/>
      <c r="M388" s="176"/>
      <c r="N388" s="385">
        <f ca="1">IFERROR(__xludf.DUMMYFUNCTION("IMPORTRANGE(""https://docs.google.com/spreadsheets/d/1IYY_tgx_IHuhSq3AJ5eI5OnqOPBNLWSHKh2a30DoXe8/edit?usp=sharing"",""นครศรีธรรมราช!M283"")"),0)</f>
        <v>0</v>
      </c>
      <c r="O388" s="176"/>
      <c r="P388" s="176"/>
    </row>
    <row r="389" spans="1:16" ht="21.75" customHeight="1" x14ac:dyDescent="0.35">
      <c r="A389" s="381"/>
      <c r="B389" s="382"/>
      <c r="C389" s="163"/>
      <c r="D389" s="383"/>
      <c r="E389" s="165"/>
      <c r="F389" s="165"/>
      <c r="G389" s="384" t="s">
        <v>134</v>
      </c>
      <c r="H389" s="167" t="s">
        <v>12</v>
      </c>
      <c r="I389" s="195"/>
      <c r="J389" s="195"/>
      <c r="K389" s="231"/>
      <c r="L389" s="176"/>
      <c r="M389" s="176"/>
      <c r="N389" s="385">
        <f ca="1">IFERROR(__xludf.DUMMYFUNCTION("IMPORTRANGE(""https://docs.google.com/spreadsheets/d/1IYY_tgx_IHuhSq3AJ5eI5OnqOPBNLWSHKh2a30DoXe8/edit?usp=sharing"",""นครศรีธรรมราช!M284"")"),1940)</f>
        <v>1940</v>
      </c>
      <c r="O389" s="176"/>
      <c r="P389" s="176"/>
    </row>
    <row r="390" spans="1:16" ht="21.75" customHeight="1" x14ac:dyDescent="0.35">
      <c r="A390" s="183"/>
      <c r="B390" s="184"/>
      <c r="C390" s="163" t="s">
        <v>16</v>
      </c>
      <c r="D390" s="185" t="s">
        <v>44</v>
      </c>
      <c r="E390" s="186"/>
      <c r="F390" s="186"/>
      <c r="G390" s="187"/>
      <c r="H390" s="188"/>
      <c r="I390" s="168"/>
      <c r="J390" s="168"/>
      <c r="K390" s="169"/>
      <c r="L390" s="189"/>
      <c r="M390" s="189"/>
      <c r="N390" s="189"/>
      <c r="O390" s="189"/>
      <c r="P390" s="189"/>
    </row>
    <row r="391" spans="1:16" ht="21.75" customHeight="1" x14ac:dyDescent="0.35">
      <c r="A391" s="183"/>
      <c r="B391" s="184"/>
      <c r="C391" s="184"/>
      <c r="D391" s="190">
        <v>1</v>
      </c>
      <c r="E391" s="191" t="s">
        <v>45</v>
      </c>
      <c r="F391" s="192"/>
      <c r="G391" s="193"/>
      <c r="H391" s="194"/>
      <c r="I391" s="195"/>
      <c r="J391" s="205">
        <f ca="1">IFERROR(__xludf.DUMMYFUNCTION("IMPORTRANGE(""https://docs.google.com/spreadsheets/d/1IYY_tgx_IHuhSq3AJ5eI5OnqOPBNLWSHKh2a30DoXe8/edit?usp=sharing"",""นครศรีธรรมราช!J286"")"),0)</f>
        <v>0</v>
      </c>
      <c r="K391" s="169"/>
      <c r="L391" s="189"/>
      <c r="M391" s="189"/>
      <c r="N391" s="189"/>
      <c r="O391" s="189"/>
      <c r="P391" s="189"/>
    </row>
    <row r="392" spans="1:16" ht="21.75" customHeight="1" x14ac:dyDescent="0.35">
      <c r="A392" s="183"/>
      <c r="B392" s="184"/>
      <c r="C392" s="184"/>
      <c r="D392" s="197">
        <v>2</v>
      </c>
      <c r="E392" s="198" t="s">
        <v>46</v>
      </c>
      <c r="F392" s="199"/>
      <c r="G392" s="200"/>
      <c r="H392" s="194"/>
      <c r="I392" s="195"/>
      <c r="J392" s="196">
        <f ca="1">IFERROR(__xludf.DUMMYFUNCTION("IMPORTRANGE(""https://docs.google.com/spreadsheets/d/1IYY_tgx_IHuhSq3AJ5eI5OnqOPBNLWSHKh2a30DoXe8/edit?usp=sharing"",""นครศรีธรรมราช!J287"")"),1)</f>
        <v>1</v>
      </c>
      <c r="K392" s="169"/>
      <c r="L392" s="189" t="s">
        <v>40</v>
      </c>
      <c r="M392" s="189"/>
      <c r="N392" s="189" t="s">
        <v>40</v>
      </c>
      <c r="O392" s="189"/>
      <c r="P392" s="189"/>
    </row>
    <row r="393" spans="1:16" ht="21.75" customHeight="1" x14ac:dyDescent="0.35">
      <c r="A393" s="183"/>
      <c r="B393" s="184"/>
      <c r="C393" s="184"/>
      <c r="D393" s="201"/>
      <c r="E393" s="202" t="s">
        <v>47</v>
      </c>
      <c r="F393" s="203"/>
      <c r="G393" s="204"/>
      <c r="H393" s="194"/>
      <c r="I393" s="195"/>
      <c r="J393" s="196">
        <f ca="1">IFERROR(__xludf.DUMMYFUNCTION("IMPORTRANGE(""https://docs.google.com/spreadsheets/d/1IYY_tgx_IHuhSq3AJ5eI5OnqOPBNLWSHKh2a30DoXe8/edit?usp=sharing"",""นครศรีธรรมราช!J288"")"),1)</f>
        <v>1</v>
      </c>
      <c r="K393" s="169"/>
      <c r="L393" s="189"/>
      <c r="M393" s="189"/>
      <c r="N393" s="189"/>
      <c r="O393" s="189"/>
      <c r="P393" s="189"/>
    </row>
    <row r="394" spans="1:16" ht="21.75" customHeight="1" x14ac:dyDescent="0.35">
      <c r="A394" s="183"/>
      <c r="B394" s="184"/>
      <c r="C394" s="184"/>
      <c r="D394" s="201"/>
      <c r="E394" s="202" t="s">
        <v>48</v>
      </c>
      <c r="F394" s="203"/>
      <c r="G394" s="204"/>
      <c r="H394" s="194"/>
      <c r="I394" s="195"/>
      <c r="J394" s="205">
        <f ca="1">IFERROR(__xludf.DUMMYFUNCTION("IMPORTRANGE(""https://docs.google.com/spreadsheets/d/1IYY_tgx_IHuhSq3AJ5eI5OnqOPBNLWSHKh2a30DoXe8/edit?usp=sharing"",""นครศรีธรรมราช!J289"")"),1)</f>
        <v>1</v>
      </c>
      <c r="K394" s="169"/>
      <c r="L394" s="189"/>
      <c r="M394" s="189"/>
      <c r="N394" s="189"/>
      <c r="O394" s="189"/>
      <c r="P394" s="189"/>
    </row>
    <row r="395" spans="1:16" ht="21.75" customHeight="1" x14ac:dyDescent="0.35">
      <c r="A395" s="183"/>
      <c r="B395" s="184"/>
      <c r="C395" s="184"/>
      <c r="D395" s="201"/>
      <c r="E395" s="206"/>
      <c r="F395" s="202" t="s">
        <v>146</v>
      </c>
      <c r="G395" s="203"/>
      <c r="H395" s="194"/>
      <c r="I395" s="195"/>
      <c r="J395" s="195"/>
      <c r="K395" s="169"/>
      <c r="L395" s="189"/>
      <c r="M395" s="189"/>
      <c r="N395" s="189"/>
      <c r="O395" s="189"/>
      <c r="P395" s="189"/>
    </row>
    <row r="396" spans="1:16" ht="21.75" customHeight="1" x14ac:dyDescent="0.35">
      <c r="A396" s="183"/>
      <c r="B396" s="184"/>
      <c r="C396" s="184"/>
      <c r="D396" s="201"/>
      <c r="E396" s="206"/>
      <c r="F396" s="203"/>
      <c r="G396" s="299" t="s">
        <v>70</v>
      </c>
      <c r="H396" s="194" t="s">
        <v>37</v>
      </c>
      <c r="I396" s="195">
        <f ca="1">IFERROR(__xludf.DUMMYFUNCTION("IMPORTRANGE(""https://docs.google.com/spreadsheets/d/1IYY_tgx_IHuhSq3AJ5eI5OnqOPBNLWSHKh2a30DoXe8/edit?usp=sharing"",""นครศรีธรรมราช!I291"")"),20)</f>
        <v>20</v>
      </c>
      <c r="J396" s="205">
        <f ca="1">IFERROR(__xludf.DUMMYFUNCTION("IMPORTRANGE(""https://docs.google.com/spreadsheets/d/1IYY_tgx_IHuhSq3AJ5eI5OnqOPBNLWSHKh2a30DoXe8/edit?usp=sharing"",""นครศรีธรรมราช!J291"")"),20)</f>
        <v>20</v>
      </c>
      <c r="K396" s="169">
        <f t="shared" ref="K396:K398" ca="1" si="110">IF(I396&gt;0,J396*100/I396,0)</f>
        <v>100</v>
      </c>
      <c r="L396" s="189"/>
      <c r="M396" s="189"/>
      <c r="N396" s="189"/>
      <c r="O396" s="189"/>
      <c r="P396" s="189"/>
    </row>
    <row r="397" spans="1:16" ht="21.75" customHeight="1" x14ac:dyDescent="0.35">
      <c r="A397" s="183"/>
      <c r="B397" s="184"/>
      <c r="C397" s="184"/>
      <c r="D397" s="201"/>
      <c r="E397" s="206"/>
      <c r="F397" s="203"/>
      <c r="G397" s="204" t="s">
        <v>53</v>
      </c>
      <c r="H397" s="194" t="s">
        <v>122</v>
      </c>
      <c r="I397" s="195">
        <f ca="1">IFERROR(__xludf.DUMMYFUNCTION("IMPORTRANGE(""https://docs.google.com/spreadsheets/d/1IYY_tgx_IHuhSq3AJ5eI5OnqOPBNLWSHKh2a30DoXe8/edit?usp=sharing"",""นครศรีธรรมราช!I292"")"),200)</f>
        <v>200</v>
      </c>
      <c r="J397" s="205">
        <f ca="1">IFERROR(__xludf.DUMMYFUNCTION("IMPORTRANGE(""https://docs.google.com/spreadsheets/d/1IYY_tgx_IHuhSq3AJ5eI5OnqOPBNLWSHKh2a30DoXe8/edit?usp=sharing"",""นครศรีธรรมราช!J292"")"),0)</f>
        <v>0</v>
      </c>
      <c r="K397" s="169">
        <f t="shared" ca="1" si="110"/>
        <v>0</v>
      </c>
      <c r="L397" s="189"/>
      <c r="M397" s="189"/>
      <c r="N397" s="189"/>
      <c r="O397" s="189"/>
      <c r="P397" s="189"/>
    </row>
    <row r="398" spans="1:16" ht="21.75" customHeight="1" x14ac:dyDescent="0.35">
      <c r="A398" s="183"/>
      <c r="B398" s="184"/>
      <c r="C398" s="184"/>
      <c r="D398" s="201"/>
      <c r="E398" s="206"/>
      <c r="F398" s="203"/>
      <c r="G398" s="204"/>
      <c r="H398" s="194" t="s">
        <v>37</v>
      </c>
      <c r="I398" s="195">
        <f ca="1">IFERROR(__xludf.DUMMYFUNCTION("IMPORTRANGE(""https://docs.google.com/spreadsheets/d/1IYY_tgx_IHuhSq3AJ5eI5OnqOPBNLWSHKh2a30DoXe8/edit?usp=sharing"",""นครศรีธรรมราช!I293"")"),20)</f>
        <v>20</v>
      </c>
      <c r="J398" s="205">
        <f ca="1">IFERROR(__xludf.DUMMYFUNCTION("IMPORTRANGE(""https://docs.google.com/spreadsheets/d/1IYY_tgx_IHuhSq3AJ5eI5OnqOPBNLWSHKh2a30DoXe8/edit?usp=sharing"",""นครศรีธรรมราช!J293"")"),0)</f>
        <v>0</v>
      </c>
      <c r="K398" s="169">
        <f t="shared" ca="1" si="110"/>
        <v>0</v>
      </c>
      <c r="L398" s="189"/>
      <c r="M398" s="189"/>
      <c r="N398" s="189"/>
      <c r="O398" s="189"/>
      <c r="P398" s="189"/>
    </row>
    <row r="399" spans="1:16" ht="21.75" customHeight="1" x14ac:dyDescent="0.35">
      <c r="A399" s="183"/>
      <c r="B399" s="184"/>
      <c r="C399" s="184"/>
      <c r="D399" s="201"/>
      <c r="E399" s="202" t="s">
        <v>54</v>
      </c>
      <c r="F399" s="203"/>
      <c r="G399" s="204"/>
      <c r="H399" s="194"/>
      <c r="I399" s="195"/>
      <c r="J399" s="205">
        <f ca="1">IFERROR(__xludf.DUMMYFUNCTION("IMPORTRANGE(""https://docs.google.com/spreadsheets/d/1IYY_tgx_IHuhSq3AJ5eI5OnqOPBNLWSHKh2a30DoXe8/edit?usp=sharing"",""นครศรีธรรมราช!J294"")"),0)</f>
        <v>0</v>
      </c>
      <c r="K399" s="169"/>
      <c r="L399" s="189"/>
      <c r="M399" s="189"/>
      <c r="N399" s="189"/>
      <c r="O399" s="189"/>
      <c r="P399" s="189"/>
    </row>
    <row r="400" spans="1:16" ht="21.75" customHeight="1" x14ac:dyDescent="0.35">
      <c r="A400" s="183"/>
      <c r="B400" s="184"/>
      <c r="C400" s="184"/>
      <c r="D400" s="213">
        <v>3</v>
      </c>
      <c r="E400" s="214" t="s">
        <v>55</v>
      </c>
      <c r="F400" s="215"/>
      <c r="G400" s="216"/>
      <c r="H400" s="194"/>
      <c r="I400" s="195"/>
      <c r="J400" s="217">
        <f ca="1">IFERROR(__xludf.DUMMYFUNCTION("IMPORTRANGE(""https://docs.google.com/spreadsheets/d/1IYY_tgx_IHuhSq3AJ5eI5OnqOPBNLWSHKh2a30DoXe8/edit?usp=sharing"",""นครศรีธรรมราช!J295"")"),0)</f>
        <v>0</v>
      </c>
      <c r="K400" s="169"/>
      <c r="L400" s="189"/>
      <c r="M400" s="189"/>
      <c r="N400" s="189"/>
      <c r="O400" s="189"/>
      <c r="P400" s="189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IFERROR(__xludf.DUMMYFUNCTION("IMPORTRANGE(""https://docs.google.com/spreadsheets/d/1IYY_tgx_IHuhSq3AJ5eI5OnqOPBNLWSHKh2a30DoXe8/edit?usp=sharing"",""นครศรีธรรมราช!I296"")"),120)</f>
        <v>120</v>
      </c>
      <c r="J401" s="377">
        <f ca="1">IFERROR(__xludf.DUMMYFUNCTION("IMPORTRANGE(""https://docs.google.com/spreadsheets/d/1IYY_tgx_IHuhSq3AJ5eI5OnqOPBNLWSHKh2a30DoXe8/edit?usp=sharing"",""นครศรีธรรมราช!J296"")"),0)</f>
        <v>0</v>
      </c>
      <c r="K401" s="378">
        <f t="shared" ref="K401:K402" ca="1" si="111">IF(I401&gt;0,J401*100/I401,0)</f>
        <v>0</v>
      </c>
      <c r="L401" s="379">
        <f ca="1">IFERROR(__xludf.DUMMYFUNCTION("IMPORTRANGE(""https://docs.google.com/spreadsheets/d/1IYY_tgx_IHuhSq3AJ5eI5OnqOPBNLWSHKh2a30DoXe8/edit?usp=sharing"",""นครศรีธรรมราช!L296"")"),114760)</f>
        <v>114760</v>
      </c>
      <c r="M401" s="379"/>
      <c r="N401" s="379">
        <f ca="1">IFERROR(__xludf.DUMMYFUNCTION("IMPORTRANGE(""https://docs.google.com/spreadsheets/d/1IYY_tgx_IHuhSq3AJ5eI5OnqOPBNLWSHKh2a30DoXe8/edit?usp=sharing"",""นครศรีธรรมราช!M296"")"),31520)</f>
        <v>31520</v>
      </c>
      <c r="O401" s="379">
        <f ca="1">+IF(L401&gt;0,N401*100/L401,0)</f>
        <v>27.466016033461138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IFERROR(__xludf.DUMMYFUNCTION("IMPORTRANGE(""https://docs.google.com/spreadsheets/d/1IYY_tgx_IHuhSq3AJ5eI5OnqOPBNLWSHKh2a30DoXe8/edit?usp=sharing"",""นครศรีธรรมราช!I297"")"),40)</f>
        <v>40</v>
      </c>
      <c r="J402" s="377">
        <f ca="1">IFERROR(__xludf.DUMMYFUNCTION("IMPORTRANGE(""https://docs.google.com/spreadsheets/d/1IYY_tgx_IHuhSq3AJ5eI5OnqOPBNLWSHKh2a30DoXe8/edit?usp=sharing"",""นครศรีธรรมราช!J297"")"),0)</f>
        <v>0</v>
      </c>
      <c r="K402" s="378">
        <f t="shared" ca="1" si="111"/>
        <v>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164" t="s">
        <v>38</v>
      </c>
      <c r="E403" s="165"/>
      <c r="F403" s="165"/>
      <c r="G403" s="166" t="s">
        <v>39</v>
      </c>
      <c r="H403" s="167" t="s">
        <v>12</v>
      </c>
      <c r="I403" s="168" t="s">
        <v>40</v>
      </c>
      <c r="J403" s="168"/>
      <c r="K403" s="169"/>
      <c r="L403" s="170">
        <f ca="1">IFERROR(__xludf.DUMMYFUNCTION("IMPORTRANGE(""https://docs.google.com/spreadsheets/d/1IYY_tgx_IHuhSq3AJ5eI5OnqOPBNLWSHKh2a30DoXe8/edit?usp=sharing"",""นครศรีธรรมราช!L298"")"),0)</f>
        <v>0</v>
      </c>
      <c r="M403" s="170"/>
      <c r="N403" s="176">
        <f ca="1">IFERROR(__xludf.DUMMYFUNCTION("IMPORTRANGE(""https://docs.google.com/spreadsheets/d/1IYY_tgx_IHuhSq3AJ5eI5OnqOPBNLWSHKh2a30DoXe8/edit?usp=sharing"",""นครศรีธรรมราช!M298"")"),0)</f>
        <v>0</v>
      </c>
      <c r="O403" s="176">
        <f t="shared" ref="O403:O406" ca="1" si="112">+IF(L403&gt;0,N403*100/L403,0)</f>
        <v>0</v>
      </c>
      <c r="P403" s="176"/>
    </row>
    <row r="404" spans="1:16" ht="21.75" customHeight="1" x14ac:dyDescent="0.35">
      <c r="A404" s="162"/>
      <c r="B404" s="163"/>
      <c r="C404" s="163"/>
      <c r="D404" s="172"/>
      <c r="E404" s="165"/>
      <c r="F404" s="165" t="s">
        <v>40</v>
      </c>
      <c r="G404" s="166" t="s">
        <v>41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IFERROR(__xludf.DUMMYFUNCTION("IMPORTRANGE(""https://docs.google.com/spreadsheets/d/1IYY_tgx_IHuhSq3AJ5eI5OnqOPBNLWSHKh2a30DoXe8/edit?usp=sharing"",""นครศรีธรรมราช!L299"")"),114760)</f>
        <v>114760</v>
      </c>
      <c r="M404" s="171"/>
      <c r="N404" s="176">
        <f ca="1">IFERROR(__xludf.DUMMYFUNCTION("IMPORTRANGE(""https://docs.google.com/spreadsheets/d/1IYY_tgx_IHuhSq3AJ5eI5OnqOPBNLWSHKh2a30DoXe8/edit?usp=sharing"",""นครศรีธรรมราช!M299"")"),31520)</f>
        <v>31520</v>
      </c>
      <c r="O404" s="176">
        <f t="shared" ca="1" si="112"/>
        <v>27.466016033461138</v>
      </c>
      <c r="P404" s="176"/>
    </row>
    <row r="405" spans="1:16" ht="21.75" customHeight="1" x14ac:dyDescent="0.35">
      <c r="A405" s="162"/>
      <c r="B405" s="163"/>
      <c r="C405" s="163"/>
      <c r="D405" s="172"/>
      <c r="E405" s="165"/>
      <c r="F405" s="165"/>
      <c r="G405" s="380" t="s">
        <v>129</v>
      </c>
      <c r="H405" s="167" t="s">
        <v>12</v>
      </c>
      <c r="I405" s="168"/>
      <c r="J405" s="168"/>
      <c r="K405" s="169"/>
      <c r="L405" s="176">
        <f ca="1">IFERROR(__xludf.DUMMYFUNCTION("IMPORTRANGE(""https://docs.google.com/spreadsheets/d/1IYY_tgx_IHuhSq3AJ5eI5OnqOPBNLWSHKh2a30DoXe8/edit?usp=sharing"",""นครศรีธรรมราช!L300"")"),0)</f>
        <v>0</v>
      </c>
      <c r="M405" s="176"/>
      <c r="N405" s="176">
        <f ca="1">IFERROR(__xludf.DUMMYFUNCTION("IMPORTRANGE(""https://docs.google.com/spreadsheets/d/1IYY_tgx_IHuhSq3AJ5eI5OnqOPBNLWSHKh2a30DoXe8/edit?usp=sharing"",""นครศรีธรรมราช!M300"")"),0)</f>
        <v>0</v>
      </c>
      <c r="O405" s="176">
        <f t="shared" ca="1" si="112"/>
        <v>0</v>
      </c>
      <c r="P405" s="176"/>
    </row>
    <row r="406" spans="1:16" ht="21.75" customHeight="1" x14ac:dyDescent="0.35">
      <c r="A406" s="162"/>
      <c r="B406" s="163"/>
      <c r="C406" s="163"/>
      <c r="D406" s="172"/>
      <c r="E406" s="165"/>
      <c r="F406" s="165"/>
      <c r="G406" s="380" t="s">
        <v>130</v>
      </c>
      <c r="H406" s="167" t="s">
        <v>12</v>
      </c>
      <c r="I406" s="168"/>
      <c r="J406" s="168"/>
      <c r="K406" s="169"/>
      <c r="L406" s="176">
        <f ca="1">IFERROR(__xludf.DUMMYFUNCTION("IMPORTRANGE(""https://docs.google.com/spreadsheets/d/1IYY_tgx_IHuhSq3AJ5eI5OnqOPBNLWSHKh2a30DoXe8/edit?usp=sharing"",""นครศรีธรรมราช!L301"")"),114760)</f>
        <v>114760</v>
      </c>
      <c r="M406" s="176"/>
      <c r="N406" s="176">
        <f ca="1">IFERROR(__xludf.DUMMYFUNCTION("IMPORTRANGE(""https://docs.google.com/spreadsheets/d/1IYY_tgx_IHuhSq3AJ5eI5OnqOPBNLWSHKh2a30DoXe8/edit?usp=sharing"",""นครศรีธรรมราช!M301"")"),31520)</f>
        <v>31520</v>
      </c>
      <c r="O406" s="176">
        <f t="shared" ca="1" si="112"/>
        <v>27.466016033461138</v>
      </c>
      <c r="P406" s="176"/>
    </row>
    <row r="407" spans="1:16" ht="21.75" customHeight="1" x14ac:dyDescent="0.35">
      <c r="A407" s="381"/>
      <c r="B407" s="382"/>
      <c r="C407" s="163"/>
      <c r="D407" s="383"/>
      <c r="E407" s="165"/>
      <c r="F407" s="165"/>
      <c r="G407" s="384" t="s">
        <v>131</v>
      </c>
      <c r="H407" s="167" t="s">
        <v>12</v>
      </c>
      <c r="I407" s="195"/>
      <c r="J407" s="195"/>
      <c r="K407" s="231"/>
      <c r="L407" s="176"/>
      <c r="M407" s="176"/>
      <c r="N407" s="385">
        <f ca="1">IFERROR(__xludf.DUMMYFUNCTION("IMPORTRANGE(""https://docs.google.com/spreadsheets/d/1IYY_tgx_IHuhSq3AJ5eI5OnqOPBNLWSHKh2a30DoXe8/edit?usp=sharing"",""นครศรีธรรมราช!M302"")"),30000)</f>
        <v>30000</v>
      </c>
      <c r="O407" s="176"/>
      <c r="P407" s="176"/>
    </row>
    <row r="408" spans="1:16" ht="21.75" customHeight="1" x14ac:dyDescent="0.35">
      <c r="A408" s="381"/>
      <c r="B408" s="382"/>
      <c r="C408" s="163"/>
      <c r="D408" s="383"/>
      <c r="E408" s="165"/>
      <c r="F408" s="165"/>
      <c r="G408" s="384" t="s">
        <v>132</v>
      </c>
      <c r="H408" s="167" t="s">
        <v>12</v>
      </c>
      <c r="I408" s="195"/>
      <c r="J408" s="195"/>
      <c r="K408" s="231"/>
      <c r="L408" s="176"/>
      <c r="M408" s="176"/>
      <c r="N408" s="385">
        <f ca="1">IFERROR(__xludf.DUMMYFUNCTION("IMPORTRANGE(""https://docs.google.com/spreadsheets/d/1IYY_tgx_IHuhSq3AJ5eI5OnqOPBNLWSHKh2a30DoXe8/edit?usp=sharing"",""นครศรีธรรมราช!M303"")"),0)</f>
        <v>0</v>
      </c>
      <c r="O408" s="176"/>
      <c r="P408" s="176"/>
    </row>
    <row r="409" spans="1:16" ht="21.75" customHeight="1" x14ac:dyDescent="0.35">
      <c r="A409" s="381"/>
      <c r="B409" s="382"/>
      <c r="C409" s="163"/>
      <c r="D409" s="383"/>
      <c r="E409" s="165"/>
      <c r="F409" s="165"/>
      <c r="G409" s="384" t="s">
        <v>133</v>
      </c>
      <c r="H409" s="167" t="s">
        <v>12</v>
      </c>
      <c r="I409" s="195"/>
      <c r="J409" s="195"/>
      <c r="K409" s="231"/>
      <c r="L409" s="176"/>
      <c r="M409" s="176"/>
      <c r="N409" s="385">
        <f ca="1">IFERROR(__xludf.DUMMYFUNCTION("IMPORTRANGE(""https://docs.google.com/spreadsheets/d/1IYY_tgx_IHuhSq3AJ5eI5OnqOPBNLWSHKh2a30DoXe8/edit?usp=sharing"",""นครศรีธรรมราช!M304"")"),0)</f>
        <v>0</v>
      </c>
      <c r="O409" s="176"/>
      <c r="P409" s="176"/>
    </row>
    <row r="410" spans="1:16" ht="21.75" customHeight="1" x14ac:dyDescent="0.35">
      <c r="A410" s="381"/>
      <c r="B410" s="382"/>
      <c r="C410" s="163"/>
      <c r="D410" s="383"/>
      <c r="E410" s="165"/>
      <c r="F410" s="165"/>
      <c r="G410" s="384" t="s">
        <v>134</v>
      </c>
      <c r="H410" s="167" t="s">
        <v>12</v>
      </c>
      <c r="I410" s="195"/>
      <c r="J410" s="195"/>
      <c r="K410" s="231"/>
      <c r="L410" s="176"/>
      <c r="M410" s="176"/>
      <c r="N410" s="385">
        <f ca="1">IFERROR(__xludf.DUMMYFUNCTION("IMPORTRANGE(""https://docs.google.com/spreadsheets/d/1IYY_tgx_IHuhSq3AJ5eI5OnqOPBNLWSHKh2a30DoXe8/edit?usp=sharing"",""นครศรีธรรมราช!M305"")"),1520)</f>
        <v>1520</v>
      </c>
      <c r="O410" s="176"/>
      <c r="P410" s="176"/>
    </row>
    <row r="411" spans="1:16" ht="21.75" customHeight="1" x14ac:dyDescent="0.35">
      <c r="A411" s="183"/>
      <c r="B411" s="184"/>
      <c r="C411" s="163" t="s">
        <v>16</v>
      </c>
      <c r="D411" s="185" t="s">
        <v>44</v>
      </c>
      <c r="E411" s="186"/>
      <c r="F411" s="186"/>
      <c r="G411" s="187"/>
      <c r="H411" s="188"/>
      <c r="I411" s="168"/>
      <c r="J411" s="168"/>
      <c r="K411" s="169"/>
      <c r="L411" s="189"/>
      <c r="M411" s="189"/>
      <c r="N411" s="189"/>
      <c r="O411" s="189"/>
      <c r="P411" s="189"/>
    </row>
    <row r="412" spans="1:16" ht="21.75" customHeight="1" x14ac:dyDescent="0.35">
      <c r="A412" s="183"/>
      <c r="B412" s="184"/>
      <c r="C412" s="184"/>
      <c r="D412" s="190">
        <v>1</v>
      </c>
      <c r="E412" s="191" t="s">
        <v>45</v>
      </c>
      <c r="F412" s="192"/>
      <c r="G412" s="193"/>
      <c r="H412" s="194"/>
      <c r="I412" s="195"/>
      <c r="J412" s="205">
        <f ca="1">IFERROR(__xludf.DUMMYFUNCTION("IMPORTRANGE(""https://docs.google.com/spreadsheets/d/1IYY_tgx_IHuhSq3AJ5eI5OnqOPBNLWSHKh2a30DoXe8/edit?usp=sharing"",""นครศรีธรรมราช!J307"")"),0)</f>
        <v>0</v>
      </c>
      <c r="K412" s="169"/>
      <c r="L412" s="189"/>
      <c r="M412" s="189"/>
      <c r="N412" s="189"/>
      <c r="O412" s="189"/>
      <c r="P412" s="189"/>
    </row>
    <row r="413" spans="1:16" ht="21.75" customHeight="1" x14ac:dyDescent="0.35">
      <c r="A413" s="183"/>
      <c r="B413" s="184"/>
      <c r="C413" s="184"/>
      <c r="D413" s="197">
        <v>2</v>
      </c>
      <c r="E413" s="198" t="s">
        <v>46</v>
      </c>
      <c r="F413" s="199"/>
      <c r="G413" s="200"/>
      <c r="H413" s="194"/>
      <c r="I413" s="195"/>
      <c r="J413" s="196">
        <f ca="1">IFERROR(__xludf.DUMMYFUNCTION("IMPORTRANGE(""https://docs.google.com/spreadsheets/d/1IYY_tgx_IHuhSq3AJ5eI5OnqOPBNLWSHKh2a30DoXe8/edit?usp=sharing"",""นครศรีธรรมราช!J308"")"),1)</f>
        <v>1</v>
      </c>
      <c r="K413" s="169"/>
      <c r="L413" s="189" t="s">
        <v>40</v>
      </c>
      <c r="M413" s="189"/>
      <c r="N413" s="189" t="s">
        <v>40</v>
      </c>
      <c r="O413" s="189"/>
      <c r="P413" s="189"/>
    </row>
    <row r="414" spans="1:16" ht="21.75" customHeight="1" x14ac:dyDescent="0.35">
      <c r="A414" s="183"/>
      <c r="B414" s="184"/>
      <c r="C414" s="184"/>
      <c r="D414" s="201"/>
      <c r="E414" s="202" t="s">
        <v>47</v>
      </c>
      <c r="F414" s="203"/>
      <c r="G414" s="204"/>
      <c r="H414" s="194"/>
      <c r="I414" s="195"/>
      <c r="J414" s="196">
        <f ca="1">IFERROR(__xludf.DUMMYFUNCTION("IMPORTRANGE(""https://docs.google.com/spreadsheets/d/1IYY_tgx_IHuhSq3AJ5eI5OnqOPBNLWSHKh2a30DoXe8/edit?usp=sharing"",""นครศรีธรรมราช!J309"")"),1)</f>
        <v>1</v>
      </c>
      <c r="K414" s="169"/>
      <c r="L414" s="189"/>
      <c r="M414" s="189"/>
      <c r="N414" s="189"/>
      <c r="O414" s="189"/>
      <c r="P414" s="189"/>
    </row>
    <row r="415" spans="1:16" ht="21.75" customHeight="1" x14ac:dyDescent="0.35">
      <c r="A415" s="183"/>
      <c r="B415" s="184"/>
      <c r="C415" s="184"/>
      <c r="D415" s="201"/>
      <c r="E415" s="202" t="s">
        <v>48</v>
      </c>
      <c r="F415" s="203"/>
      <c r="G415" s="204"/>
      <c r="H415" s="194"/>
      <c r="I415" s="195"/>
      <c r="J415" s="205">
        <f ca="1">IFERROR(__xludf.DUMMYFUNCTION("IMPORTRANGE(""https://docs.google.com/spreadsheets/d/1IYY_tgx_IHuhSq3AJ5eI5OnqOPBNLWSHKh2a30DoXe8/edit?usp=sharing"",""นครศรีธรรมราช!J310"")"),1)</f>
        <v>1</v>
      </c>
      <c r="K415" s="169"/>
      <c r="L415" s="189"/>
      <c r="M415" s="189"/>
      <c r="N415" s="189"/>
      <c r="O415" s="189"/>
      <c r="P415" s="189"/>
    </row>
    <row r="416" spans="1:16" ht="21.75" customHeight="1" x14ac:dyDescent="0.35">
      <c r="A416" s="183"/>
      <c r="B416" s="184"/>
      <c r="C416" s="184"/>
      <c r="D416" s="201"/>
      <c r="E416" s="206"/>
      <c r="F416" s="202" t="s">
        <v>70</v>
      </c>
      <c r="G416" s="394"/>
      <c r="H416" s="395" t="s">
        <v>37</v>
      </c>
      <c r="I416" s="208">
        <f ca="1">IFERROR(__xludf.DUMMYFUNCTION("IMPORTRANGE(""https://docs.google.com/spreadsheets/d/1IYY_tgx_IHuhSq3AJ5eI5OnqOPBNLWSHKh2a30DoXe8/edit?usp=sharing"",""นครศรีธรรมราช!I311"")"),40)</f>
        <v>40</v>
      </c>
      <c r="J416" s="208">
        <f ca="1">IFERROR(__xludf.DUMMYFUNCTION("IMPORTRANGE(""https://docs.google.com/spreadsheets/d/1IYY_tgx_IHuhSq3AJ5eI5OnqOPBNLWSHKh2a30DoXe8/edit?usp=sharing"",""นครศรีธรรมราช!J311"")"),0)</f>
        <v>0</v>
      </c>
      <c r="K416" s="209">
        <f t="shared" ref="K416:K432" ca="1" si="113">IF(I416&gt;0,J416*100/I416,0)</f>
        <v>0</v>
      </c>
      <c r="L416" s="189"/>
      <c r="M416" s="189"/>
      <c r="N416" s="189"/>
      <c r="O416" s="189"/>
      <c r="P416" s="189"/>
    </row>
    <row r="417" spans="1:16" ht="21.75" customHeight="1" x14ac:dyDescent="0.45">
      <c r="A417" s="183"/>
      <c r="B417" s="184"/>
      <c r="C417" s="184"/>
      <c r="D417" s="201"/>
      <c r="E417" s="206"/>
      <c r="F417" s="396" t="s">
        <v>148</v>
      </c>
      <c r="G417" s="204"/>
      <c r="H417" s="207" t="s">
        <v>37</v>
      </c>
      <c r="I417" s="397">
        <f ca="1">IFERROR(__xludf.DUMMYFUNCTION("IMPORTRANGE(""https://docs.google.com/spreadsheets/d/1IYY_tgx_IHuhSq3AJ5eI5OnqOPBNLWSHKh2a30DoXe8/edit?usp=sharing"",""นครศรีธรรมราช!I312"")"),0)</f>
        <v>0</v>
      </c>
      <c r="J417" s="398">
        <f ca="1">IFERROR(__xludf.DUMMYFUNCTION("IMPORTRANGE(""https://docs.google.com/spreadsheets/d/1IYY_tgx_IHuhSq3AJ5eI5OnqOPBNLWSHKh2a30DoXe8/edit?usp=sharing"",""นครศรีธรรมราช!J312"")"),0)</f>
        <v>0</v>
      </c>
      <c r="K417" s="209">
        <f t="shared" ca="1" si="113"/>
        <v>0</v>
      </c>
      <c r="L417" s="189"/>
      <c r="M417" s="189"/>
      <c r="N417" s="189"/>
      <c r="O417" s="189"/>
      <c r="P417" s="189"/>
    </row>
    <row r="418" spans="1:16" ht="21.75" customHeight="1" x14ac:dyDescent="0.45">
      <c r="A418" s="183"/>
      <c r="B418" s="184"/>
      <c r="C418" s="184"/>
      <c r="D418" s="201"/>
      <c r="E418" s="206"/>
      <c r="F418" s="203"/>
      <c r="G418" s="204"/>
      <c r="H418" s="207" t="s">
        <v>122</v>
      </c>
      <c r="I418" s="397">
        <f ca="1">IFERROR(__xludf.DUMMYFUNCTION("IMPORTRANGE(""https://docs.google.com/spreadsheets/d/1IYY_tgx_IHuhSq3AJ5eI5OnqOPBNLWSHKh2a30DoXe8/edit?usp=sharing"",""นครศรีธรรมราช!I313"")"),0)</f>
        <v>0</v>
      </c>
      <c r="J418" s="399">
        <f ca="1">IFERROR(__xludf.DUMMYFUNCTION("IMPORTRANGE(""https://docs.google.com/spreadsheets/d/1IYY_tgx_IHuhSq3AJ5eI5OnqOPBNLWSHKh2a30DoXe8/edit?usp=sharing"",""นครศรีธรรมราช!J313"")"),0)</f>
        <v>0</v>
      </c>
      <c r="K418" s="209">
        <f t="shared" ca="1" si="113"/>
        <v>0</v>
      </c>
      <c r="L418" s="189"/>
      <c r="M418" s="189"/>
      <c r="N418" s="189"/>
      <c r="O418" s="189"/>
      <c r="P418" s="189"/>
    </row>
    <row r="419" spans="1:16" ht="21.75" customHeight="1" x14ac:dyDescent="0.45">
      <c r="A419" s="183"/>
      <c r="B419" s="184"/>
      <c r="C419" s="184"/>
      <c r="D419" s="201"/>
      <c r="E419" s="206"/>
      <c r="F419" s="203"/>
      <c r="G419" s="233" t="s">
        <v>149</v>
      </c>
      <c r="H419" s="188" t="s">
        <v>37</v>
      </c>
      <c r="I419" s="347">
        <f ca="1">IFERROR(__xludf.DUMMYFUNCTION("IMPORTRANGE(""https://docs.google.com/spreadsheets/d/1IYY_tgx_IHuhSq3AJ5eI5OnqOPBNLWSHKh2a30DoXe8/edit?usp=sharing"",""นครศรีธรรมราช!I314"")"),0)</f>
        <v>0</v>
      </c>
      <c r="J419" s="400">
        <f ca="1">IFERROR(__xludf.DUMMYFUNCTION("IMPORTRANGE(""https://docs.google.com/spreadsheets/d/1IYY_tgx_IHuhSq3AJ5eI5OnqOPBNLWSHKh2a30DoXe8/edit?usp=sharing"",""นครศรีธรรมราช!J314"")"),0)</f>
        <v>0</v>
      </c>
      <c r="K419" s="169">
        <f t="shared" ca="1" si="113"/>
        <v>0</v>
      </c>
      <c r="L419" s="189"/>
      <c r="M419" s="189"/>
      <c r="N419" s="189"/>
      <c r="O419" s="189"/>
      <c r="P419" s="189"/>
    </row>
    <row r="420" spans="1:16" ht="21.75" customHeight="1" x14ac:dyDescent="0.45">
      <c r="A420" s="241"/>
      <c r="B420" s="242"/>
      <c r="C420" s="242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IFERROR(__xludf.DUMMYFUNCTION("IMPORTRANGE(""https://docs.google.com/spreadsheets/d/1IYY_tgx_IHuhSq3AJ5eI5OnqOPBNLWSHKh2a30DoXe8/edit?usp=sharing"",""นครศรีธรรมราช!I315"")"),0)</f>
        <v>0</v>
      </c>
      <c r="J420" s="400">
        <f ca="1">IFERROR(__xludf.DUMMYFUNCTION("IMPORTRANGE(""https://docs.google.com/spreadsheets/d/1IYY_tgx_IHuhSq3AJ5eI5OnqOPBNLWSHKh2a30DoXe8/edit?usp=sharing"",""นครศรีธรรมราช!J315"")"),0)</f>
        <v>0</v>
      </c>
      <c r="K420" s="294">
        <f t="shared" ca="1" si="113"/>
        <v>0</v>
      </c>
      <c r="L420" s="252"/>
      <c r="M420" s="252"/>
      <c r="N420" s="252"/>
      <c r="O420" s="252"/>
      <c r="P420" s="252"/>
    </row>
    <row r="421" spans="1:16" ht="21.75" customHeight="1" x14ac:dyDescent="0.45">
      <c r="A421" s="183"/>
      <c r="B421" s="184"/>
      <c r="C421" s="184"/>
      <c r="D421" s="201"/>
      <c r="E421" s="206"/>
      <c r="F421" s="396" t="s">
        <v>151</v>
      </c>
      <c r="G421" s="204"/>
      <c r="H421" s="207" t="s">
        <v>37</v>
      </c>
      <c r="I421" s="397">
        <f ca="1">IFERROR(__xludf.DUMMYFUNCTION("IMPORTRANGE(""https://docs.google.com/spreadsheets/d/1IYY_tgx_IHuhSq3AJ5eI5OnqOPBNLWSHKh2a30DoXe8/edit?usp=sharing"",""นครศรีธรรมราช!I316"")"),20)</f>
        <v>20</v>
      </c>
      <c r="J421" s="398">
        <f ca="1">IFERROR(__xludf.DUMMYFUNCTION("IMPORTRANGE(""https://docs.google.com/spreadsheets/d/1IYY_tgx_IHuhSq3AJ5eI5OnqOPBNLWSHKh2a30DoXe8/edit?usp=sharing"",""นครศรีธรรมราช!J316"")"),0)</f>
        <v>0</v>
      </c>
      <c r="K421" s="209">
        <f t="shared" ca="1" si="113"/>
        <v>0</v>
      </c>
      <c r="L421" s="189"/>
      <c r="M421" s="189"/>
      <c r="N421" s="189"/>
      <c r="O421" s="189"/>
      <c r="P421" s="189"/>
    </row>
    <row r="422" spans="1:16" ht="21.75" customHeight="1" x14ac:dyDescent="0.45">
      <c r="A422" s="183"/>
      <c r="B422" s="184"/>
      <c r="C422" s="184"/>
      <c r="D422" s="201"/>
      <c r="E422" s="206"/>
      <c r="F422" s="203"/>
      <c r="G422" s="204"/>
      <c r="H422" s="207" t="s">
        <v>122</v>
      </c>
      <c r="I422" s="397">
        <f ca="1">IFERROR(__xludf.DUMMYFUNCTION("IMPORTRANGE(""https://docs.google.com/spreadsheets/d/1IYY_tgx_IHuhSq3AJ5eI5OnqOPBNLWSHKh2a30DoXe8/edit?usp=sharing"",""นครศรีธรรมราช!I317"")"),60)</f>
        <v>60</v>
      </c>
      <c r="J422" s="399">
        <f ca="1">IFERROR(__xludf.DUMMYFUNCTION("IMPORTRANGE(""https://docs.google.com/spreadsheets/d/1IYY_tgx_IHuhSq3AJ5eI5OnqOPBNLWSHKh2a30DoXe8/edit?usp=sharing"",""นครศรีธรรมราช!J317"")"),0)</f>
        <v>0</v>
      </c>
      <c r="K422" s="209">
        <f t="shared" ca="1" si="113"/>
        <v>0</v>
      </c>
      <c r="L422" s="189"/>
      <c r="M422" s="189"/>
      <c r="N422" s="189"/>
      <c r="O422" s="189"/>
      <c r="P422" s="189"/>
    </row>
    <row r="423" spans="1:16" ht="21.75" customHeight="1" x14ac:dyDescent="0.45">
      <c r="A423" s="183"/>
      <c r="B423" s="184"/>
      <c r="C423" s="184"/>
      <c r="D423" s="201"/>
      <c r="E423" s="206"/>
      <c r="F423" s="203"/>
      <c r="G423" s="233" t="s">
        <v>152</v>
      </c>
      <c r="H423" s="188" t="s">
        <v>37</v>
      </c>
      <c r="I423" s="347">
        <f ca="1">IFERROR(__xludf.DUMMYFUNCTION("IMPORTRANGE(""https://docs.google.com/spreadsheets/d/1IYY_tgx_IHuhSq3AJ5eI5OnqOPBNLWSHKh2a30DoXe8/edit?usp=sharing"",""นครศรีธรรมราช!I318"")"),20)</f>
        <v>20</v>
      </c>
      <c r="J423" s="400">
        <f ca="1">IFERROR(__xludf.DUMMYFUNCTION("IMPORTRANGE(""https://docs.google.com/spreadsheets/d/1IYY_tgx_IHuhSq3AJ5eI5OnqOPBNLWSHKh2a30DoXe8/edit?usp=sharing"",""นครศรีธรรมราช!J318"")"),20)</f>
        <v>20</v>
      </c>
      <c r="K423" s="169">
        <f t="shared" ca="1" si="113"/>
        <v>100</v>
      </c>
      <c r="L423" s="189"/>
      <c r="M423" s="189"/>
      <c r="N423" s="189"/>
      <c r="O423" s="189"/>
      <c r="P423" s="189"/>
    </row>
    <row r="424" spans="1:16" ht="21.75" customHeight="1" x14ac:dyDescent="0.45">
      <c r="A424" s="183"/>
      <c r="B424" s="184"/>
      <c r="C424" s="184"/>
      <c r="D424" s="201"/>
      <c r="E424" s="206"/>
      <c r="F424" s="203"/>
      <c r="G424" s="233" t="s">
        <v>153</v>
      </c>
      <c r="H424" s="188" t="s">
        <v>37</v>
      </c>
      <c r="I424" s="347">
        <f ca="1">IFERROR(__xludf.DUMMYFUNCTION("IMPORTRANGE(""https://docs.google.com/spreadsheets/d/1IYY_tgx_IHuhSq3AJ5eI5OnqOPBNLWSHKh2a30DoXe8/edit?usp=sharing"",""นครศรีธรรมราช!I319"")"),20)</f>
        <v>20</v>
      </c>
      <c r="J424" s="400">
        <f ca="1">IFERROR(__xludf.DUMMYFUNCTION("IMPORTRANGE(""https://docs.google.com/spreadsheets/d/1IYY_tgx_IHuhSq3AJ5eI5OnqOPBNLWSHKh2a30DoXe8/edit?usp=sharing"",""นครศรีธรรมราช!J319"")"),20)</f>
        <v>20</v>
      </c>
      <c r="K424" s="169">
        <f t="shared" ca="1" si="113"/>
        <v>100</v>
      </c>
      <c r="L424" s="189"/>
      <c r="M424" s="189"/>
      <c r="N424" s="189"/>
      <c r="O424" s="189"/>
      <c r="P424" s="189"/>
    </row>
    <row r="425" spans="1:16" ht="21.75" customHeight="1" x14ac:dyDescent="0.45">
      <c r="A425" s="183"/>
      <c r="B425" s="184"/>
      <c r="C425" s="184"/>
      <c r="D425" s="201"/>
      <c r="E425" s="206"/>
      <c r="F425" s="203"/>
      <c r="G425" s="233" t="s">
        <v>154</v>
      </c>
      <c r="H425" s="188" t="s">
        <v>37</v>
      </c>
      <c r="I425" s="347">
        <f ca="1">IFERROR(__xludf.DUMMYFUNCTION("IMPORTRANGE(""https://docs.google.com/spreadsheets/d/1IYY_tgx_IHuhSq3AJ5eI5OnqOPBNLWSHKh2a30DoXe8/edit?usp=sharing"",""นครศรีธรรมราช!I320"")"),20)</f>
        <v>20</v>
      </c>
      <c r="J425" s="400">
        <f ca="1">IFERROR(__xludf.DUMMYFUNCTION("IMPORTRANGE(""https://docs.google.com/spreadsheets/d/1IYY_tgx_IHuhSq3AJ5eI5OnqOPBNLWSHKh2a30DoXe8/edit?usp=sharing"",""นครศรีธรรมราช!J320"")"),0)</f>
        <v>0</v>
      </c>
      <c r="K425" s="169">
        <f t="shared" ca="1" si="113"/>
        <v>0</v>
      </c>
      <c r="L425" s="189"/>
      <c r="M425" s="189"/>
      <c r="N425" s="189"/>
      <c r="O425" s="189"/>
      <c r="P425" s="189"/>
    </row>
    <row r="426" spans="1:16" ht="21.75" customHeight="1" x14ac:dyDescent="0.45">
      <c r="A426" s="183"/>
      <c r="B426" s="184"/>
      <c r="C426" s="184"/>
      <c r="D426" s="201"/>
      <c r="E426" s="206"/>
      <c r="F426" s="405" t="s">
        <v>155</v>
      </c>
      <c r="G426" s="204"/>
      <c r="H426" s="207" t="s">
        <v>37</v>
      </c>
      <c r="I426" s="397">
        <f ca="1">IFERROR(__xludf.DUMMYFUNCTION("IMPORTRANGE(""https://docs.google.com/spreadsheets/d/1IYY_tgx_IHuhSq3AJ5eI5OnqOPBNLWSHKh2a30DoXe8/edit?usp=sharing"",""นครศรีธรรมราช!I321"")"),20)</f>
        <v>20</v>
      </c>
      <c r="J426" s="398">
        <f ca="1">IFERROR(__xludf.DUMMYFUNCTION("IMPORTRANGE(""https://docs.google.com/spreadsheets/d/1IYY_tgx_IHuhSq3AJ5eI5OnqOPBNLWSHKh2a30DoXe8/edit?usp=sharing"",""นครศรีธรรมราช!J321"")"),0)</f>
        <v>0</v>
      </c>
      <c r="K426" s="209">
        <f t="shared" ca="1" si="113"/>
        <v>0</v>
      </c>
      <c r="L426" s="189"/>
      <c r="M426" s="189"/>
      <c r="N426" s="189"/>
      <c r="O426" s="189"/>
      <c r="P426" s="189"/>
    </row>
    <row r="427" spans="1:16" ht="21.75" customHeight="1" x14ac:dyDescent="0.45">
      <c r="A427" s="183"/>
      <c r="B427" s="184"/>
      <c r="C427" s="184"/>
      <c r="D427" s="201"/>
      <c r="E427" s="206"/>
      <c r="F427" s="203"/>
      <c r="G427" s="204"/>
      <c r="H427" s="207" t="s">
        <v>122</v>
      </c>
      <c r="I427" s="397">
        <f ca="1">IFERROR(__xludf.DUMMYFUNCTION("IMPORTRANGE(""https://docs.google.com/spreadsheets/d/1IYY_tgx_IHuhSq3AJ5eI5OnqOPBNLWSHKh2a30DoXe8/edit?usp=sharing"",""นครศรีธรรมราช!I322"")"),60)</f>
        <v>60</v>
      </c>
      <c r="J427" s="399">
        <f ca="1">IFERROR(__xludf.DUMMYFUNCTION("IMPORTRANGE(""https://docs.google.com/spreadsheets/d/1IYY_tgx_IHuhSq3AJ5eI5OnqOPBNLWSHKh2a30DoXe8/edit?usp=sharing"",""นครศรีธรรมราช!J322"")"),0)</f>
        <v>0</v>
      </c>
      <c r="K427" s="209">
        <f t="shared" ca="1" si="113"/>
        <v>0</v>
      </c>
      <c r="L427" s="189"/>
      <c r="M427" s="189"/>
      <c r="N427" s="189"/>
      <c r="O427" s="189"/>
      <c r="P427" s="189"/>
    </row>
    <row r="428" spans="1:16" ht="21.75" customHeight="1" x14ac:dyDescent="0.45">
      <c r="A428" s="183"/>
      <c r="B428" s="184"/>
      <c r="C428" s="184"/>
      <c r="D428" s="201"/>
      <c r="E428" s="206"/>
      <c r="F428" s="203"/>
      <c r="G428" s="233" t="s">
        <v>156</v>
      </c>
      <c r="H428" s="188" t="s">
        <v>37</v>
      </c>
      <c r="I428" s="406">
        <f ca="1">IFERROR(__xludf.DUMMYFUNCTION("IMPORTRANGE(""https://docs.google.com/spreadsheets/d/1IYY_tgx_IHuhSq3AJ5eI5OnqOPBNLWSHKh2a30DoXe8/edit?usp=sharing"",""นครศรีธรรมราช!I323"")"),20)</f>
        <v>20</v>
      </c>
      <c r="J428" s="400">
        <f ca="1">IFERROR(__xludf.DUMMYFUNCTION("IMPORTRANGE(""https://docs.google.com/spreadsheets/d/1IYY_tgx_IHuhSq3AJ5eI5OnqOPBNLWSHKh2a30DoXe8/edit?usp=sharing"",""นครศรีธรรมราช!J323"")"),0)</f>
        <v>0</v>
      </c>
      <c r="K428" s="169">
        <f t="shared" ca="1" si="113"/>
        <v>0</v>
      </c>
      <c r="L428" s="189"/>
      <c r="M428" s="189"/>
      <c r="N428" s="189"/>
      <c r="O428" s="189"/>
      <c r="P428" s="189"/>
    </row>
    <row r="429" spans="1:16" ht="21.75" customHeight="1" x14ac:dyDescent="0.45">
      <c r="A429" s="183"/>
      <c r="B429" s="184"/>
      <c r="C429" s="184"/>
      <c r="D429" s="201"/>
      <c r="E429" s="206"/>
      <c r="F429" s="203"/>
      <c r="G429" s="233" t="s">
        <v>157</v>
      </c>
      <c r="H429" s="188" t="s">
        <v>37</v>
      </c>
      <c r="I429" s="406">
        <f ca="1">IFERROR(__xludf.DUMMYFUNCTION("IMPORTRANGE(""https://docs.google.com/spreadsheets/d/1IYY_tgx_IHuhSq3AJ5eI5OnqOPBNLWSHKh2a30DoXe8/edit?usp=sharing"",""นครศรีธรรมราช!I324"")"),20)</f>
        <v>20</v>
      </c>
      <c r="J429" s="400">
        <f ca="1">IFERROR(__xludf.DUMMYFUNCTION("IMPORTRANGE(""https://docs.google.com/spreadsheets/d/1IYY_tgx_IHuhSq3AJ5eI5OnqOPBNLWSHKh2a30DoXe8/edit?usp=sharing"",""นครศรีธรรมราช!J324"")"),0)</f>
        <v>0</v>
      </c>
      <c r="K429" s="169">
        <f t="shared" ca="1" si="113"/>
        <v>0</v>
      </c>
      <c r="L429" s="189"/>
      <c r="M429" s="189"/>
      <c r="N429" s="189"/>
      <c r="O429" s="189"/>
      <c r="P429" s="189"/>
    </row>
    <row r="430" spans="1:16" ht="21.75" customHeight="1" x14ac:dyDescent="0.45">
      <c r="A430" s="183"/>
      <c r="B430" s="184"/>
      <c r="C430" s="184"/>
      <c r="D430" s="201"/>
      <c r="E430" s="206"/>
      <c r="F430" s="202" t="s">
        <v>53</v>
      </c>
      <c r="G430" s="394"/>
      <c r="H430" s="407" t="s">
        <v>37</v>
      </c>
      <c r="I430" s="208">
        <f ca="1">IFERROR(__xludf.DUMMYFUNCTION("IMPORTRANGE(""https://docs.google.com/spreadsheets/d/1IYY_tgx_IHuhSq3AJ5eI5OnqOPBNLWSHKh2a30DoXe8/edit?usp=sharing"",""นครศรีธรรมราช!I325"")"),20)</f>
        <v>20</v>
      </c>
      <c r="J430" s="398">
        <f ca="1">IFERROR(__xludf.DUMMYFUNCTION("IMPORTRANGE(""https://docs.google.com/spreadsheets/d/1IYY_tgx_IHuhSq3AJ5eI5OnqOPBNLWSHKh2a30DoXe8/edit?usp=sharing"",""นครศรีธรรมราช!J325"")"),0)</f>
        <v>0</v>
      </c>
      <c r="K430" s="209">
        <f t="shared" ca="1" si="113"/>
        <v>0</v>
      </c>
      <c r="L430" s="189"/>
      <c r="M430" s="189"/>
      <c r="N430" s="189"/>
      <c r="O430" s="189"/>
      <c r="P430" s="189"/>
    </row>
    <row r="431" spans="1:16" ht="21.75" customHeight="1" x14ac:dyDescent="0.45">
      <c r="A431" s="408"/>
      <c r="B431" s="409"/>
      <c r="C431" s="409"/>
      <c r="D431" s="410"/>
      <c r="E431" s="206"/>
      <c r="F431" s="203"/>
      <c r="G431" s="233" t="s">
        <v>158</v>
      </c>
      <c r="H431" s="188" t="s">
        <v>37</v>
      </c>
      <c r="I431" s="406">
        <f ca="1">IFERROR(__xludf.DUMMYFUNCTION("IMPORTRANGE(""https://docs.google.com/spreadsheets/d/1IYY_tgx_IHuhSq3AJ5eI5OnqOPBNLWSHKh2a30DoXe8/edit?usp=sharing"",""นครศรีธรรมราช!I326"")"),0)</f>
        <v>0</v>
      </c>
      <c r="J431" s="400">
        <f ca="1">IFERROR(__xludf.DUMMYFUNCTION("IMPORTRANGE(""https://docs.google.com/spreadsheets/d/1IYY_tgx_IHuhSq3AJ5eI5OnqOPBNLWSHKh2a30DoXe8/edit?usp=sharing"",""นครศรีธรรมราช!J326"")"),0)</f>
        <v>0</v>
      </c>
      <c r="K431" s="169">
        <f t="shared" ca="1" si="113"/>
        <v>0</v>
      </c>
      <c r="L431" s="189"/>
      <c r="M431" s="189"/>
      <c r="N431" s="189"/>
      <c r="O431" s="189"/>
      <c r="P431" s="189"/>
    </row>
    <row r="432" spans="1:16" ht="21.75" customHeight="1" x14ac:dyDescent="0.45">
      <c r="A432" s="408"/>
      <c r="B432" s="409"/>
      <c r="C432" s="409"/>
      <c r="D432" s="410"/>
      <c r="E432" s="206"/>
      <c r="F432" s="203"/>
      <c r="G432" s="233" t="s">
        <v>159</v>
      </c>
      <c r="H432" s="188" t="s">
        <v>37</v>
      </c>
      <c r="I432" s="406">
        <f ca="1">IFERROR(__xludf.DUMMYFUNCTION("IMPORTRANGE(""https://docs.google.com/spreadsheets/d/1IYY_tgx_IHuhSq3AJ5eI5OnqOPBNLWSHKh2a30DoXe8/edit?usp=sharing"",""นครศรีธรรมราช!I327"")"),20)</f>
        <v>20</v>
      </c>
      <c r="J432" s="400">
        <f ca="1">IFERROR(__xludf.DUMMYFUNCTION("IMPORTRANGE(""https://docs.google.com/spreadsheets/d/1IYY_tgx_IHuhSq3AJ5eI5OnqOPBNLWSHKh2a30DoXe8/edit?usp=sharing"",""นครศรีธรรมราช!J327"")"),0)</f>
        <v>0</v>
      </c>
      <c r="K432" s="169">
        <f t="shared" ca="1" si="113"/>
        <v>0</v>
      </c>
      <c r="L432" s="189"/>
      <c r="M432" s="189"/>
      <c r="N432" s="189"/>
      <c r="O432" s="189"/>
      <c r="P432" s="189"/>
    </row>
    <row r="433" spans="1:16" ht="21.75" customHeight="1" x14ac:dyDescent="0.35">
      <c r="A433" s="183"/>
      <c r="B433" s="184"/>
      <c r="C433" s="184"/>
      <c r="D433" s="201"/>
      <c r="E433" s="202" t="s">
        <v>54</v>
      </c>
      <c r="F433" s="203"/>
      <c r="G433" s="204"/>
      <c r="H433" s="194"/>
      <c r="I433" s="195"/>
      <c r="J433" s="205">
        <f ca="1">IFERROR(__xludf.DUMMYFUNCTION("IMPORTRANGE(""https://docs.google.com/spreadsheets/d/1IYY_tgx_IHuhSq3AJ5eI5OnqOPBNLWSHKh2a30DoXe8/edit?usp=sharing"",""นครศรีธรรมราช!J328"")"),0)</f>
        <v>0</v>
      </c>
      <c r="K433" s="169"/>
      <c r="L433" s="189"/>
      <c r="M433" s="189"/>
      <c r="N433" s="189"/>
      <c r="O433" s="189"/>
      <c r="P433" s="189"/>
    </row>
    <row r="434" spans="1:16" ht="21.75" customHeight="1" x14ac:dyDescent="0.35">
      <c r="A434" s="183"/>
      <c r="B434" s="184"/>
      <c r="C434" s="184"/>
      <c r="D434" s="213">
        <v>3</v>
      </c>
      <c r="E434" s="214" t="s">
        <v>55</v>
      </c>
      <c r="F434" s="215"/>
      <c r="G434" s="216"/>
      <c r="H434" s="194"/>
      <c r="I434" s="195"/>
      <c r="J434" s="217">
        <f ca="1">IFERROR(__xludf.DUMMYFUNCTION("IMPORTRANGE(""https://docs.google.com/spreadsheets/d/1IYY_tgx_IHuhSq3AJ5eI5OnqOPBNLWSHKh2a30DoXe8/edit?usp=sharing"",""นครศรีธรรมราช!J329"")"),0)</f>
        <v>0</v>
      </c>
      <c r="K434" s="169"/>
      <c r="L434" s="189"/>
      <c r="M434" s="189"/>
      <c r="N434" s="189"/>
      <c r="O434" s="189"/>
      <c r="P434" s="189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IFERROR(__xludf.DUMMYFUNCTION("IMPORTRANGE(""https://docs.google.com/spreadsheets/d/1IYY_tgx_IHuhSq3AJ5eI5OnqOPBNLWSHKh2a30DoXe8/edit?usp=sharing"",""นครศรีธรรมราช!I330"")"),15)</f>
        <v>15</v>
      </c>
      <c r="J435" s="416">
        <f ca="1">IFERROR(__xludf.DUMMYFUNCTION("IMPORTRANGE(""https://docs.google.com/spreadsheets/d/1IYY_tgx_IHuhSq3AJ5eI5OnqOPBNLWSHKh2a30DoXe8/edit?usp=sharing"",""นครศรีธรรมราช!J330"")"),15)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IFERROR(__xludf.DUMMYFUNCTION("IMPORTRANGE(""https://docs.google.com/spreadsheets/d/1IYY_tgx_IHuhSq3AJ5eI5OnqOPBNLWSHKh2a30DoXe8/edit?usp=sharing"",""นครศรีธรรมราช!L330"")"),88000)</f>
        <v>88000</v>
      </c>
      <c r="M435" s="418"/>
      <c r="N435" s="418">
        <f ca="1">IFERROR(__xludf.DUMMYFUNCTION("IMPORTRANGE(""https://docs.google.com/spreadsheets/d/1IYY_tgx_IHuhSq3AJ5eI5OnqOPBNLWSHKh2a30DoXe8/edit?usp=sharing"",""นครศรีธรรมราช!M330"")"),17653)</f>
        <v>17653</v>
      </c>
      <c r="O435" s="418">
        <f t="shared" ref="O435:O439" ca="1" si="114">+IF(L435&gt;0,N435*100/L435,0)</f>
        <v>20.060227272727271</v>
      </c>
      <c r="P435" s="418"/>
    </row>
    <row r="436" spans="1:16" ht="21.75" customHeight="1" x14ac:dyDescent="0.35">
      <c r="A436" s="162"/>
      <c r="B436" s="163"/>
      <c r="C436" s="163" t="s">
        <v>16</v>
      </c>
      <c r="D436" s="164" t="s">
        <v>38</v>
      </c>
      <c r="E436" s="165"/>
      <c r="F436" s="165"/>
      <c r="G436" s="166" t="s">
        <v>39</v>
      </c>
      <c r="H436" s="167" t="s">
        <v>12</v>
      </c>
      <c r="I436" s="168" t="s">
        <v>40</v>
      </c>
      <c r="J436" s="168"/>
      <c r="K436" s="169"/>
      <c r="L436" s="170">
        <f ca="1">IFERROR(__xludf.DUMMYFUNCTION("IMPORTRANGE(""https://docs.google.com/spreadsheets/d/1IYY_tgx_IHuhSq3AJ5eI5OnqOPBNLWSHKh2a30DoXe8/edit?usp=sharing"",""นครศรีธรรมราช!L331"")"),0)</f>
        <v>0</v>
      </c>
      <c r="M436" s="170"/>
      <c r="N436" s="176">
        <f ca="1">IFERROR(__xludf.DUMMYFUNCTION("IMPORTRANGE(""https://docs.google.com/spreadsheets/d/1IYY_tgx_IHuhSq3AJ5eI5OnqOPBNLWSHKh2a30DoXe8/edit?usp=sharing"",""นครศรีธรรมราช!M331"")"),0)</f>
        <v>0</v>
      </c>
      <c r="O436" s="176">
        <f t="shared" ca="1" si="114"/>
        <v>0</v>
      </c>
      <c r="P436" s="176"/>
    </row>
    <row r="437" spans="1:16" ht="21.75" customHeight="1" x14ac:dyDescent="0.35">
      <c r="A437" s="162"/>
      <c r="B437" s="163"/>
      <c r="C437" s="163"/>
      <c r="D437" s="172"/>
      <c r="E437" s="165"/>
      <c r="F437" s="165" t="s">
        <v>40</v>
      </c>
      <c r="G437" s="166" t="s">
        <v>41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IFERROR(__xludf.DUMMYFUNCTION("IMPORTRANGE(""https://docs.google.com/spreadsheets/d/1IYY_tgx_IHuhSq3AJ5eI5OnqOPBNLWSHKh2a30DoXe8/edit?usp=sharing"",""นครศรีธรรมราช!L332"")"),88000)</f>
        <v>88000</v>
      </c>
      <c r="M437" s="171"/>
      <c r="N437" s="176">
        <f ca="1">IFERROR(__xludf.DUMMYFUNCTION("IMPORTRANGE(""https://docs.google.com/spreadsheets/d/1IYY_tgx_IHuhSq3AJ5eI5OnqOPBNLWSHKh2a30DoXe8/edit?usp=sharing"",""นครศรีธรรมราช!M332"")"),17653)</f>
        <v>17653</v>
      </c>
      <c r="O437" s="176">
        <f t="shared" ca="1" si="114"/>
        <v>20.060227272727271</v>
      </c>
      <c r="P437" s="176"/>
    </row>
    <row r="438" spans="1:16" ht="21.75" customHeight="1" x14ac:dyDescent="0.35">
      <c r="A438" s="162"/>
      <c r="B438" s="163"/>
      <c r="C438" s="163"/>
      <c r="D438" s="172"/>
      <c r="E438" s="165"/>
      <c r="F438" s="165"/>
      <c r="G438" s="380" t="s">
        <v>129</v>
      </c>
      <c r="H438" s="167" t="s">
        <v>12</v>
      </c>
      <c r="I438" s="168"/>
      <c r="J438" s="168"/>
      <c r="K438" s="169"/>
      <c r="L438" s="176">
        <f ca="1">IFERROR(__xludf.DUMMYFUNCTION("IMPORTRANGE(""https://docs.google.com/spreadsheets/d/1IYY_tgx_IHuhSq3AJ5eI5OnqOPBNLWSHKh2a30DoXe8/edit?usp=sharing"",""นครศรีธรรมราช!L333"")"),0)</f>
        <v>0</v>
      </c>
      <c r="M438" s="176"/>
      <c r="N438" s="176">
        <f ca="1">IFERROR(__xludf.DUMMYFUNCTION("IMPORTRANGE(""https://docs.google.com/spreadsheets/d/1IYY_tgx_IHuhSq3AJ5eI5OnqOPBNLWSHKh2a30DoXe8/edit?usp=sharing"",""นครศรีธรรมราช!M333"")"),0)</f>
        <v>0</v>
      </c>
      <c r="O438" s="176">
        <f t="shared" ca="1" si="114"/>
        <v>0</v>
      </c>
      <c r="P438" s="176"/>
    </row>
    <row r="439" spans="1:16" ht="21.75" customHeight="1" x14ac:dyDescent="0.35">
      <c r="A439" s="162"/>
      <c r="B439" s="163"/>
      <c r="C439" s="163"/>
      <c r="D439" s="172"/>
      <c r="E439" s="165"/>
      <c r="F439" s="165"/>
      <c r="G439" s="380" t="s">
        <v>130</v>
      </c>
      <c r="H439" s="167" t="s">
        <v>12</v>
      </c>
      <c r="I439" s="168"/>
      <c r="J439" s="168"/>
      <c r="K439" s="169"/>
      <c r="L439" s="176">
        <f ca="1">IFERROR(__xludf.DUMMYFUNCTION("IMPORTRANGE(""https://docs.google.com/spreadsheets/d/1IYY_tgx_IHuhSq3AJ5eI5OnqOPBNLWSHKh2a30DoXe8/edit?usp=sharing"",""นครศรีธรรมราช!L334"")"),88000)</f>
        <v>88000</v>
      </c>
      <c r="M439" s="176"/>
      <c r="N439" s="176">
        <f ca="1">IFERROR(__xludf.DUMMYFUNCTION("IMPORTRANGE(""https://docs.google.com/spreadsheets/d/1IYY_tgx_IHuhSq3AJ5eI5OnqOPBNLWSHKh2a30DoXe8/edit?usp=sharing"",""นครศรีธรรมราช!M334"")"),17653)</f>
        <v>17653</v>
      </c>
      <c r="O439" s="176">
        <f t="shared" ca="1" si="114"/>
        <v>20.060227272727271</v>
      </c>
      <c r="P439" s="176"/>
    </row>
    <row r="440" spans="1:16" ht="21.75" customHeight="1" x14ac:dyDescent="0.35">
      <c r="A440" s="381"/>
      <c r="B440" s="382"/>
      <c r="C440" s="163"/>
      <c r="D440" s="383"/>
      <c r="E440" s="165"/>
      <c r="F440" s="165"/>
      <c r="G440" s="384" t="s">
        <v>131</v>
      </c>
      <c r="H440" s="167" t="s">
        <v>12</v>
      </c>
      <c r="I440" s="195"/>
      <c r="J440" s="195"/>
      <c r="K440" s="231"/>
      <c r="L440" s="176"/>
      <c r="M440" s="176"/>
      <c r="N440" s="385">
        <f ca="1">IFERROR(__xludf.DUMMYFUNCTION("IMPORTRANGE(""https://docs.google.com/spreadsheets/d/1IYY_tgx_IHuhSq3AJ5eI5OnqOPBNLWSHKh2a30DoXe8/edit?usp=sharing"",""นครศรีธรรมราช!M335"")"),17653)</f>
        <v>17653</v>
      </c>
      <c r="O440" s="176"/>
      <c r="P440" s="176"/>
    </row>
    <row r="441" spans="1:16" ht="21.75" customHeight="1" x14ac:dyDescent="0.35">
      <c r="A441" s="381"/>
      <c r="B441" s="382"/>
      <c r="C441" s="163"/>
      <c r="D441" s="383"/>
      <c r="E441" s="165"/>
      <c r="F441" s="165"/>
      <c r="G441" s="384" t="s">
        <v>132</v>
      </c>
      <c r="H441" s="167" t="s">
        <v>12</v>
      </c>
      <c r="I441" s="195"/>
      <c r="J441" s="195"/>
      <c r="K441" s="231"/>
      <c r="L441" s="176"/>
      <c r="M441" s="176"/>
      <c r="N441" s="385">
        <f ca="1">IFERROR(__xludf.DUMMYFUNCTION("IMPORTRANGE(""https://docs.google.com/spreadsheets/d/1IYY_tgx_IHuhSq3AJ5eI5OnqOPBNLWSHKh2a30DoXe8/edit?usp=sharing"",""นครศรีธรรมราช!M336"")"),0)</f>
        <v>0</v>
      </c>
      <c r="O441" s="176"/>
      <c r="P441" s="176"/>
    </row>
    <row r="442" spans="1:16" ht="21.75" customHeight="1" x14ac:dyDescent="0.35">
      <c r="A442" s="381"/>
      <c r="B442" s="382"/>
      <c r="C442" s="163"/>
      <c r="D442" s="383"/>
      <c r="E442" s="165"/>
      <c r="F442" s="165"/>
      <c r="G442" s="384" t="s">
        <v>133</v>
      </c>
      <c r="H442" s="167" t="s">
        <v>12</v>
      </c>
      <c r="I442" s="195"/>
      <c r="J442" s="195"/>
      <c r="K442" s="231"/>
      <c r="L442" s="176"/>
      <c r="M442" s="176"/>
      <c r="N442" s="385">
        <f ca="1">IFERROR(__xludf.DUMMYFUNCTION("IMPORTRANGE(""https://docs.google.com/spreadsheets/d/1IYY_tgx_IHuhSq3AJ5eI5OnqOPBNLWSHKh2a30DoXe8/edit?usp=sharing"",""นครศรีธรรมราช!M337"")"),0)</f>
        <v>0</v>
      </c>
      <c r="O442" s="176"/>
      <c r="P442" s="176"/>
    </row>
    <row r="443" spans="1:16" ht="21.75" customHeight="1" x14ac:dyDescent="0.35">
      <c r="A443" s="381"/>
      <c r="B443" s="382"/>
      <c r="C443" s="163"/>
      <c r="D443" s="383"/>
      <c r="E443" s="165"/>
      <c r="F443" s="165"/>
      <c r="G443" s="384" t="s">
        <v>134</v>
      </c>
      <c r="H443" s="167" t="s">
        <v>12</v>
      </c>
      <c r="I443" s="195"/>
      <c r="J443" s="195"/>
      <c r="K443" s="231"/>
      <c r="L443" s="176"/>
      <c r="M443" s="176"/>
      <c r="N443" s="385">
        <f ca="1">IFERROR(__xludf.DUMMYFUNCTION("IMPORTRANGE(""https://docs.google.com/spreadsheets/d/1IYY_tgx_IHuhSq3AJ5eI5OnqOPBNLWSHKh2a30DoXe8/edit?usp=sharing"",""นครศรีธรรมราช!M338"")"),0)</f>
        <v>0</v>
      </c>
      <c r="O443" s="176"/>
      <c r="P443" s="176"/>
    </row>
    <row r="444" spans="1:16" ht="21.75" customHeight="1" x14ac:dyDescent="0.35">
      <c r="A444" s="183"/>
      <c r="B444" s="184"/>
      <c r="C444" s="163" t="s">
        <v>16</v>
      </c>
      <c r="D444" s="185" t="s">
        <v>44</v>
      </c>
      <c r="E444" s="186"/>
      <c r="F444" s="186"/>
      <c r="G444" s="187"/>
      <c r="H444" s="188"/>
      <c r="I444" s="168"/>
      <c r="J444" s="168"/>
      <c r="K444" s="169"/>
      <c r="L444" s="189"/>
      <c r="M444" s="189"/>
      <c r="N444" s="189"/>
      <c r="O444" s="189"/>
      <c r="P444" s="189"/>
    </row>
    <row r="445" spans="1:16" ht="21.75" customHeight="1" x14ac:dyDescent="0.35">
      <c r="A445" s="183"/>
      <c r="B445" s="184"/>
      <c r="C445" s="184"/>
      <c r="D445" s="190">
        <v>1</v>
      </c>
      <c r="E445" s="191" t="s">
        <v>45</v>
      </c>
      <c r="F445" s="192"/>
      <c r="G445" s="193"/>
      <c r="H445" s="194"/>
      <c r="I445" s="195"/>
      <c r="J445" s="217">
        <f ca="1">IFERROR(__xludf.DUMMYFUNCTION("IMPORTRANGE(""https://docs.google.com/spreadsheets/d/1IYY_tgx_IHuhSq3AJ5eI5OnqOPBNLWSHKh2a30DoXe8/edit?usp=sharing"",""นครศรีธรรมราช!J340"")"),0)</f>
        <v>0</v>
      </c>
      <c r="K445" s="169"/>
      <c r="L445" s="189"/>
      <c r="M445" s="189"/>
      <c r="N445" s="189"/>
      <c r="O445" s="189"/>
      <c r="P445" s="189"/>
    </row>
    <row r="446" spans="1:16" ht="21.75" customHeight="1" x14ac:dyDescent="0.35">
      <c r="A446" s="183"/>
      <c r="B446" s="184"/>
      <c r="C446" s="184"/>
      <c r="D446" s="197">
        <v>2</v>
      </c>
      <c r="E446" s="198" t="s">
        <v>46</v>
      </c>
      <c r="F446" s="199"/>
      <c r="G446" s="200"/>
      <c r="H446" s="194"/>
      <c r="I446" s="195"/>
      <c r="J446" s="419">
        <f ca="1">IFERROR(__xludf.DUMMYFUNCTION("IMPORTRANGE(""https://docs.google.com/spreadsheets/d/1IYY_tgx_IHuhSq3AJ5eI5OnqOPBNLWSHKh2a30DoXe8/edit?usp=sharing"",""นครศรีธรรมราช!J341"")"),1)</f>
        <v>1</v>
      </c>
      <c r="K446" s="169"/>
      <c r="L446" s="189" t="s">
        <v>40</v>
      </c>
      <c r="M446" s="189"/>
      <c r="N446" s="189" t="s">
        <v>40</v>
      </c>
      <c r="O446" s="189"/>
      <c r="P446" s="189"/>
    </row>
    <row r="447" spans="1:16" ht="21.75" customHeight="1" x14ac:dyDescent="0.35">
      <c r="A447" s="183"/>
      <c r="B447" s="184"/>
      <c r="C447" s="184"/>
      <c r="D447" s="201"/>
      <c r="E447" s="202" t="s">
        <v>161</v>
      </c>
      <c r="F447" s="203"/>
      <c r="G447" s="204"/>
      <c r="H447" s="194"/>
      <c r="I447" s="195"/>
      <c r="J447" s="196">
        <f ca="1">IFERROR(__xludf.DUMMYFUNCTION("IMPORTRANGE(""https://docs.google.com/spreadsheets/d/1IYY_tgx_IHuhSq3AJ5eI5OnqOPBNLWSHKh2a30DoXe8/edit?usp=sharing"",""นครศรีธรรมราช!J342"")"),1)</f>
        <v>1</v>
      </c>
      <c r="K447" s="169"/>
      <c r="L447" s="189"/>
      <c r="M447" s="189"/>
      <c r="N447" s="189"/>
      <c r="O447" s="189"/>
      <c r="P447" s="189"/>
    </row>
    <row r="448" spans="1:16" ht="21.75" customHeight="1" x14ac:dyDescent="0.35">
      <c r="A448" s="183"/>
      <c r="B448" s="184"/>
      <c r="C448" s="184"/>
      <c r="D448" s="201"/>
      <c r="E448" s="202" t="s">
        <v>48</v>
      </c>
      <c r="F448" s="203"/>
      <c r="G448" s="204"/>
      <c r="H448" s="194"/>
      <c r="I448" s="195"/>
      <c r="J448" s="196">
        <f ca="1">IFERROR(__xludf.DUMMYFUNCTION("IMPORTRANGE(""https://docs.google.com/spreadsheets/d/1IYY_tgx_IHuhSq3AJ5eI5OnqOPBNLWSHKh2a30DoXe8/edit?usp=sharing"",""นครศรีธรรมราช!J343"")"),1)</f>
        <v>1</v>
      </c>
      <c r="K448" s="169"/>
      <c r="L448" s="189"/>
      <c r="M448" s="189"/>
      <c r="N448" s="189"/>
      <c r="O448" s="189"/>
      <c r="P448" s="189"/>
    </row>
    <row r="449" spans="1:16" ht="21.75" customHeight="1" x14ac:dyDescent="0.35">
      <c r="A449" s="183"/>
      <c r="B449" s="184"/>
      <c r="C449" s="184"/>
      <c r="D449" s="201"/>
      <c r="E449" s="206"/>
      <c r="F449" s="420" t="s">
        <v>101</v>
      </c>
      <c r="G449" s="204"/>
      <c r="H449" s="194" t="s">
        <v>37</v>
      </c>
      <c r="I449" s="397">
        <f ca="1">IFERROR(__xludf.DUMMYFUNCTION("IMPORTRANGE(""https://docs.google.com/spreadsheets/d/1IYY_tgx_IHuhSq3AJ5eI5OnqOPBNLWSHKh2a30DoXe8/edit?usp=sharing"",""นครศรีธรรมราช!I344"")"),15)</f>
        <v>15</v>
      </c>
      <c r="J449" s="208">
        <f ca="1">IFERROR(__xludf.DUMMYFUNCTION("IMPORTRANGE(""https://docs.google.com/spreadsheets/d/1IYY_tgx_IHuhSq3AJ5eI5OnqOPBNLWSHKh2a30DoXe8/edit?usp=sharing"",""นครศรีธรรมราช!J344"")"),15)</f>
        <v>15</v>
      </c>
      <c r="K449" s="169">
        <f t="shared" ref="K449:K452" ca="1" si="115">IF(I449&gt;0,J449*100/I449,0)</f>
        <v>100</v>
      </c>
      <c r="L449" s="189"/>
      <c r="M449" s="189"/>
      <c r="N449" s="189"/>
      <c r="O449" s="189"/>
      <c r="P449" s="189"/>
    </row>
    <row r="450" spans="1:16" ht="21.75" customHeight="1" x14ac:dyDescent="0.35">
      <c r="A450" s="183"/>
      <c r="B450" s="184"/>
      <c r="C450" s="184"/>
      <c r="D450" s="201"/>
      <c r="E450" s="206"/>
      <c r="F450" s="203"/>
      <c r="G450" s="233" t="s">
        <v>162</v>
      </c>
      <c r="H450" s="194" t="s">
        <v>37</v>
      </c>
      <c r="I450" s="347">
        <f ca="1">IFERROR(__xludf.DUMMYFUNCTION("IMPORTRANGE(""https://docs.google.com/spreadsheets/d/1IYY_tgx_IHuhSq3AJ5eI5OnqOPBNLWSHKh2a30DoXe8/edit?usp=sharing"",""นครศรีธรรมราช!I345"")"),15)</f>
        <v>15</v>
      </c>
      <c r="J450" s="196">
        <f ca="1">IFERROR(__xludf.DUMMYFUNCTION("IMPORTRANGE(""https://docs.google.com/spreadsheets/d/1IYY_tgx_IHuhSq3AJ5eI5OnqOPBNLWSHKh2a30DoXe8/edit?usp=sharing"",""นครศรีธรรมราช!J345"")"),15)</f>
        <v>15</v>
      </c>
      <c r="K450" s="169">
        <f t="shared" ca="1" si="115"/>
        <v>100</v>
      </c>
      <c r="L450" s="189"/>
      <c r="M450" s="189"/>
      <c r="N450" s="189"/>
      <c r="O450" s="189"/>
      <c r="P450" s="189"/>
    </row>
    <row r="451" spans="1:16" ht="21.75" customHeight="1" x14ac:dyDescent="0.35">
      <c r="A451" s="183"/>
      <c r="B451" s="184"/>
      <c r="C451" s="184"/>
      <c r="D451" s="201"/>
      <c r="E451" s="206"/>
      <c r="F451" s="203"/>
      <c r="G451" s="287" t="s">
        <v>163</v>
      </c>
      <c r="H451" s="194" t="s">
        <v>37</v>
      </c>
      <c r="I451" s="347">
        <f ca="1">IFERROR(__xludf.DUMMYFUNCTION("IMPORTRANGE(""https://docs.google.com/spreadsheets/d/1IYY_tgx_IHuhSq3AJ5eI5OnqOPBNLWSHKh2a30DoXe8/edit?usp=sharing"",""นครศรีธรรมราช!I346"")"),0)</f>
        <v>0</v>
      </c>
      <c r="J451" s="195">
        <f ca="1">IFERROR(__xludf.DUMMYFUNCTION("IMPORTRANGE(""https://docs.google.com/spreadsheets/d/1IYY_tgx_IHuhSq3AJ5eI5OnqOPBNLWSHKh2a30DoXe8/edit?usp=sharing"",""นครศรีธรรมราช!J346"")"),0)</f>
        <v>0</v>
      </c>
      <c r="K451" s="169">
        <f t="shared" ca="1" si="115"/>
        <v>0</v>
      </c>
      <c r="L451" s="189"/>
      <c r="M451" s="189"/>
      <c r="N451" s="189"/>
      <c r="O451" s="189"/>
      <c r="P451" s="189"/>
    </row>
    <row r="452" spans="1:16" ht="21.75" customHeight="1" x14ac:dyDescent="0.35">
      <c r="A452" s="183"/>
      <c r="B452" s="184"/>
      <c r="C452" s="184"/>
      <c r="D452" s="201"/>
      <c r="E452" s="206"/>
      <c r="F452" s="203"/>
      <c r="G452" s="204" t="s">
        <v>164</v>
      </c>
      <c r="H452" s="194" t="s">
        <v>37</v>
      </c>
      <c r="I452" s="195">
        <f ca="1">IFERROR(__xludf.DUMMYFUNCTION("IMPORTRANGE(""https://docs.google.com/spreadsheets/d/1IYY_tgx_IHuhSq3AJ5eI5OnqOPBNLWSHKh2a30DoXe8/edit?usp=sharing"",""นครศรีธรรมราช!I347"")"),0)</f>
        <v>0</v>
      </c>
      <c r="J452" s="195">
        <f ca="1">IFERROR(__xludf.DUMMYFUNCTION("IMPORTRANGE(""https://docs.google.com/spreadsheets/d/1IYY_tgx_IHuhSq3AJ5eI5OnqOPBNLWSHKh2a30DoXe8/edit?usp=sharing"",""นครศรีธรรมราช!J347"")"),0)</f>
        <v>0</v>
      </c>
      <c r="K452" s="169">
        <f t="shared" ca="1" si="115"/>
        <v>0</v>
      </c>
      <c r="L452" s="189"/>
      <c r="M452" s="189"/>
      <c r="N452" s="189"/>
      <c r="O452" s="189"/>
      <c r="P452" s="189"/>
    </row>
    <row r="453" spans="1:16" ht="21.75" customHeight="1" x14ac:dyDescent="0.35">
      <c r="A453" s="183"/>
      <c r="B453" s="184"/>
      <c r="C453" s="184"/>
      <c r="D453" s="201"/>
      <c r="E453" s="202" t="s">
        <v>54</v>
      </c>
      <c r="F453" s="203"/>
      <c r="G453" s="204"/>
      <c r="H453" s="194"/>
      <c r="I453" s="195"/>
      <c r="J453" s="205">
        <f ca="1">IFERROR(__xludf.DUMMYFUNCTION("IMPORTRANGE(""https://docs.google.com/spreadsheets/d/1IYY_tgx_IHuhSq3AJ5eI5OnqOPBNLWSHKh2a30DoXe8/edit?usp=sharing"",""นครศรีธรรมราช!J348"")"),0)</f>
        <v>0</v>
      </c>
      <c r="K453" s="169"/>
      <c r="L453" s="189"/>
      <c r="M453" s="189"/>
      <c r="N453" s="189"/>
      <c r="O453" s="189"/>
      <c r="P453" s="189"/>
    </row>
    <row r="454" spans="1:16" ht="21.75" customHeight="1" x14ac:dyDescent="0.35">
      <c r="A454" s="183"/>
      <c r="B454" s="184"/>
      <c r="C454" s="184"/>
      <c r="D454" s="213">
        <v>3</v>
      </c>
      <c r="E454" s="214" t="s">
        <v>55</v>
      </c>
      <c r="F454" s="215"/>
      <c r="G454" s="216"/>
      <c r="H454" s="194"/>
      <c r="I454" s="195"/>
      <c r="J454" s="217">
        <f ca="1">IFERROR(__xludf.DUMMYFUNCTION("IMPORTRANGE(""https://docs.google.com/spreadsheets/d/1IYY_tgx_IHuhSq3AJ5eI5OnqOPBNLWSHKh2a30DoXe8/edit?usp=sharing"",""นครศรีธรรมราช!J349"")"),0)</f>
        <v>0</v>
      </c>
      <c r="K454" s="169"/>
      <c r="L454" s="189"/>
      <c r="M454" s="189"/>
      <c r="N454" s="189"/>
      <c r="O454" s="189"/>
      <c r="P454" s="189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IFERROR(__xludf.DUMMYFUNCTION("IMPORTRANGE(""https://docs.google.com/spreadsheets/d/1IYY_tgx_IHuhSq3AJ5eI5OnqOPBNLWSHKh2a30DoXe8/edit?usp=sharing"",""นครศรีธรรมราช!I350"")"),49838)</f>
        <v>49838</v>
      </c>
      <c r="J455" s="377">
        <f ca="1">IFERROR(__xludf.DUMMYFUNCTION("IMPORTRANGE(""https://docs.google.com/spreadsheets/d/1IYY_tgx_IHuhSq3AJ5eI5OnqOPBNLWSHKh2a30DoXe8/edit?usp=sharing"",""นครศรีธรรมราช!J350"")"),0)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IFERROR(__xludf.DUMMYFUNCTION("IMPORTRANGE(""https://docs.google.com/spreadsheets/d/1IYY_tgx_IHuhSq3AJ5eI5OnqOPBNLWSHKh2a30DoXe8/edit?usp=sharing"",""นครศรีธรรมราช!L350"")"),452204)</f>
        <v>452204</v>
      </c>
      <c r="M455" s="379"/>
      <c r="N455" s="379">
        <f ca="1">IFERROR(__xludf.DUMMYFUNCTION("IMPORTRANGE(""https://docs.google.com/spreadsheets/d/1IYY_tgx_IHuhSq3AJ5eI5OnqOPBNLWSHKh2a30DoXe8/edit?usp=sharing"",""นครศรีธรรมราช!M350"")"),70233.87)</f>
        <v>70233.87</v>
      </c>
      <c r="O455" s="379">
        <f t="shared" ref="O455:O459" ca="1" si="116">+IF(L455&gt;0,N455*100/L455,0)</f>
        <v>15.531457041512239</v>
      </c>
      <c r="P455" s="379"/>
    </row>
    <row r="456" spans="1:16" ht="21.75" customHeight="1" x14ac:dyDescent="0.35">
      <c r="A456" s="162"/>
      <c r="B456" s="163"/>
      <c r="C456" s="163" t="s">
        <v>16</v>
      </c>
      <c r="D456" s="164" t="s">
        <v>38</v>
      </c>
      <c r="E456" s="165"/>
      <c r="F456" s="165"/>
      <c r="G456" s="166" t="s">
        <v>39</v>
      </c>
      <c r="H456" s="167" t="s">
        <v>12</v>
      </c>
      <c r="I456" s="168" t="s">
        <v>40</v>
      </c>
      <c r="J456" s="168"/>
      <c r="K456" s="169"/>
      <c r="L456" s="170">
        <f ca="1">IFERROR(__xludf.DUMMYFUNCTION("IMPORTRANGE(""https://docs.google.com/spreadsheets/d/1IYY_tgx_IHuhSq3AJ5eI5OnqOPBNLWSHKh2a30DoXe8/edit?usp=sharing"",""นครศรีธรรมราช!L351"")"),0)</f>
        <v>0</v>
      </c>
      <c r="M456" s="170"/>
      <c r="N456" s="176">
        <f ca="1">IFERROR(__xludf.DUMMYFUNCTION("IMPORTRANGE(""https://docs.google.com/spreadsheets/d/1IYY_tgx_IHuhSq3AJ5eI5OnqOPBNLWSHKh2a30DoXe8/edit?usp=sharing"",""นครศรีธรรมราช!M351"")"),0)</f>
        <v>0</v>
      </c>
      <c r="O456" s="176">
        <f t="shared" ca="1" si="116"/>
        <v>0</v>
      </c>
      <c r="P456" s="176"/>
    </row>
    <row r="457" spans="1:16" ht="21.75" customHeight="1" x14ac:dyDescent="0.35">
      <c r="A457" s="162"/>
      <c r="B457" s="163"/>
      <c r="C457" s="163"/>
      <c r="D457" s="172"/>
      <c r="E457" s="165"/>
      <c r="F457" s="165" t="s">
        <v>40</v>
      </c>
      <c r="G457" s="166" t="s">
        <v>41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IFERROR(__xludf.DUMMYFUNCTION("IMPORTRANGE(""https://docs.google.com/spreadsheets/d/1IYY_tgx_IHuhSq3AJ5eI5OnqOPBNLWSHKh2a30DoXe8/edit?usp=sharing"",""นครศรีธรรมราช!L352"")"),452204)</f>
        <v>452204</v>
      </c>
      <c r="M457" s="171"/>
      <c r="N457" s="176">
        <f ca="1">IFERROR(__xludf.DUMMYFUNCTION("IMPORTRANGE(""https://docs.google.com/spreadsheets/d/1IYY_tgx_IHuhSq3AJ5eI5OnqOPBNLWSHKh2a30DoXe8/edit?usp=sharing"",""นครศรีธรรมราช!M352"")"),70233.87)</f>
        <v>70233.87</v>
      </c>
      <c r="O457" s="176">
        <f t="shared" ca="1" si="116"/>
        <v>15.531457041512239</v>
      </c>
      <c r="P457" s="176"/>
    </row>
    <row r="458" spans="1:16" ht="21.75" customHeight="1" x14ac:dyDescent="0.35">
      <c r="A458" s="162"/>
      <c r="B458" s="163"/>
      <c r="C458" s="163"/>
      <c r="D458" s="172"/>
      <c r="E458" s="165"/>
      <c r="F458" s="165"/>
      <c r="G458" s="380" t="s">
        <v>129</v>
      </c>
      <c r="H458" s="167" t="s">
        <v>12</v>
      </c>
      <c r="I458" s="168"/>
      <c r="J458" s="168"/>
      <c r="K458" s="169"/>
      <c r="L458" s="176">
        <f ca="1">IFERROR(__xludf.DUMMYFUNCTION("IMPORTRANGE(""https://docs.google.com/spreadsheets/d/1IYY_tgx_IHuhSq3AJ5eI5OnqOPBNLWSHKh2a30DoXe8/edit?usp=sharing"",""นครศรีธรรมราช!L353"")"),0)</f>
        <v>0</v>
      </c>
      <c r="M458" s="176"/>
      <c r="N458" s="176">
        <f ca="1">IFERROR(__xludf.DUMMYFUNCTION("IMPORTRANGE(""https://docs.google.com/spreadsheets/d/1IYY_tgx_IHuhSq3AJ5eI5OnqOPBNLWSHKh2a30DoXe8/edit?usp=sharing"",""นครศรีธรรมราช!M353"")"),0)</f>
        <v>0</v>
      </c>
      <c r="O458" s="176">
        <f t="shared" ca="1" si="116"/>
        <v>0</v>
      </c>
      <c r="P458" s="176"/>
    </row>
    <row r="459" spans="1:16" ht="21.75" customHeight="1" x14ac:dyDescent="0.35">
      <c r="A459" s="162"/>
      <c r="B459" s="163"/>
      <c r="C459" s="163"/>
      <c r="D459" s="172"/>
      <c r="E459" s="165"/>
      <c r="F459" s="165"/>
      <c r="G459" s="380" t="s">
        <v>130</v>
      </c>
      <c r="H459" s="167" t="s">
        <v>12</v>
      </c>
      <c r="I459" s="168"/>
      <c r="J459" s="168"/>
      <c r="K459" s="169"/>
      <c r="L459" s="176">
        <f ca="1">IFERROR(__xludf.DUMMYFUNCTION("IMPORTRANGE(""https://docs.google.com/spreadsheets/d/1IYY_tgx_IHuhSq3AJ5eI5OnqOPBNLWSHKh2a30DoXe8/edit?usp=sharing"",""นครศรีธรรมราช!L354"")"),452204)</f>
        <v>452204</v>
      </c>
      <c r="M459" s="176"/>
      <c r="N459" s="176">
        <f ca="1">IFERROR(__xludf.DUMMYFUNCTION("IMPORTRANGE(""https://docs.google.com/spreadsheets/d/1IYY_tgx_IHuhSq3AJ5eI5OnqOPBNLWSHKh2a30DoXe8/edit?usp=sharing"",""นครศรีธรรมราช!M354"")"),70233.87)</f>
        <v>70233.87</v>
      </c>
      <c r="O459" s="176">
        <f t="shared" ca="1" si="116"/>
        <v>15.531457041512239</v>
      </c>
      <c r="P459" s="176"/>
    </row>
    <row r="460" spans="1:16" ht="21.75" customHeight="1" x14ac:dyDescent="0.35">
      <c r="A460" s="381"/>
      <c r="B460" s="382"/>
      <c r="C460" s="163"/>
      <c r="D460" s="383"/>
      <c r="E460" s="165"/>
      <c r="F460" s="165"/>
      <c r="G460" s="384" t="s">
        <v>131</v>
      </c>
      <c r="H460" s="167" t="s">
        <v>12</v>
      </c>
      <c r="I460" s="195"/>
      <c r="J460" s="195"/>
      <c r="K460" s="231"/>
      <c r="L460" s="176"/>
      <c r="M460" s="176"/>
      <c r="N460" s="173">
        <f ca="1">IFERROR(__xludf.DUMMYFUNCTION("IMPORTRANGE(""https://docs.google.com/spreadsheets/d/1IYY_tgx_IHuhSq3AJ5eI5OnqOPBNLWSHKh2a30DoXe8/edit?usp=sharing"",""นครศรีธรรมราช!M355"")"),0)</f>
        <v>0</v>
      </c>
      <c r="O460" s="176"/>
      <c r="P460" s="176"/>
    </row>
    <row r="461" spans="1:16" ht="21.75" customHeight="1" x14ac:dyDescent="0.35">
      <c r="A461" s="381"/>
      <c r="B461" s="382"/>
      <c r="C461" s="163"/>
      <c r="D461" s="383"/>
      <c r="E461" s="165"/>
      <c r="F461" s="165"/>
      <c r="G461" s="384" t="s">
        <v>132</v>
      </c>
      <c r="H461" s="167" t="s">
        <v>12</v>
      </c>
      <c r="I461" s="195"/>
      <c r="J461" s="195"/>
      <c r="K461" s="231"/>
      <c r="L461" s="176"/>
      <c r="M461" s="176"/>
      <c r="N461" s="173">
        <f ca="1">IFERROR(__xludf.DUMMYFUNCTION("IMPORTRANGE(""https://docs.google.com/spreadsheets/d/1IYY_tgx_IHuhSq3AJ5eI5OnqOPBNLWSHKh2a30DoXe8/edit?usp=sharing"",""นครศรีธรรมราช!M356"")"),0)</f>
        <v>0</v>
      </c>
      <c r="O461" s="176"/>
      <c r="P461" s="176"/>
    </row>
    <row r="462" spans="1:16" ht="21.75" customHeight="1" x14ac:dyDescent="0.35">
      <c r="A462" s="381"/>
      <c r="B462" s="382"/>
      <c r="C462" s="163"/>
      <c r="D462" s="383"/>
      <c r="E462" s="165"/>
      <c r="F462" s="165"/>
      <c r="G462" s="384" t="s">
        <v>133</v>
      </c>
      <c r="H462" s="167" t="s">
        <v>12</v>
      </c>
      <c r="I462" s="195"/>
      <c r="J462" s="195"/>
      <c r="K462" s="231"/>
      <c r="L462" s="176"/>
      <c r="M462" s="176"/>
      <c r="N462" s="385">
        <f ca="1">IFERROR(__xludf.DUMMYFUNCTION("IMPORTRANGE(""https://docs.google.com/spreadsheets/d/1IYY_tgx_IHuhSq3AJ5eI5OnqOPBNLWSHKh2a30DoXe8/edit?usp=sharing"",""นครศรีธรรมราช!M357"")"),35483.87)</f>
        <v>35483.870000000003</v>
      </c>
      <c r="O462" s="176"/>
      <c r="P462" s="176"/>
    </row>
    <row r="463" spans="1:16" ht="21.75" customHeight="1" x14ac:dyDescent="0.35">
      <c r="A463" s="381"/>
      <c r="B463" s="382"/>
      <c r="C463" s="163"/>
      <c r="D463" s="383"/>
      <c r="E463" s="165"/>
      <c r="F463" s="165"/>
      <c r="G463" s="384" t="s">
        <v>134</v>
      </c>
      <c r="H463" s="167" t="s">
        <v>12</v>
      </c>
      <c r="I463" s="195"/>
      <c r="J463" s="195"/>
      <c r="K463" s="231"/>
      <c r="L463" s="176"/>
      <c r="M463" s="176"/>
      <c r="N463" s="385">
        <f ca="1">IFERROR(__xludf.DUMMYFUNCTION("IMPORTRANGE(""https://docs.google.com/spreadsheets/d/1IYY_tgx_IHuhSq3AJ5eI5OnqOPBNLWSHKh2a30DoXe8/edit?usp=sharing"",""นครศรีธรรมราช!M358"")"),34750)</f>
        <v>34750</v>
      </c>
      <c r="O463" s="176"/>
      <c r="P463" s="176"/>
    </row>
    <row r="464" spans="1:16" ht="21.75" customHeight="1" x14ac:dyDescent="0.35">
      <c r="A464" s="183"/>
      <c r="B464" s="184"/>
      <c r="C464" s="421" t="s">
        <v>166</v>
      </c>
      <c r="D464" s="421"/>
      <c r="E464" s="422"/>
      <c r="F464" s="422"/>
      <c r="G464" s="423"/>
      <c r="H464" s="273" t="s">
        <v>122</v>
      </c>
      <c r="I464" s="274">
        <f ca="1">IFERROR(__xludf.DUMMYFUNCTION("IMPORTRANGE(""https://docs.google.com/spreadsheets/d/1IYY_tgx_IHuhSq3AJ5eI5OnqOPBNLWSHKh2a30DoXe8/edit?usp=sharing"",""นครศรีธรรมราช!I359"")"),49838)</f>
        <v>49838</v>
      </c>
      <c r="J464" s="274">
        <f ca="1">IFERROR(__xludf.DUMMYFUNCTION("IMPORTRANGE(""https://docs.google.com/spreadsheets/d/1IYY_tgx_IHuhSq3AJ5eI5OnqOPBNLWSHKh2a30DoXe8/edit?usp=sharing"",""นครศรีธรรมราช!J359"")"),0)</f>
        <v>0</v>
      </c>
      <c r="K464" s="275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1" t="s">
        <v>167</v>
      </c>
      <c r="F465" s="203"/>
      <c r="G465" s="204"/>
      <c r="H465" s="424" t="s">
        <v>122</v>
      </c>
      <c r="I465" s="425">
        <f ca="1">IFERROR(__xludf.DUMMYFUNCTION("IMPORTRANGE(""https://docs.google.com/spreadsheets/d/1IYY_tgx_IHuhSq3AJ5eI5OnqOPBNLWSHKh2a30DoXe8/edit?usp=sharing"",""นครศรีธรรมราช!I360"")"),49838)</f>
        <v>49838</v>
      </c>
      <c r="J465" s="426">
        <f ca="1">IFERROR(__xludf.DUMMYFUNCTION("IMPORTRANGE(""https://docs.google.com/spreadsheets/d/1IYY_tgx_IHuhSq3AJ5eI5OnqOPBNLWSHKh2a30DoXe8/edit?usp=sharing"",""นครศรีธรรมราช!J360"")"),13931)</f>
        <v>13931</v>
      </c>
      <c r="K465" s="209">
        <f t="shared" ca="1" si="117"/>
        <v>27.952566314860146</v>
      </c>
      <c r="L465" s="189"/>
      <c r="M465" s="189"/>
      <c r="N465" s="189"/>
      <c r="O465" s="189"/>
      <c r="P465" s="189"/>
    </row>
    <row r="466" spans="1:16" ht="21.75" customHeight="1" x14ac:dyDescent="0.35">
      <c r="A466" s="408"/>
      <c r="B466" s="409"/>
      <c r="C466" s="409"/>
      <c r="D466" s="410"/>
      <c r="E466" s="203"/>
      <c r="F466" s="203"/>
      <c r="G466" s="204"/>
      <c r="H466" s="424" t="s">
        <v>36</v>
      </c>
      <c r="I466" s="425">
        <f ca="1">IFERROR(__xludf.DUMMYFUNCTION("IMPORTRANGE(""https://docs.google.com/spreadsheets/d/1IYY_tgx_IHuhSq3AJ5eI5OnqOPBNLWSHKh2a30DoXe8/edit?usp=sharing"",""นครศรีธรรมราช!I361"")"),6576)</f>
        <v>6576</v>
      </c>
      <c r="J466" s="426">
        <f ca="1">IFERROR(__xludf.DUMMYFUNCTION("IMPORTRANGE(""https://docs.google.com/spreadsheets/d/1IYY_tgx_IHuhSq3AJ5eI5OnqOPBNLWSHKh2a30DoXe8/edit?usp=sharing"",""นครศรีธรรมราช!J361"")"),2086)</f>
        <v>2086</v>
      </c>
      <c r="K466" s="209">
        <f t="shared" ca="1" si="117"/>
        <v>31.721411192214113</v>
      </c>
      <c r="L466" s="189"/>
      <c r="M466" s="189"/>
      <c r="N466" s="189"/>
      <c r="O466" s="189"/>
      <c r="P466" s="189"/>
    </row>
    <row r="467" spans="1:16" ht="21.75" customHeight="1" x14ac:dyDescent="0.35">
      <c r="A467" s="408"/>
      <c r="B467" s="409"/>
      <c r="C467" s="409"/>
      <c r="D467" s="410"/>
      <c r="E467" s="203"/>
      <c r="F467" s="396" t="s">
        <v>168</v>
      </c>
      <c r="G467" s="427"/>
      <c r="H467" s="428" t="s">
        <v>122</v>
      </c>
      <c r="I467" s="210">
        <f ca="1">IFERROR(__xludf.DUMMYFUNCTION("IMPORTRANGE(""https://docs.google.com/spreadsheets/d/1IYY_tgx_IHuhSq3AJ5eI5OnqOPBNLWSHKh2a30DoXe8/edit?usp=sharing"",""นครศรีธรรมราช!I362"")"),0)</f>
        <v>0</v>
      </c>
      <c r="J467" s="196">
        <f ca="1">IFERROR(__xludf.DUMMYFUNCTION("IMPORTRANGE(""https://docs.google.com/spreadsheets/d/1IYY_tgx_IHuhSq3AJ5eI5OnqOPBNLWSHKh2a30DoXe8/edit?usp=sharing"",""นครศรีธรรมราช!J362"")"),13333)</f>
        <v>13333</v>
      </c>
      <c r="K467" s="169">
        <f t="shared" ca="1" si="117"/>
        <v>0</v>
      </c>
      <c r="L467" s="189"/>
      <c r="M467" s="189"/>
      <c r="N467" s="189"/>
      <c r="O467" s="189"/>
      <c r="P467" s="189"/>
    </row>
    <row r="468" spans="1:16" ht="21.75" customHeight="1" x14ac:dyDescent="0.35">
      <c r="A468" s="408"/>
      <c r="B468" s="409"/>
      <c r="C468" s="409"/>
      <c r="D468" s="410"/>
      <c r="E468" s="203"/>
      <c r="F468" s="203"/>
      <c r="G468" s="427"/>
      <c r="H468" s="428" t="s">
        <v>36</v>
      </c>
      <c r="I468" s="210">
        <f ca="1">IFERROR(__xludf.DUMMYFUNCTION("IMPORTRANGE(""https://docs.google.com/spreadsheets/d/1IYY_tgx_IHuhSq3AJ5eI5OnqOPBNLWSHKh2a30DoXe8/edit?usp=sharing"",""นครศรีธรรมราช!I363"")"),0)</f>
        <v>0</v>
      </c>
      <c r="J468" s="196">
        <f ca="1">IFERROR(__xludf.DUMMYFUNCTION("IMPORTRANGE(""https://docs.google.com/spreadsheets/d/1IYY_tgx_IHuhSq3AJ5eI5OnqOPBNLWSHKh2a30DoXe8/edit?usp=sharing"",""นครศรีธรรมราช!J363"")"),2020)</f>
        <v>2020</v>
      </c>
      <c r="K468" s="169">
        <f t="shared" ca="1" si="117"/>
        <v>0</v>
      </c>
      <c r="L468" s="189"/>
      <c r="M468" s="189"/>
      <c r="N468" s="189"/>
      <c r="O468" s="189"/>
      <c r="P468" s="189"/>
    </row>
    <row r="469" spans="1:16" ht="21.75" customHeight="1" x14ac:dyDescent="0.35">
      <c r="A469" s="408"/>
      <c r="B469" s="409"/>
      <c r="C469" s="409"/>
      <c r="D469" s="410"/>
      <c r="E469" s="203"/>
      <c r="F469" s="396" t="s">
        <v>169</v>
      </c>
      <c r="G469" s="427"/>
      <c r="H469" s="428" t="s">
        <v>122</v>
      </c>
      <c r="I469" s="210">
        <f ca="1">IFERROR(__xludf.DUMMYFUNCTION("IMPORTRANGE(""https://docs.google.com/spreadsheets/d/1IYY_tgx_IHuhSq3AJ5eI5OnqOPBNLWSHKh2a30DoXe8/edit?usp=sharing"",""นครศรีธรรมราช!I364"")"),0)</f>
        <v>0</v>
      </c>
      <c r="J469" s="196">
        <f ca="1">IFERROR(__xludf.DUMMYFUNCTION("IMPORTRANGE(""https://docs.google.com/spreadsheets/d/1IYY_tgx_IHuhSq3AJ5eI5OnqOPBNLWSHKh2a30DoXe8/edit?usp=sharing"",""นครศรีธรรมราช!J364"")"),314)</f>
        <v>314</v>
      </c>
      <c r="K469" s="169">
        <f t="shared" ca="1" si="117"/>
        <v>0</v>
      </c>
      <c r="L469" s="189"/>
      <c r="M469" s="189"/>
      <c r="N469" s="189"/>
      <c r="O469" s="189"/>
      <c r="P469" s="189"/>
    </row>
    <row r="470" spans="1:16" ht="21.75" customHeight="1" x14ac:dyDescent="0.35">
      <c r="A470" s="408"/>
      <c r="B470" s="409"/>
      <c r="C470" s="409"/>
      <c r="D470" s="410"/>
      <c r="E470" s="203"/>
      <c r="F470" s="203"/>
      <c r="G470" s="427"/>
      <c r="H470" s="428" t="s">
        <v>36</v>
      </c>
      <c r="I470" s="210">
        <f ca="1">IFERROR(__xludf.DUMMYFUNCTION("IMPORTRANGE(""https://docs.google.com/spreadsheets/d/1IYY_tgx_IHuhSq3AJ5eI5OnqOPBNLWSHKh2a30DoXe8/edit?usp=sharing"",""นครศรีธรรมราช!I365"")"),0)</f>
        <v>0</v>
      </c>
      <c r="J470" s="196">
        <f ca="1">IFERROR(__xludf.DUMMYFUNCTION("IMPORTRANGE(""https://docs.google.com/spreadsheets/d/1IYY_tgx_IHuhSq3AJ5eI5OnqOPBNLWSHKh2a30DoXe8/edit?usp=sharing"",""นครศรีธรรมราช!J365"")"),39)</f>
        <v>39</v>
      </c>
      <c r="K470" s="169">
        <f t="shared" ca="1" si="117"/>
        <v>0</v>
      </c>
      <c r="L470" s="189"/>
      <c r="M470" s="189"/>
      <c r="N470" s="189"/>
      <c r="O470" s="189"/>
      <c r="P470" s="189"/>
    </row>
    <row r="471" spans="1:16" ht="21.75" customHeight="1" x14ac:dyDescent="0.35">
      <c r="A471" s="408"/>
      <c r="B471" s="409"/>
      <c r="C471" s="409"/>
      <c r="D471" s="410"/>
      <c r="E471" s="203"/>
      <c r="F471" s="396" t="s">
        <v>170</v>
      </c>
      <c r="G471" s="427"/>
      <c r="H471" s="428" t="s">
        <v>122</v>
      </c>
      <c r="I471" s="210">
        <f ca="1">IFERROR(__xludf.DUMMYFUNCTION("IMPORTRANGE(""https://docs.google.com/spreadsheets/d/1IYY_tgx_IHuhSq3AJ5eI5OnqOPBNLWSHKh2a30DoXe8/edit?usp=sharing"",""นครศรีธรรมราช!I366"")"),0)</f>
        <v>0</v>
      </c>
      <c r="J471" s="196">
        <f ca="1">IFERROR(__xludf.DUMMYFUNCTION("IMPORTRANGE(""https://docs.google.com/spreadsheets/d/1IYY_tgx_IHuhSq3AJ5eI5OnqOPBNLWSHKh2a30DoXe8/edit?usp=sharing"",""นครศรีธรรมราช!J366"")"),284)</f>
        <v>284</v>
      </c>
      <c r="K471" s="169">
        <f t="shared" ca="1" si="117"/>
        <v>0</v>
      </c>
      <c r="L471" s="189"/>
      <c r="M471" s="189"/>
      <c r="N471" s="189"/>
      <c r="O471" s="189"/>
      <c r="P471" s="189"/>
    </row>
    <row r="472" spans="1:16" ht="21.75" customHeight="1" x14ac:dyDescent="0.35">
      <c r="A472" s="408"/>
      <c r="B472" s="409"/>
      <c r="C472" s="409"/>
      <c r="D472" s="410"/>
      <c r="E472" s="203"/>
      <c r="F472" s="203"/>
      <c r="G472" s="203"/>
      <c r="H472" s="428" t="s">
        <v>36</v>
      </c>
      <c r="I472" s="210">
        <f ca="1">IFERROR(__xludf.DUMMYFUNCTION("IMPORTRANGE(""https://docs.google.com/spreadsheets/d/1IYY_tgx_IHuhSq3AJ5eI5OnqOPBNLWSHKh2a30DoXe8/edit?usp=sharing"",""นครศรีธรรมราช!I367"")"),0)</f>
        <v>0</v>
      </c>
      <c r="J472" s="196">
        <f ca="1">IFERROR(__xludf.DUMMYFUNCTION("IMPORTRANGE(""https://docs.google.com/spreadsheets/d/1IYY_tgx_IHuhSq3AJ5eI5OnqOPBNLWSHKh2a30DoXe8/edit?usp=sharing"",""นครศรีธรรมราช!J367"")"),27)</f>
        <v>27</v>
      </c>
      <c r="K472" s="169">
        <f t="shared" ca="1" si="117"/>
        <v>0</v>
      </c>
      <c r="L472" s="189"/>
      <c r="M472" s="189"/>
      <c r="N472" s="189"/>
      <c r="O472" s="189"/>
      <c r="P472" s="189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3"/>
      <c r="G473" s="204"/>
      <c r="H473" s="424" t="s">
        <v>122</v>
      </c>
      <c r="I473" s="426">
        <f ca="1">IFERROR(__xludf.DUMMYFUNCTION("IMPORTRANGE(""https://docs.google.com/spreadsheets/d/1IYY_tgx_IHuhSq3AJ5eI5OnqOPBNLWSHKh2a30DoXe8/edit?usp=sharing"",""นครศรีธรรมราช!I368"")"),49838)</f>
        <v>49838</v>
      </c>
      <c r="J473" s="426">
        <f ca="1">IFERROR(__xludf.DUMMYFUNCTION("IMPORTRANGE(""https://docs.google.com/spreadsheets/d/1IYY_tgx_IHuhSq3AJ5eI5OnqOPBNLWSHKh2a30DoXe8/edit?usp=sharing"",""นครศรีธรรมราช!J368"")"),0)</f>
        <v>0</v>
      </c>
      <c r="K473" s="209">
        <f t="shared" ca="1" si="117"/>
        <v>0</v>
      </c>
      <c r="L473" s="189"/>
      <c r="M473" s="189"/>
      <c r="N473" s="189"/>
      <c r="O473" s="189"/>
      <c r="P473" s="189"/>
    </row>
    <row r="474" spans="1:16" ht="21.75" customHeight="1" x14ac:dyDescent="0.35">
      <c r="A474" s="408"/>
      <c r="B474" s="409"/>
      <c r="C474" s="409"/>
      <c r="D474" s="410"/>
      <c r="E474" s="203"/>
      <c r="F474" s="203"/>
      <c r="G474" s="204"/>
      <c r="H474" s="424" t="s">
        <v>36</v>
      </c>
      <c r="I474" s="425">
        <f ca="1">IFERROR(__xludf.DUMMYFUNCTION("IMPORTRANGE(""https://docs.google.com/spreadsheets/d/1IYY_tgx_IHuhSq3AJ5eI5OnqOPBNLWSHKh2a30DoXe8/edit?usp=sharing"",""นครศรีธรรมราช!I369"")"),6576)</f>
        <v>6576</v>
      </c>
      <c r="J474" s="426">
        <f ca="1">IFERROR(__xludf.DUMMYFUNCTION("IMPORTRANGE(""https://docs.google.com/spreadsheets/d/1IYY_tgx_IHuhSq3AJ5eI5OnqOPBNLWSHKh2a30DoXe8/edit?usp=sharing"",""นครศรีธรรมราช!J369"")"),0)</f>
        <v>0</v>
      </c>
      <c r="K474" s="169">
        <f t="shared" ca="1" si="117"/>
        <v>0</v>
      </c>
      <c r="L474" s="189"/>
      <c r="M474" s="189"/>
      <c r="N474" s="189"/>
      <c r="O474" s="189"/>
      <c r="P474" s="189"/>
    </row>
    <row r="475" spans="1:16" ht="21.75" customHeight="1" x14ac:dyDescent="0.35">
      <c r="A475" s="408"/>
      <c r="B475" s="409"/>
      <c r="C475" s="409"/>
      <c r="D475" s="410"/>
      <c r="E475" s="203"/>
      <c r="F475" s="202" t="s">
        <v>172</v>
      </c>
      <c r="G475" s="427"/>
      <c r="H475" s="428" t="s">
        <v>122</v>
      </c>
      <c r="I475" s="210">
        <f ca="1">IFERROR(__xludf.DUMMYFUNCTION("IMPORTRANGE(""https://docs.google.com/spreadsheets/d/1IYY_tgx_IHuhSq3AJ5eI5OnqOPBNLWSHKh2a30DoXe8/edit?usp=sharing"",""นครศรีธรรมราช!I370"")"),0)</f>
        <v>0</v>
      </c>
      <c r="J475" s="196">
        <f ca="1">IFERROR(__xludf.DUMMYFUNCTION("IMPORTRANGE(""https://docs.google.com/spreadsheets/d/1IYY_tgx_IHuhSq3AJ5eI5OnqOPBNLWSHKh2a30DoXe8/edit?usp=sharing"",""นครศรีธรรมราช!J370"")"),0)</f>
        <v>0</v>
      </c>
      <c r="K475" s="169">
        <f t="shared" ca="1" si="117"/>
        <v>0</v>
      </c>
      <c r="L475" s="189"/>
      <c r="M475" s="189"/>
      <c r="N475" s="189"/>
      <c r="O475" s="189"/>
      <c r="P475" s="189"/>
    </row>
    <row r="476" spans="1:16" ht="21.75" customHeight="1" x14ac:dyDescent="0.35">
      <c r="A476" s="408"/>
      <c r="B476" s="409"/>
      <c r="C476" s="409"/>
      <c r="D476" s="410"/>
      <c r="E476" s="203"/>
      <c r="F476" s="203"/>
      <c r="G476" s="427"/>
      <c r="H476" s="428" t="s">
        <v>36</v>
      </c>
      <c r="I476" s="210">
        <f ca="1">IFERROR(__xludf.DUMMYFUNCTION("IMPORTRANGE(""https://docs.google.com/spreadsheets/d/1IYY_tgx_IHuhSq3AJ5eI5OnqOPBNLWSHKh2a30DoXe8/edit?usp=sharing"",""นครศรีธรรมราช!I371"")"),0)</f>
        <v>0</v>
      </c>
      <c r="J476" s="196">
        <f ca="1">IFERROR(__xludf.DUMMYFUNCTION("IMPORTRANGE(""https://docs.google.com/spreadsheets/d/1IYY_tgx_IHuhSq3AJ5eI5OnqOPBNLWSHKh2a30DoXe8/edit?usp=sharing"",""นครศรีธรรมราช!J371"")"),0)</f>
        <v>0</v>
      </c>
      <c r="K476" s="169">
        <f t="shared" ca="1" si="117"/>
        <v>0</v>
      </c>
      <c r="L476" s="189"/>
      <c r="M476" s="189"/>
      <c r="N476" s="189"/>
      <c r="O476" s="189"/>
      <c r="P476" s="189"/>
    </row>
    <row r="477" spans="1:16" ht="21.75" customHeight="1" x14ac:dyDescent="0.35">
      <c r="A477" s="408"/>
      <c r="B477" s="409"/>
      <c r="C477" s="409"/>
      <c r="D477" s="410"/>
      <c r="E477" s="203"/>
      <c r="F477" s="202" t="s">
        <v>173</v>
      </c>
      <c r="G477" s="427"/>
      <c r="H477" s="428" t="s">
        <v>122</v>
      </c>
      <c r="I477" s="210">
        <f ca="1">IFERROR(__xludf.DUMMYFUNCTION("IMPORTRANGE(""https://docs.google.com/spreadsheets/d/1IYY_tgx_IHuhSq3AJ5eI5OnqOPBNLWSHKh2a30DoXe8/edit?usp=sharing"",""นครศรีธรรมราช!I372"")"),0)</f>
        <v>0</v>
      </c>
      <c r="J477" s="196">
        <f ca="1">IFERROR(__xludf.DUMMYFUNCTION("IMPORTRANGE(""https://docs.google.com/spreadsheets/d/1IYY_tgx_IHuhSq3AJ5eI5OnqOPBNLWSHKh2a30DoXe8/edit?usp=sharing"",""นครศรีธรรมราช!J372"")"),0)</f>
        <v>0</v>
      </c>
      <c r="K477" s="169">
        <f t="shared" ca="1" si="117"/>
        <v>0</v>
      </c>
      <c r="L477" s="189"/>
      <c r="M477" s="189"/>
      <c r="N477" s="189"/>
      <c r="O477" s="189"/>
      <c r="P477" s="189"/>
    </row>
    <row r="478" spans="1:16" ht="21.75" customHeight="1" x14ac:dyDescent="0.35">
      <c r="A478" s="408"/>
      <c r="B478" s="409"/>
      <c r="C478" s="409"/>
      <c r="D478" s="410"/>
      <c r="E478" s="203"/>
      <c r="F478" s="203"/>
      <c r="G478" s="427"/>
      <c r="H478" s="428" t="s">
        <v>36</v>
      </c>
      <c r="I478" s="210">
        <f ca="1">IFERROR(__xludf.DUMMYFUNCTION("IMPORTRANGE(""https://docs.google.com/spreadsheets/d/1IYY_tgx_IHuhSq3AJ5eI5OnqOPBNLWSHKh2a30DoXe8/edit?usp=sharing"",""นครศรีธรรมราช!I373"")"),0)</f>
        <v>0</v>
      </c>
      <c r="J478" s="196">
        <f ca="1">IFERROR(__xludf.DUMMYFUNCTION("IMPORTRANGE(""https://docs.google.com/spreadsheets/d/1IYY_tgx_IHuhSq3AJ5eI5OnqOPBNLWSHKh2a30DoXe8/edit?usp=sharing"",""นครศรีธรรมราช!J373"")"),0)</f>
        <v>0</v>
      </c>
      <c r="K478" s="169">
        <f t="shared" ca="1" si="117"/>
        <v>0</v>
      </c>
      <c r="L478" s="189"/>
      <c r="M478" s="189"/>
      <c r="N478" s="189"/>
      <c r="O478" s="189"/>
      <c r="P478" s="189"/>
    </row>
    <row r="479" spans="1:16" ht="21.75" customHeight="1" x14ac:dyDescent="0.35">
      <c r="A479" s="408"/>
      <c r="B479" s="409"/>
      <c r="C479" s="409"/>
      <c r="D479" s="410"/>
      <c r="E479" s="203"/>
      <c r="F479" s="202" t="s">
        <v>174</v>
      </c>
      <c r="G479" s="427"/>
      <c r="H479" s="428" t="s">
        <v>122</v>
      </c>
      <c r="I479" s="210">
        <f ca="1">IFERROR(__xludf.DUMMYFUNCTION("IMPORTRANGE(""https://docs.google.com/spreadsheets/d/1IYY_tgx_IHuhSq3AJ5eI5OnqOPBNLWSHKh2a30DoXe8/edit?usp=sharing"",""นครศรีธรรมราช!I374"")"),0)</f>
        <v>0</v>
      </c>
      <c r="J479" s="196">
        <f ca="1">IFERROR(__xludf.DUMMYFUNCTION("IMPORTRANGE(""https://docs.google.com/spreadsheets/d/1IYY_tgx_IHuhSq3AJ5eI5OnqOPBNLWSHKh2a30DoXe8/edit?usp=sharing"",""นครศรีธรรมราช!J374"")"),0)</f>
        <v>0</v>
      </c>
      <c r="K479" s="169">
        <f t="shared" ca="1" si="117"/>
        <v>0</v>
      </c>
      <c r="L479" s="189"/>
      <c r="M479" s="189"/>
      <c r="N479" s="189"/>
      <c r="O479" s="189"/>
      <c r="P479" s="189"/>
    </row>
    <row r="480" spans="1:16" ht="21.75" customHeight="1" x14ac:dyDescent="0.35">
      <c r="A480" s="408"/>
      <c r="B480" s="409"/>
      <c r="C480" s="409"/>
      <c r="D480" s="410"/>
      <c r="E480" s="203"/>
      <c r="F480" s="203"/>
      <c r="G480" s="204"/>
      <c r="H480" s="428" t="s">
        <v>36</v>
      </c>
      <c r="I480" s="210">
        <f ca="1">IFERROR(__xludf.DUMMYFUNCTION("IMPORTRANGE(""https://docs.google.com/spreadsheets/d/1IYY_tgx_IHuhSq3AJ5eI5OnqOPBNLWSHKh2a30DoXe8/edit?usp=sharing"",""นครศรีธรรมราช!I375"")"),0)</f>
        <v>0</v>
      </c>
      <c r="J480" s="196">
        <f ca="1">IFERROR(__xludf.DUMMYFUNCTION("IMPORTRANGE(""https://docs.google.com/spreadsheets/d/1IYY_tgx_IHuhSq3AJ5eI5OnqOPBNLWSHKh2a30DoXe8/edit?usp=sharing"",""นครศรีธรรมราช!J375"")"),0)</f>
        <v>0</v>
      </c>
      <c r="K480" s="169">
        <f t="shared" ca="1" si="117"/>
        <v>0</v>
      </c>
      <c r="L480" s="189"/>
      <c r="M480" s="189"/>
      <c r="N480" s="189"/>
      <c r="O480" s="189"/>
      <c r="P480" s="189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IFERROR(__xludf.DUMMYFUNCTION("IMPORTRANGE(""https://docs.google.com/spreadsheets/d/1IYY_tgx_IHuhSq3AJ5eI5OnqOPBNLWSHKh2a30DoXe8/edit?usp=sharing"",""นครศรีธรรมราช!I376"")"),49838)</f>
        <v>49838</v>
      </c>
      <c r="J481" s="426">
        <f ca="1">IFERROR(__xludf.DUMMYFUNCTION("IMPORTRANGE(""https://docs.google.com/spreadsheets/d/1IYY_tgx_IHuhSq3AJ5eI5OnqOPBNLWSHKh2a30DoXe8/edit?usp=sharing"",""นครศรีธรรมราช!J376"")"),0)</f>
        <v>0</v>
      </c>
      <c r="K481" s="209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3"/>
      <c r="F482" s="203"/>
      <c r="G482" s="204"/>
      <c r="H482" s="424" t="s">
        <v>36</v>
      </c>
      <c r="I482" s="425">
        <f ca="1">IFERROR(__xludf.DUMMYFUNCTION("IMPORTRANGE(""https://docs.google.com/spreadsheets/d/1IYY_tgx_IHuhSq3AJ5eI5OnqOPBNLWSHKh2a30DoXe8/edit?usp=sharing"",""นครศรีธรรมราช!I377"")"),6576)</f>
        <v>6576</v>
      </c>
      <c r="J482" s="426">
        <f ca="1">IFERROR(__xludf.DUMMYFUNCTION("IMPORTRANGE(""https://docs.google.com/spreadsheets/d/1IYY_tgx_IHuhSq3AJ5eI5OnqOPBNLWSHKh2a30DoXe8/edit?usp=sharing"",""นครศรีธรรมราช!J377"")"),0)</f>
        <v>0</v>
      </c>
      <c r="K482" s="169">
        <f t="shared" ca="1" si="117"/>
        <v>0</v>
      </c>
      <c r="L482" s="189"/>
      <c r="M482" s="189"/>
      <c r="N482" s="189"/>
      <c r="O482" s="189"/>
      <c r="P482" s="189"/>
    </row>
    <row r="483" spans="1:16" ht="21.75" customHeight="1" x14ac:dyDescent="0.35">
      <c r="A483" s="408"/>
      <c r="B483" s="409"/>
      <c r="C483" s="409"/>
      <c r="D483" s="410"/>
      <c r="E483" s="203"/>
      <c r="F483" s="202" t="s">
        <v>176</v>
      </c>
      <c r="G483" s="427"/>
      <c r="H483" s="428" t="s">
        <v>122</v>
      </c>
      <c r="I483" s="210">
        <f ca="1">IFERROR(__xludf.DUMMYFUNCTION("IMPORTRANGE(""https://docs.google.com/spreadsheets/d/1IYY_tgx_IHuhSq3AJ5eI5OnqOPBNLWSHKh2a30DoXe8/edit?usp=sharing"",""นครศรีธรรมราช!I378"")"),0)</f>
        <v>0</v>
      </c>
      <c r="J483" s="196">
        <f ca="1">IFERROR(__xludf.DUMMYFUNCTION("IMPORTRANGE(""https://docs.google.com/spreadsheets/d/1IYY_tgx_IHuhSq3AJ5eI5OnqOPBNLWSHKh2a30DoXe8/edit?usp=sharing"",""นครศรีธรรมราช!J378"")"),0)</f>
        <v>0</v>
      </c>
      <c r="K483" s="169">
        <f t="shared" ca="1" si="117"/>
        <v>0</v>
      </c>
      <c r="L483" s="189"/>
      <c r="M483" s="189"/>
      <c r="N483" s="189"/>
      <c r="O483" s="189"/>
      <c r="P483" s="189"/>
    </row>
    <row r="484" spans="1:16" ht="21.75" customHeight="1" x14ac:dyDescent="0.35">
      <c r="A484" s="408"/>
      <c r="B484" s="409"/>
      <c r="C484" s="409"/>
      <c r="D484" s="410"/>
      <c r="E484" s="203"/>
      <c r="F484" s="203"/>
      <c r="G484" s="427"/>
      <c r="H484" s="428" t="s">
        <v>36</v>
      </c>
      <c r="I484" s="210">
        <f ca="1">IFERROR(__xludf.DUMMYFUNCTION("IMPORTRANGE(""https://docs.google.com/spreadsheets/d/1IYY_tgx_IHuhSq3AJ5eI5OnqOPBNLWSHKh2a30DoXe8/edit?usp=sharing"",""นครศรีธรรมราช!I379"")"),0)</f>
        <v>0</v>
      </c>
      <c r="J484" s="196">
        <f ca="1">IFERROR(__xludf.DUMMYFUNCTION("IMPORTRANGE(""https://docs.google.com/spreadsheets/d/1IYY_tgx_IHuhSq3AJ5eI5OnqOPBNLWSHKh2a30DoXe8/edit?usp=sharing"",""นครศรีธรรมราช!J379"")"),0)</f>
        <v>0</v>
      </c>
      <c r="K484" s="169">
        <f t="shared" ca="1" si="117"/>
        <v>0</v>
      </c>
      <c r="L484" s="189"/>
      <c r="M484" s="189"/>
      <c r="N484" s="189"/>
      <c r="O484" s="189"/>
      <c r="P484" s="189"/>
    </row>
    <row r="485" spans="1:16" ht="21.75" customHeight="1" x14ac:dyDescent="0.35">
      <c r="A485" s="408"/>
      <c r="B485" s="409"/>
      <c r="C485" s="409"/>
      <c r="D485" s="410"/>
      <c r="E485" s="203"/>
      <c r="F485" s="202" t="s">
        <v>177</v>
      </c>
      <c r="G485" s="427"/>
      <c r="H485" s="428" t="s">
        <v>122</v>
      </c>
      <c r="I485" s="210">
        <f ca="1">IFERROR(__xludf.DUMMYFUNCTION("IMPORTRANGE(""https://docs.google.com/spreadsheets/d/1IYY_tgx_IHuhSq3AJ5eI5OnqOPBNLWSHKh2a30DoXe8/edit?usp=sharing"",""นครศรีธรรมราช!I380"")"),0)</f>
        <v>0</v>
      </c>
      <c r="J485" s="196">
        <f ca="1">IFERROR(__xludf.DUMMYFUNCTION("IMPORTRANGE(""https://docs.google.com/spreadsheets/d/1IYY_tgx_IHuhSq3AJ5eI5OnqOPBNLWSHKh2a30DoXe8/edit?usp=sharing"",""นครศรีธรรมราช!J380"")"),0)</f>
        <v>0</v>
      </c>
      <c r="K485" s="169">
        <f t="shared" ca="1" si="117"/>
        <v>0</v>
      </c>
      <c r="L485" s="189"/>
      <c r="M485" s="189"/>
      <c r="N485" s="189"/>
      <c r="O485" s="189"/>
      <c r="P485" s="189"/>
    </row>
    <row r="486" spans="1:16" ht="21.75" customHeight="1" x14ac:dyDescent="0.35">
      <c r="A486" s="408"/>
      <c r="B486" s="409"/>
      <c r="C486" s="409"/>
      <c r="D486" s="410"/>
      <c r="E486" s="203"/>
      <c r="F486" s="203"/>
      <c r="G486" s="427"/>
      <c r="H486" s="428" t="s">
        <v>36</v>
      </c>
      <c r="I486" s="210">
        <f ca="1">IFERROR(__xludf.DUMMYFUNCTION("IMPORTRANGE(""https://docs.google.com/spreadsheets/d/1IYY_tgx_IHuhSq3AJ5eI5OnqOPBNLWSHKh2a30DoXe8/edit?usp=sharing"",""นครศรีธรรมราช!I381"")"),0)</f>
        <v>0</v>
      </c>
      <c r="J486" s="196">
        <f ca="1">IFERROR(__xludf.DUMMYFUNCTION("IMPORTRANGE(""https://docs.google.com/spreadsheets/d/1IYY_tgx_IHuhSq3AJ5eI5OnqOPBNLWSHKh2a30DoXe8/edit?usp=sharing"",""นครศรีธรรมราช!J381"")"),0)</f>
        <v>0</v>
      </c>
      <c r="K486" s="169">
        <f t="shared" ca="1" si="117"/>
        <v>0</v>
      </c>
      <c r="L486" s="189"/>
      <c r="M486" s="189"/>
      <c r="N486" s="189"/>
      <c r="O486" s="189"/>
      <c r="P486" s="189"/>
    </row>
    <row r="487" spans="1:16" ht="21.75" customHeight="1" x14ac:dyDescent="0.35">
      <c r="A487" s="408"/>
      <c r="B487" s="409"/>
      <c r="C487" s="409"/>
      <c r="D487" s="410"/>
      <c r="E487" s="203"/>
      <c r="F487" s="202" t="s">
        <v>178</v>
      </c>
      <c r="G487" s="427"/>
      <c r="H487" s="428" t="s">
        <v>122</v>
      </c>
      <c r="I487" s="210">
        <f ca="1">IFERROR(__xludf.DUMMYFUNCTION("IMPORTRANGE(""https://docs.google.com/spreadsheets/d/1IYY_tgx_IHuhSq3AJ5eI5OnqOPBNLWSHKh2a30DoXe8/edit?usp=sharing"",""นครศรีธรรมราช!I382"")"),0)</f>
        <v>0</v>
      </c>
      <c r="J487" s="426">
        <f ca="1">IFERROR(__xludf.DUMMYFUNCTION("IMPORTRANGE(""https://docs.google.com/spreadsheets/d/1IYY_tgx_IHuhSq3AJ5eI5OnqOPBNLWSHKh2a30DoXe8/edit?usp=sharing"",""นครศรีธรรมราช!J382"")"),0)</f>
        <v>0</v>
      </c>
      <c r="K487" s="169">
        <f t="shared" ca="1" si="117"/>
        <v>0</v>
      </c>
      <c r="L487" s="189"/>
      <c r="M487" s="189"/>
      <c r="N487" s="189"/>
      <c r="O487" s="189"/>
      <c r="P487" s="189"/>
    </row>
    <row r="488" spans="1:16" ht="21.75" customHeight="1" x14ac:dyDescent="0.35">
      <c r="A488" s="408"/>
      <c r="B488" s="409"/>
      <c r="C488" s="409"/>
      <c r="D488" s="410"/>
      <c r="E488" s="203"/>
      <c r="F488" s="203"/>
      <c r="G488" s="203"/>
      <c r="H488" s="428" t="s">
        <v>36</v>
      </c>
      <c r="I488" s="210">
        <f ca="1">IFERROR(__xludf.DUMMYFUNCTION("IMPORTRANGE(""https://docs.google.com/spreadsheets/d/1IYY_tgx_IHuhSq3AJ5eI5OnqOPBNLWSHKh2a30DoXe8/edit?usp=sharing"",""นครศรีธรรมราช!I383"")"),0)</f>
        <v>0</v>
      </c>
      <c r="J488" s="426">
        <f ca="1">IFERROR(__xludf.DUMMYFUNCTION("IMPORTRANGE(""https://docs.google.com/spreadsheets/d/1IYY_tgx_IHuhSq3AJ5eI5OnqOPBNLWSHKh2a30DoXe8/edit?usp=sharing"",""นครศรีธรรมราช!J383"")"),0)</f>
        <v>0</v>
      </c>
      <c r="K488" s="169">
        <f t="shared" ca="1" si="117"/>
        <v>0</v>
      </c>
      <c r="L488" s="189"/>
      <c r="M488" s="189"/>
      <c r="N488" s="189"/>
      <c r="O488" s="189"/>
      <c r="P488" s="189"/>
    </row>
    <row r="489" spans="1:16" ht="21.75" customHeight="1" x14ac:dyDescent="0.35">
      <c r="A489" s="408"/>
      <c r="B489" s="409"/>
      <c r="C489" s="409"/>
      <c r="D489" s="410"/>
      <c r="E489" s="203"/>
      <c r="F489" s="203"/>
      <c r="G489" s="202" t="s">
        <v>179</v>
      </c>
      <c r="H489" s="428" t="s">
        <v>122</v>
      </c>
      <c r="I489" s="210">
        <f ca="1">IFERROR(__xludf.DUMMYFUNCTION("IMPORTRANGE(""https://docs.google.com/spreadsheets/d/1IYY_tgx_IHuhSq3AJ5eI5OnqOPBNLWSHKh2a30DoXe8/edit?usp=sharing"",""นครศรีธรรมราช!I384"")"),0)</f>
        <v>0</v>
      </c>
      <c r="J489" s="196">
        <f ca="1">IFERROR(__xludf.DUMMYFUNCTION("IMPORTRANGE(""https://docs.google.com/spreadsheets/d/1IYY_tgx_IHuhSq3AJ5eI5OnqOPBNLWSHKh2a30DoXe8/edit?usp=sharing"",""นครศรีธรรมราช!J384"")"),0)</f>
        <v>0</v>
      </c>
      <c r="K489" s="169">
        <f t="shared" ca="1" si="117"/>
        <v>0</v>
      </c>
      <c r="L489" s="189"/>
      <c r="M489" s="189"/>
      <c r="N489" s="189"/>
      <c r="O489" s="189"/>
      <c r="P489" s="189"/>
    </row>
    <row r="490" spans="1:16" ht="21.75" customHeight="1" x14ac:dyDescent="0.35">
      <c r="A490" s="408"/>
      <c r="B490" s="409"/>
      <c r="C490" s="409"/>
      <c r="D490" s="410"/>
      <c r="E490" s="203"/>
      <c r="F490" s="203"/>
      <c r="G490" s="203"/>
      <c r="H490" s="428" t="s">
        <v>36</v>
      </c>
      <c r="I490" s="210">
        <f ca="1">IFERROR(__xludf.DUMMYFUNCTION("IMPORTRANGE(""https://docs.google.com/spreadsheets/d/1IYY_tgx_IHuhSq3AJ5eI5OnqOPBNLWSHKh2a30DoXe8/edit?usp=sharing"",""นครศรีธรรมราช!I385"")"),0)</f>
        <v>0</v>
      </c>
      <c r="J490" s="196">
        <f ca="1">IFERROR(__xludf.DUMMYFUNCTION("IMPORTRANGE(""https://docs.google.com/spreadsheets/d/1IYY_tgx_IHuhSq3AJ5eI5OnqOPBNLWSHKh2a30DoXe8/edit?usp=sharing"",""นครศรีธรรมราช!J385"")"),0)</f>
        <v>0</v>
      </c>
      <c r="K490" s="169">
        <f t="shared" ca="1" si="117"/>
        <v>0</v>
      </c>
      <c r="L490" s="189"/>
      <c r="M490" s="189"/>
      <c r="N490" s="189"/>
      <c r="O490" s="189"/>
      <c r="P490" s="189"/>
    </row>
    <row r="491" spans="1:16" ht="21.75" customHeight="1" x14ac:dyDescent="0.35">
      <c r="A491" s="408"/>
      <c r="B491" s="409"/>
      <c r="C491" s="409"/>
      <c r="D491" s="410"/>
      <c r="E491" s="203"/>
      <c r="F491" s="203"/>
      <c r="G491" s="202" t="s">
        <v>180</v>
      </c>
      <c r="H491" s="428" t="s">
        <v>122</v>
      </c>
      <c r="I491" s="210">
        <f ca="1">IFERROR(__xludf.DUMMYFUNCTION("IMPORTRANGE(""https://docs.google.com/spreadsheets/d/1IYY_tgx_IHuhSq3AJ5eI5OnqOPBNLWSHKh2a30DoXe8/edit?usp=sharing"",""นครศรีธรรมราช!I386"")"),0)</f>
        <v>0</v>
      </c>
      <c r="J491" s="196">
        <f ca="1">IFERROR(__xludf.DUMMYFUNCTION("IMPORTRANGE(""https://docs.google.com/spreadsheets/d/1IYY_tgx_IHuhSq3AJ5eI5OnqOPBNLWSHKh2a30DoXe8/edit?usp=sharing"",""นครศรีธรรมราช!J386"")"),0)</f>
        <v>0</v>
      </c>
      <c r="K491" s="169">
        <f t="shared" ca="1" si="117"/>
        <v>0</v>
      </c>
      <c r="L491" s="189"/>
      <c r="M491" s="189"/>
      <c r="N491" s="189"/>
      <c r="O491" s="189"/>
      <c r="P491" s="189"/>
    </row>
    <row r="492" spans="1:16" ht="21.75" customHeight="1" x14ac:dyDescent="0.35">
      <c r="A492" s="408"/>
      <c r="B492" s="409"/>
      <c r="C492" s="409"/>
      <c r="D492" s="410"/>
      <c r="E492" s="203"/>
      <c r="F492" s="203"/>
      <c r="G492" s="204"/>
      <c r="H492" s="428" t="s">
        <v>36</v>
      </c>
      <c r="I492" s="210">
        <f ca="1">IFERROR(__xludf.DUMMYFUNCTION("IMPORTRANGE(""https://docs.google.com/spreadsheets/d/1IYY_tgx_IHuhSq3AJ5eI5OnqOPBNLWSHKh2a30DoXe8/edit?usp=sharing"",""นครศรีธรรมราช!I387"")"),0)</f>
        <v>0</v>
      </c>
      <c r="J492" s="196">
        <f ca="1">IFERROR(__xludf.DUMMYFUNCTION("IMPORTRANGE(""https://docs.google.com/spreadsheets/d/1IYY_tgx_IHuhSq3AJ5eI5OnqOPBNLWSHKh2a30DoXe8/edit?usp=sharing"",""นครศรีธรรมราช!J387"")"),0)</f>
        <v>0</v>
      </c>
      <c r="K492" s="169">
        <f t="shared" ca="1" si="117"/>
        <v>0</v>
      </c>
      <c r="L492" s="189"/>
      <c r="M492" s="189"/>
      <c r="N492" s="189"/>
      <c r="O492" s="189"/>
      <c r="P492" s="189"/>
    </row>
    <row r="493" spans="1:16" ht="21.75" customHeight="1" x14ac:dyDescent="0.35">
      <c r="A493" s="408"/>
      <c r="B493" s="409"/>
      <c r="C493" s="409"/>
      <c r="D493" s="410"/>
      <c r="E493" s="203"/>
      <c r="F493" s="202" t="s">
        <v>181</v>
      </c>
      <c r="G493" s="427"/>
      <c r="H493" s="428" t="s">
        <v>122</v>
      </c>
      <c r="I493" s="210">
        <f ca="1">IFERROR(__xludf.DUMMYFUNCTION("IMPORTRANGE(""https://docs.google.com/spreadsheets/d/1IYY_tgx_IHuhSq3AJ5eI5OnqOPBNLWSHKh2a30DoXe8/edit?usp=sharing"",""นครศรีธรรมราช!I388"")"),0)</f>
        <v>0</v>
      </c>
      <c r="J493" s="196">
        <f ca="1">IFERROR(__xludf.DUMMYFUNCTION("IMPORTRANGE(""https://docs.google.com/spreadsheets/d/1IYY_tgx_IHuhSq3AJ5eI5OnqOPBNLWSHKh2a30DoXe8/edit?usp=sharing"",""นครศรีธรรมราช!J388"")"),0)</f>
        <v>0</v>
      </c>
      <c r="K493" s="169">
        <f t="shared" ca="1" si="117"/>
        <v>0</v>
      </c>
      <c r="L493" s="189"/>
      <c r="M493" s="189"/>
      <c r="N493" s="189"/>
      <c r="O493" s="189"/>
      <c r="P493" s="189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IFERROR(__xludf.DUMMYFUNCTION("IMPORTRANGE(""https://docs.google.com/spreadsheets/d/1IYY_tgx_IHuhSq3AJ5eI5OnqOPBNLWSHKh2a30DoXe8/edit?usp=sharing"",""นครศรีธรรมราช!I389"")"),0)</f>
        <v>0</v>
      </c>
      <c r="J494" s="442">
        <f ca="1">IFERROR(__xludf.DUMMYFUNCTION("IMPORTRANGE(""https://docs.google.com/spreadsheets/d/1IYY_tgx_IHuhSq3AJ5eI5OnqOPBNLWSHKh2a30DoXe8/edit?usp=sharing"",""นครศรีธรรมราช!J389"")"),0)</f>
        <v>0</v>
      </c>
      <c r="K494" s="294">
        <f t="shared" ca="1" si="117"/>
        <v>0</v>
      </c>
      <c r="L494" s="252"/>
      <c r="M494" s="252"/>
      <c r="N494" s="252"/>
      <c r="O494" s="252"/>
      <c r="P494" s="252"/>
    </row>
    <row r="495" spans="1:16" ht="21.75" customHeight="1" x14ac:dyDescent="0.35">
      <c r="A495" s="408"/>
      <c r="B495" s="409"/>
      <c r="C495" s="409"/>
      <c r="D495" s="410"/>
      <c r="E495" s="203"/>
      <c r="F495" s="203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IFERROR(__xludf.DUMMYFUNCTION("IMPORTRANGE(""https://docs.google.com/spreadsheets/d/1IYY_tgx_IHuhSq3AJ5eI5OnqOPBNLWSHKh2a30DoXe8/edit?usp=sharing"",""นครศรีธรรมราช!I390"")"),0)</f>
        <v>0</v>
      </c>
      <c r="J495" s="442">
        <f ca="1">IFERROR(__xludf.DUMMYFUNCTION("IMPORTRANGE(""https://docs.google.com/spreadsheets/d/1IYY_tgx_IHuhSq3AJ5eI5OnqOPBNLWSHKh2a30DoXe8/edit?usp=sharing"",""นครศรีธรรมราช!J390"")"),0)</f>
        <v>0</v>
      </c>
      <c r="K495" s="169">
        <f t="shared" ca="1" si="117"/>
        <v>0</v>
      </c>
      <c r="L495" s="189"/>
      <c r="M495" s="189"/>
      <c r="N495" s="189"/>
      <c r="O495" s="189"/>
      <c r="P495" s="189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IFERROR(__xludf.DUMMYFUNCTION("IMPORTRANGE(""https://docs.google.com/spreadsheets/d/1IYY_tgx_IHuhSq3AJ5eI5OnqOPBNLWSHKh2a30DoXe8/edit?usp=sharing"",""นครศรีธรรมราช!I391"")"),0)</f>
        <v>0</v>
      </c>
      <c r="J496" s="442">
        <f ca="1">IFERROR(__xludf.DUMMYFUNCTION("IMPORTRANGE(""https://docs.google.com/spreadsheets/d/1IYY_tgx_IHuhSq3AJ5eI5OnqOPBNLWSHKh2a30DoXe8/edit?usp=sharing"",""นครศรีธรรมราช!J391"")"),0)</f>
        <v>0</v>
      </c>
      <c r="K496" s="294">
        <f t="shared" ca="1" si="117"/>
        <v>0</v>
      </c>
      <c r="L496" s="252"/>
      <c r="M496" s="252"/>
      <c r="N496" s="252"/>
      <c r="O496" s="252"/>
      <c r="P496" s="252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IFERROR(__xludf.DUMMYFUNCTION("IMPORTRANGE(""https://docs.google.com/spreadsheets/d/1IYY_tgx_IHuhSq3AJ5eI5OnqOPBNLWSHKh2a30DoXe8/edit?usp=sharing"",""นครศรีธรรมราช!I392"")"),0)</f>
        <v>0</v>
      </c>
      <c r="J497" s="449">
        <f ca="1">IFERROR(__xludf.DUMMYFUNCTION("IMPORTRANGE(""https://docs.google.com/spreadsheets/d/1IYY_tgx_IHuhSq3AJ5eI5OnqOPBNLWSHKh2a30DoXe8/edit?usp=sharing"",""นครศรีธรรมราช!J392"")"),0)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3"/>
      <c r="B498" s="184"/>
      <c r="C498" s="184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IFERROR(__xludf.DUMMYFUNCTION("IMPORTRANGE(""https://docs.google.com/spreadsheets/d/1IYY_tgx_IHuhSq3AJ5eI5OnqOPBNLWSHKh2a30DoXe8/edit?usp=sharing"",""นครศรีธรรมราช!I393"")"),0)</f>
        <v>0</v>
      </c>
      <c r="J498" s="426">
        <f ca="1">IFERROR(__xludf.DUMMYFUNCTION("IMPORTRANGE(""https://docs.google.com/spreadsheets/d/1IYY_tgx_IHuhSq3AJ5eI5OnqOPBNLWSHKh2a30DoXe8/edit?usp=sharing"",""นครศรีธรรมราช!J393"")"),0)</f>
        <v>0</v>
      </c>
      <c r="K498" s="169">
        <f t="shared" ca="1" si="117"/>
        <v>0</v>
      </c>
      <c r="L498" s="189"/>
      <c r="M498" s="189"/>
      <c r="N498" s="189"/>
      <c r="O498" s="189"/>
      <c r="P498" s="189"/>
    </row>
    <row r="499" spans="1:16" ht="21.75" customHeight="1" x14ac:dyDescent="0.35">
      <c r="A499" s="183"/>
      <c r="B499" s="184"/>
      <c r="C499" s="184"/>
      <c r="D499" s="201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IFERROR(__xludf.DUMMYFUNCTION("IMPORTRANGE(""https://docs.google.com/spreadsheets/d/1IYY_tgx_IHuhSq3AJ5eI5OnqOPBNLWSHKh2a30DoXe8/edit?usp=sharing"",""นครศรีธรรมราช!I394"")"),0)</f>
        <v>0</v>
      </c>
      <c r="J499" s="426">
        <f ca="1">IFERROR(__xludf.DUMMYFUNCTION("IMPORTRANGE(""https://docs.google.com/spreadsheets/d/1IYY_tgx_IHuhSq3AJ5eI5OnqOPBNLWSHKh2a30DoXe8/edit?usp=sharing"",""นครศรีธรรมราช!J394"")"),0)</f>
        <v>0</v>
      </c>
      <c r="K499" s="209">
        <f t="shared" ca="1" si="117"/>
        <v>0</v>
      </c>
      <c r="L499" s="189"/>
      <c r="M499" s="189"/>
      <c r="N499" s="189"/>
      <c r="O499" s="189"/>
      <c r="P499" s="189"/>
    </row>
    <row r="500" spans="1:16" ht="21.75" customHeight="1" x14ac:dyDescent="0.35">
      <c r="A500" s="183"/>
      <c r="B500" s="184"/>
      <c r="C500" s="184"/>
      <c r="D500" s="410"/>
      <c r="E500" s="410" t="s">
        <v>185</v>
      </c>
      <c r="F500" s="203"/>
      <c r="G500" s="204"/>
      <c r="H500" s="428" t="s">
        <v>122</v>
      </c>
      <c r="I500" s="210">
        <f ca="1">IFERROR(__xludf.DUMMYFUNCTION("IMPORTRANGE(""https://docs.google.com/spreadsheets/d/1IYY_tgx_IHuhSq3AJ5eI5OnqOPBNLWSHKh2a30DoXe8/edit?usp=sharing"",""นครศรีธรรมราช!I395"")"),0)</f>
        <v>0</v>
      </c>
      <c r="J500" s="168">
        <f ca="1">IFERROR(__xludf.DUMMYFUNCTION("IMPORTRANGE(""https://docs.google.com/spreadsheets/d/1IYY_tgx_IHuhSq3AJ5eI5OnqOPBNLWSHKh2a30DoXe8/edit?usp=sharing"",""นครศรีธรรมราช!J395"")"),0)</f>
        <v>0</v>
      </c>
      <c r="K500" s="169">
        <f t="shared" ca="1" si="117"/>
        <v>0</v>
      </c>
      <c r="L500" s="189"/>
      <c r="M500" s="189"/>
      <c r="N500" s="189"/>
      <c r="O500" s="189"/>
      <c r="P500" s="189"/>
    </row>
    <row r="501" spans="1:16" ht="21.75" customHeight="1" x14ac:dyDescent="0.35">
      <c r="A501" s="183"/>
      <c r="B501" s="184"/>
      <c r="C501" s="184"/>
      <c r="D501" s="201"/>
      <c r="E501" s="203"/>
      <c r="F501" s="203"/>
      <c r="G501" s="204"/>
      <c r="H501" s="428" t="s">
        <v>36</v>
      </c>
      <c r="I501" s="210">
        <f ca="1">IFERROR(__xludf.DUMMYFUNCTION("IMPORTRANGE(""https://docs.google.com/spreadsheets/d/1IYY_tgx_IHuhSq3AJ5eI5OnqOPBNLWSHKh2a30DoXe8/edit?usp=sharing"",""นครศรีธรรมราช!I396"")"),0)</f>
        <v>0</v>
      </c>
      <c r="J501" s="168">
        <f ca="1">IFERROR(__xludf.DUMMYFUNCTION("IMPORTRANGE(""https://docs.google.com/spreadsheets/d/1IYY_tgx_IHuhSq3AJ5eI5OnqOPBNLWSHKh2a30DoXe8/edit?usp=sharing"",""นครศรีธรรมราช!J396"")"),0)</f>
        <v>0</v>
      </c>
      <c r="K501" s="169">
        <f t="shared" ca="1" si="117"/>
        <v>0</v>
      </c>
      <c r="L501" s="189"/>
      <c r="M501" s="189"/>
      <c r="N501" s="189"/>
      <c r="O501" s="189"/>
      <c r="P501" s="189"/>
    </row>
    <row r="502" spans="1:16" ht="21.75" customHeight="1" x14ac:dyDescent="0.35">
      <c r="A502" s="183"/>
      <c r="B502" s="184"/>
      <c r="C502" s="184"/>
      <c r="D502" s="201"/>
      <c r="E502" s="203"/>
      <c r="F502" s="405" t="s">
        <v>186</v>
      </c>
      <c r="G502" s="427"/>
      <c r="H502" s="428" t="s">
        <v>122</v>
      </c>
      <c r="I502" s="210">
        <f ca="1">IFERROR(__xludf.DUMMYFUNCTION("IMPORTRANGE(""https://docs.google.com/spreadsheets/d/1IYY_tgx_IHuhSq3AJ5eI5OnqOPBNLWSHKh2a30DoXe8/edit?usp=sharing"",""นครศรีธรรมราช!I397"")"),0)</f>
        <v>0</v>
      </c>
      <c r="J502" s="196">
        <f ca="1">IFERROR(__xludf.DUMMYFUNCTION("IMPORTRANGE(""https://docs.google.com/spreadsheets/d/1IYY_tgx_IHuhSq3AJ5eI5OnqOPBNLWSHKh2a30DoXe8/edit?usp=sharing"",""นครศรีธรรมราช!J397"")"),0)</f>
        <v>0</v>
      </c>
      <c r="K502" s="169">
        <f t="shared" ca="1" si="117"/>
        <v>0</v>
      </c>
      <c r="L502" s="189"/>
      <c r="M502" s="189"/>
      <c r="N502" s="189"/>
      <c r="O502" s="189"/>
      <c r="P502" s="189"/>
    </row>
    <row r="503" spans="1:16" ht="21.75" customHeight="1" x14ac:dyDescent="0.35">
      <c r="A503" s="183"/>
      <c r="B503" s="184"/>
      <c r="C503" s="184"/>
      <c r="D503" s="201"/>
      <c r="E503" s="203"/>
      <c r="F503" s="203"/>
      <c r="G503" s="427"/>
      <c r="H503" s="428" t="s">
        <v>36</v>
      </c>
      <c r="I503" s="195">
        <f ca="1">IFERROR(__xludf.DUMMYFUNCTION("IMPORTRANGE(""https://docs.google.com/spreadsheets/d/1IYY_tgx_IHuhSq3AJ5eI5OnqOPBNLWSHKh2a30DoXe8/edit?usp=sharing"",""นครศรีธรรมราช!I398"")"),0)</f>
        <v>0</v>
      </c>
      <c r="J503" s="205">
        <f ca="1">IFERROR(__xludf.DUMMYFUNCTION("IMPORTRANGE(""https://docs.google.com/spreadsheets/d/1IYY_tgx_IHuhSq3AJ5eI5OnqOPBNLWSHKh2a30DoXe8/edit?usp=sharing"",""นครศรีธรรมราช!J398"")"),0)</f>
        <v>0</v>
      </c>
      <c r="K503" s="169">
        <f t="shared" ca="1" si="117"/>
        <v>0</v>
      </c>
      <c r="L503" s="189"/>
      <c r="M503" s="189"/>
      <c r="N503" s="189"/>
      <c r="O503" s="189"/>
      <c r="P503" s="189"/>
    </row>
    <row r="504" spans="1:16" ht="21.75" customHeight="1" x14ac:dyDescent="0.35">
      <c r="A504" s="183"/>
      <c r="B504" s="184"/>
      <c r="C504" s="184"/>
      <c r="D504" s="201"/>
      <c r="E504" s="203"/>
      <c r="F504" s="396" t="s">
        <v>187</v>
      </c>
      <c r="G504" s="427"/>
      <c r="H504" s="428" t="s">
        <v>122</v>
      </c>
      <c r="I504" s="211">
        <f ca="1">IFERROR(__xludf.DUMMYFUNCTION("IMPORTRANGE(""https://docs.google.com/spreadsheets/d/1IYY_tgx_IHuhSq3AJ5eI5OnqOPBNLWSHKh2a30DoXe8/edit?usp=sharing"",""นครศรีธรรมราช!I399"")"),0)</f>
        <v>0</v>
      </c>
      <c r="J504" s="196">
        <f ca="1">IFERROR(__xludf.DUMMYFUNCTION("IMPORTRANGE(""https://docs.google.com/spreadsheets/d/1IYY_tgx_IHuhSq3AJ5eI5OnqOPBNLWSHKh2a30DoXe8/edit?usp=sharing"",""นครศรีธรรมราช!J399"")"),0)</f>
        <v>0</v>
      </c>
      <c r="K504" s="169">
        <f t="shared" ca="1" si="117"/>
        <v>0</v>
      </c>
      <c r="L504" s="189"/>
      <c r="M504" s="189"/>
      <c r="N504" s="189"/>
      <c r="O504" s="189"/>
      <c r="P504" s="189"/>
    </row>
    <row r="505" spans="1:16" ht="21.75" customHeight="1" x14ac:dyDescent="0.35">
      <c r="A505" s="183"/>
      <c r="B505" s="184"/>
      <c r="C505" s="184"/>
      <c r="D505" s="201"/>
      <c r="E505" s="203"/>
      <c r="F505" s="203"/>
      <c r="G505" s="427"/>
      <c r="H505" s="428" t="s">
        <v>36</v>
      </c>
      <c r="I505" s="195">
        <f ca="1">IFERROR(__xludf.DUMMYFUNCTION("IMPORTRANGE(""https://docs.google.com/spreadsheets/d/1IYY_tgx_IHuhSq3AJ5eI5OnqOPBNLWSHKh2a30DoXe8/edit?usp=sharing"",""นครศรีธรรมราช!I400"")"),0)</f>
        <v>0</v>
      </c>
      <c r="J505" s="205">
        <f ca="1">IFERROR(__xludf.DUMMYFUNCTION("IMPORTRANGE(""https://docs.google.com/spreadsheets/d/1IYY_tgx_IHuhSq3AJ5eI5OnqOPBNLWSHKh2a30DoXe8/edit?usp=sharing"",""นครศรีธรรมราช!J400"")"),0)</f>
        <v>0</v>
      </c>
      <c r="K505" s="169">
        <f t="shared" ca="1" si="117"/>
        <v>0</v>
      </c>
      <c r="L505" s="189"/>
      <c r="M505" s="189"/>
      <c r="N505" s="189"/>
      <c r="O505" s="189"/>
      <c r="P505" s="189"/>
    </row>
    <row r="506" spans="1:16" ht="21.75" customHeight="1" x14ac:dyDescent="0.35">
      <c r="A506" s="183"/>
      <c r="B506" s="184"/>
      <c r="C506" s="184"/>
      <c r="D506" s="201"/>
      <c r="E506" s="203"/>
      <c r="F506" s="405" t="s">
        <v>188</v>
      </c>
      <c r="G506" s="427"/>
      <c r="H506" s="428" t="s">
        <v>122</v>
      </c>
      <c r="I506" s="211">
        <f ca="1">IFERROR(__xludf.DUMMYFUNCTION("IMPORTRANGE(""https://docs.google.com/spreadsheets/d/1IYY_tgx_IHuhSq3AJ5eI5OnqOPBNLWSHKh2a30DoXe8/edit?usp=sharing"",""นครศรีธรรมราช!I401"")"),0)</f>
        <v>0</v>
      </c>
      <c r="J506" s="196">
        <f ca="1">IFERROR(__xludf.DUMMYFUNCTION("IMPORTRANGE(""https://docs.google.com/spreadsheets/d/1IYY_tgx_IHuhSq3AJ5eI5OnqOPBNLWSHKh2a30DoXe8/edit?usp=sharing"",""นครศรีธรรมราช!J401"")"),0)</f>
        <v>0</v>
      </c>
      <c r="K506" s="169">
        <f t="shared" ca="1" si="117"/>
        <v>0</v>
      </c>
      <c r="L506" s="189"/>
      <c r="M506" s="189"/>
      <c r="N506" s="189"/>
      <c r="O506" s="189"/>
      <c r="P506" s="189"/>
    </row>
    <row r="507" spans="1:16" ht="21.75" customHeight="1" x14ac:dyDescent="0.35">
      <c r="A507" s="183"/>
      <c r="B507" s="184"/>
      <c r="C507" s="184"/>
      <c r="D507" s="201"/>
      <c r="E507" s="203"/>
      <c r="F507" s="203"/>
      <c r="G507" s="203"/>
      <c r="H507" s="428" t="s">
        <v>36</v>
      </c>
      <c r="I507" s="195">
        <f ca="1">IFERROR(__xludf.DUMMYFUNCTION("IMPORTRANGE(""https://docs.google.com/spreadsheets/d/1IYY_tgx_IHuhSq3AJ5eI5OnqOPBNLWSHKh2a30DoXe8/edit?usp=sharing"",""นครศรีธรรมราช!I402"")"),0)</f>
        <v>0</v>
      </c>
      <c r="J507" s="205">
        <f ca="1">IFERROR(__xludf.DUMMYFUNCTION("IMPORTRANGE(""https://docs.google.com/spreadsheets/d/1IYY_tgx_IHuhSq3AJ5eI5OnqOPBNLWSHKh2a30DoXe8/edit?usp=sharing"",""นครศรีธรรมราช!J402"")"),0)</f>
        <v>0</v>
      </c>
      <c r="K507" s="169">
        <f t="shared" ca="1" si="117"/>
        <v>0</v>
      </c>
      <c r="L507" s="189"/>
      <c r="M507" s="189"/>
      <c r="N507" s="189"/>
      <c r="O507" s="189"/>
      <c r="P507" s="189"/>
    </row>
    <row r="508" spans="1:16" ht="21.75" customHeight="1" x14ac:dyDescent="0.35">
      <c r="A508" s="183"/>
      <c r="B508" s="184"/>
      <c r="C508" s="184"/>
      <c r="D508" s="201"/>
      <c r="E508" s="202" t="s">
        <v>189</v>
      </c>
      <c r="F508" s="203"/>
      <c r="G508" s="427"/>
      <c r="H508" s="428" t="s">
        <v>122</v>
      </c>
      <c r="I508" s="195">
        <f ca="1">IFERROR(__xludf.DUMMYFUNCTION("IMPORTRANGE(""https://docs.google.com/spreadsheets/d/1IYY_tgx_IHuhSq3AJ5eI5OnqOPBNLWSHKh2a30DoXe8/edit?usp=sharing"",""นครศรีธรรมราช!I403"")"),0)</f>
        <v>0</v>
      </c>
      <c r="J508" s="168">
        <f ca="1">IFERROR(__xludf.DUMMYFUNCTION("IMPORTRANGE(""https://docs.google.com/spreadsheets/d/1IYY_tgx_IHuhSq3AJ5eI5OnqOPBNLWSHKh2a30DoXe8/edit?usp=sharing"",""นครศรีธรรมราช!J403"")"),0)</f>
        <v>0</v>
      </c>
      <c r="K508" s="169">
        <f t="shared" ca="1" si="117"/>
        <v>0</v>
      </c>
      <c r="L508" s="189"/>
      <c r="M508" s="189"/>
      <c r="N508" s="189"/>
      <c r="O508" s="189"/>
      <c r="P508" s="189"/>
    </row>
    <row r="509" spans="1:16" ht="21.75" customHeight="1" x14ac:dyDescent="0.35">
      <c r="A509" s="183"/>
      <c r="B509" s="184"/>
      <c r="C509" s="184"/>
      <c r="D509" s="201"/>
      <c r="E509" s="203"/>
      <c r="F509" s="203"/>
      <c r="G509" s="203"/>
      <c r="H509" s="428" t="s">
        <v>36</v>
      </c>
      <c r="I509" s="195">
        <f ca="1">IFERROR(__xludf.DUMMYFUNCTION("IMPORTRANGE(""https://docs.google.com/spreadsheets/d/1IYY_tgx_IHuhSq3AJ5eI5OnqOPBNLWSHKh2a30DoXe8/edit?usp=sharing"",""นครศรีธรรมราช!I404"")"),0)</f>
        <v>0</v>
      </c>
      <c r="J509" s="168">
        <f ca="1">IFERROR(__xludf.DUMMYFUNCTION("IMPORTRANGE(""https://docs.google.com/spreadsheets/d/1IYY_tgx_IHuhSq3AJ5eI5OnqOPBNLWSHKh2a30DoXe8/edit?usp=sharing"",""นครศรีธรรมราช!J404"")"),0)</f>
        <v>0</v>
      </c>
      <c r="K509" s="169">
        <f t="shared" ca="1" si="117"/>
        <v>0</v>
      </c>
      <c r="L509" s="189"/>
      <c r="M509" s="189"/>
      <c r="N509" s="189"/>
      <c r="O509" s="189"/>
      <c r="P509" s="189"/>
    </row>
    <row r="510" spans="1:16" ht="21.75" customHeight="1" x14ac:dyDescent="0.35">
      <c r="A510" s="183"/>
      <c r="B510" s="184"/>
      <c r="C510" s="184"/>
      <c r="D510" s="201"/>
      <c r="E510" s="203"/>
      <c r="F510" s="202" t="s">
        <v>190</v>
      </c>
      <c r="G510" s="203"/>
      <c r="H510" s="428" t="s">
        <v>122</v>
      </c>
      <c r="I510" s="195">
        <f ca="1">IFERROR(__xludf.DUMMYFUNCTION("IMPORTRANGE(""https://docs.google.com/spreadsheets/d/1IYY_tgx_IHuhSq3AJ5eI5OnqOPBNLWSHKh2a30DoXe8/edit?usp=sharing"",""นครศรีธรรมราช!I405"")"),0)</f>
        <v>0</v>
      </c>
      <c r="J510" s="205">
        <f ca="1">IFERROR(__xludf.DUMMYFUNCTION("IMPORTRANGE(""https://docs.google.com/spreadsheets/d/1IYY_tgx_IHuhSq3AJ5eI5OnqOPBNLWSHKh2a30DoXe8/edit?usp=sharing"",""นครศรีธรรมราช!J405"")"),0)</f>
        <v>0</v>
      </c>
      <c r="K510" s="169">
        <f t="shared" ca="1" si="117"/>
        <v>0</v>
      </c>
      <c r="L510" s="189"/>
      <c r="M510" s="189"/>
      <c r="N510" s="189"/>
      <c r="O510" s="189"/>
      <c r="P510" s="189"/>
    </row>
    <row r="511" spans="1:16" ht="21.75" customHeight="1" x14ac:dyDescent="0.35">
      <c r="A511" s="183"/>
      <c r="B511" s="184"/>
      <c r="C511" s="184"/>
      <c r="D511" s="201"/>
      <c r="E511" s="203"/>
      <c r="F511" s="203"/>
      <c r="G511" s="203"/>
      <c r="H511" s="428" t="s">
        <v>36</v>
      </c>
      <c r="I511" s="195">
        <f ca="1">IFERROR(__xludf.DUMMYFUNCTION("IMPORTRANGE(""https://docs.google.com/spreadsheets/d/1IYY_tgx_IHuhSq3AJ5eI5OnqOPBNLWSHKh2a30DoXe8/edit?usp=sharing"",""นครศรีธรรมราช!I406"")"),0)</f>
        <v>0</v>
      </c>
      <c r="J511" s="205">
        <f ca="1">IFERROR(__xludf.DUMMYFUNCTION("IMPORTRANGE(""https://docs.google.com/spreadsheets/d/1IYY_tgx_IHuhSq3AJ5eI5OnqOPBNLWSHKh2a30DoXe8/edit?usp=sharing"",""นครศรีธรรมราช!J406"")"),0)</f>
        <v>0</v>
      </c>
      <c r="K511" s="169">
        <f t="shared" ca="1" si="117"/>
        <v>0</v>
      </c>
      <c r="L511" s="189"/>
      <c r="M511" s="189"/>
      <c r="N511" s="189"/>
      <c r="O511" s="189"/>
      <c r="P511" s="189"/>
    </row>
    <row r="512" spans="1:16" ht="21.75" customHeight="1" x14ac:dyDescent="0.35">
      <c r="A512" s="183"/>
      <c r="B512" s="184"/>
      <c r="C512" s="184"/>
      <c r="D512" s="201"/>
      <c r="E512" s="203"/>
      <c r="F512" s="202" t="s">
        <v>191</v>
      </c>
      <c r="G512" s="203"/>
      <c r="H512" s="428" t="s">
        <v>122</v>
      </c>
      <c r="I512" s="195">
        <f ca="1">IFERROR(__xludf.DUMMYFUNCTION("IMPORTRANGE(""https://docs.google.com/spreadsheets/d/1IYY_tgx_IHuhSq3AJ5eI5OnqOPBNLWSHKh2a30DoXe8/edit?usp=sharing"",""นครศรีธรรมราช!I407"")"),0)</f>
        <v>0</v>
      </c>
      <c r="J512" s="205">
        <f ca="1">IFERROR(__xludf.DUMMYFUNCTION("IMPORTRANGE(""https://docs.google.com/spreadsheets/d/1IYY_tgx_IHuhSq3AJ5eI5OnqOPBNLWSHKh2a30DoXe8/edit?usp=sharing"",""นครศรีธรรมราช!J407"")"),0)</f>
        <v>0</v>
      </c>
      <c r="K512" s="169">
        <f t="shared" ca="1" si="117"/>
        <v>0</v>
      </c>
      <c r="L512" s="189"/>
      <c r="M512" s="189"/>
      <c r="N512" s="189"/>
      <c r="O512" s="189"/>
      <c r="P512" s="189"/>
    </row>
    <row r="513" spans="1:16" ht="21.75" customHeight="1" x14ac:dyDescent="0.35">
      <c r="A513" s="183"/>
      <c r="B513" s="184"/>
      <c r="C513" s="184"/>
      <c r="D513" s="201"/>
      <c r="E513" s="203"/>
      <c r="F513" s="203"/>
      <c r="G513" s="204"/>
      <c r="H513" s="428" t="s">
        <v>36</v>
      </c>
      <c r="I513" s="195">
        <f ca="1">IFERROR(__xludf.DUMMYFUNCTION("IMPORTRANGE(""https://docs.google.com/spreadsheets/d/1IYY_tgx_IHuhSq3AJ5eI5OnqOPBNLWSHKh2a30DoXe8/edit?usp=sharing"",""นครศรีธรรมราช!I408"")"),0)</f>
        <v>0</v>
      </c>
      <c r="J513" s="205">
        <f ca="1">IFERROR(__xludf.DUMMYFUNCTION("IMPORTRANGE(""https://docs.google.com/spreadsheets/d/1IYY_tgx_IHuhSq3AJ5eI5OnqOPBNLWSHKh2a30DoXe8/edit?usp=sharing"",""นครศรีธรรมราช!J408"")"),0)</f>
        <v>0</v>
      </c>
      <c r="K513" s="169">
        <f t="shared" ca="1" si="117"/>
        <v>0</v>
      </c>
      <c r="L513" s="189"/>
      <c r="M513" s="189"/>
      <c r="N513" s="189"/>
      <c r="O513" s="189"/>
      <c r="P513" s="189"/>
    </row>
    <row r="514" spans="1:16" ht="21.75" customHeight="1" x14ac:dyDescent="0.35">
      <c r="A514" s="183"/>
      <c r="B514" s="184"/>
      <c r="C514" s="184"/>
      <c r="D514" s="410"/>
      <c r="E514" s="456" t="s">
        <v>192</v>
      </c>
      <c r="F514" s="203"/>
      <c r="G514" s="204"/>
      <c r="H514" s="428" t="s">
        <v>122</v>
      </c>
      <c r="I514" s="195">
        <f ca="1">IFERROR(__xludf.DUMMYFUNCTION("IMPORTRANGE(""https://docs.google.com/spreadsheets/d/1IYY_tgx_IHuhSq3AJ5eI5OnqOPBNLWSHKh2a30DoXe8/edit?usp=sharing"",""นครศรีธรรมราช!I409"")"),0)</f>
        <v>0</v>
      </c>
      <c r="J514" s="205">
        <f ca="1">IFERROR(__xludf.DUMMYFUNCTION("IMPORTRANGE(""https://docs.google.com/spreadsheets/d/1IYY_tgx_IHuhSq3AJ5eI5OnqOPBNLWSHKh2a30DoXe8/edit?usp=sharing"",""นครศรีธรรมราช!J409"")"),0)</f>
        <v>0</v>
      </c>
      <c r="K514" s="169">
        <f t="shared" ca="1" si="117"/>
        <v>0</v>
      </c>
      <c r="L514" s="189"/>
      <c r="M514" s="189"/>
      <c r="N514" s="189"/>
      <c r="O514" s="189"/>
      <c r="P514" s="189"/>
    </row>
    <row r="515" spans="1:16" ht="21.75" customHeight="1" x14ac:dyDescent="0.35">
      <c r="A515" s="183"/>
      <c r="B515" s="184"/>
      <c r="C515" s="184"/>
      <c r="D515" s="201"/>
      <c r="E515" s="203"/>
      <c r="F515" s="203"/>
      <c r="G515" s="204"/>
      <c r="H515" s="428" t="s">
        <v>36</v>
      </c>
      <c r="I515" s="195">
        <f ca="1">IFERROR(__xludf.DUMMYFUNCTION("IMPORTRANGE(""https://docs.google.com/spreadsheets/d/1IYY_tgx_IHuhSq3AJ5eI5OnqOPBNLWSHKh2a30DoXe8/edit?usp=sharing"",""นครศรีธรรมราช!I410"")"),0)</f>
        <v>0</v>
      </c>
      <c r="J515" s="205">
        <f ca="1">IFERROR(__xludf.DUMMYFUNCTION("IMPORTRANGE(""https://docs.google.com/spreadsheets/d/1IYY_tgx_IHuhSq3AJ5eI5OnqOPBNLWSHKh2a30DoXe8/edit?usp=sharing"",""นครศรีธรรมราช!J410"")"),0)</f>
        <v>0</v>
      </c>
      <c r="K515" s="169">
        <f t="shared" ca="1" si="117"/>
        <v>0</v>
      </c>
      <c r="L515" s="189"/>
      <c r="M515" s="189"/>
      <c r="N515" s="189"/>
      <c r="O515" s="189"/>
      <c r="P515" s="189"/>
    </row>
    <row r="516" spans="1:16" ht="21.75" customHeight="1" x14ac:dyDescent="0.35">
      <c r="A516" s="183"/>
      <c r="B516" s="184"/>
      <c r="C516" s="421" t="s">
        <v>193</v>
      </c>
      <c r="D516" s="421"/>
      <c r="E516" s="457"/>
      <c r="F516" s="457"/>
      <c r="G516" s="458"/>
      <c r="H516" s="459" t="s">
        <v>122</v>
      </c>
      <c r="I516" s="274">
        <f ca="1">IFERROR(__xludf.DUMMYFUNCTION("IMPORTRANGE(""https://docs.google.com/spreadsheets/d/1IYY_tgx_IHuhSq3AJ5eI5OnqOPBNLWSHKh2a30DoXe8/edit?usp=sharing"",""นครศรีธรรมราช!I411"")"),0)</f>
        <v>0</v>
      </c>
      <c r="J516" s="274">
        <f ca="1">IFERROR(__xludf.DUMMYFUNCTION("IMPORTRANGE(""https://docs.google.com/spreadsheets/d/1IYY_tgx_IHuhSq3AJ5eI5OnqOPBNLWSHKh2a30DoXe8/edit?usp=sharing"",""นครศรีธรรมราช!J411"")"),0)</f>
        <v>0</v>
      </c>
      <c r="K516" s="275">
        <v>0</v>
      </c>
      <c r="L516" s="189"/>
      <c r="M516" s="189"/>
      <c r="N516" s="189"/>
      <c r="O516" s="189"/>
      <c r="P516" s="189"/>
    </row>
    <row r="517" spans="1:16" ht="21.75" customHeight="1" x14ac:dyDescent="0.35">
      <c r="A517" s="183"/>
      <c r="B517" s="184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IFERROR(__xludf.DUMMYFUNCTION("IMPORTRANGE(""https://docs.google.com/spreadsheets/d/1IYY_tgx_IHuhSq3AJ5eI5OnqOPBNLWSHKh2a30DoXe8/edit?usp=sharing"",""นครศรีธรรมราช!I412"")"),0)</f>
        <v>0</v>
      </c>
      <c r="J517" s="290">
        <f ca="1">IFERROR(__xludf.DUMMYFUNCTION("IMPORTRANGE(""https://docs.google.com/spreadsheets/d/1IYY_tgx_IHuhSq3AJ5eI5OnqOPBNLWSHKh2a30DoXe8/edit?usp=sharing"",""นครศรีธรรมราช!J412"")"),0)</f>
        <v>0</v>
      </c>
      <c r="K517" s="291">
        <v>0</v>
      </c>
      <c r="L517" s="189"/>
      <c r="M517" s="189"/>
      <c r="N517" s="189"/>
      <c r="O517" s="189"/>
      <c r="P517" s="189"/>
    </row>
    <row r="518" spans="1:16" ht="21.75" customHeight="1" x14ac:dyDescent="0.35">
      <c r="A518" s="183"/>
      <c r="B518" s="184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IFERROR(__xludf.DUMMYFUNCTION("IMPORTRANGE(""https://docs.google.com/spreadsheets/d/1IYY_tgx_IHuhSq3AJ5eI5OnqOPBNLWSHKh2a30DoXe8/edit?usp=sharing"",""นครศรีธรรมราช!I413"")"),0)</f>
        <v>0</v>
      </c>
      <c r="J518" s="290">
        <f ca="1">IFERROR(__xludf.DUMMYFUNCTION("IMPORTRANGE(""https://docs.google.com/spreadsheets/d/1IYY_tgx_IHuhSq3AJ5eI5OnqOPBNLWSHKh2a30DoXe8/edit?usp=sharing"",""นครศรีธรรมราช!J413"")"),0)</f>
        <v>0</v>
      </c>
      <c r="K518" s="291">
        <v>0</v>
      </c>
      <c r="L518" s="189"/>
      <c r="M518" s="189"/>
      <c r="N518" s="189"/>
      <c r="O518" s="189"/>
      <c r="P518" s="189"/>
    </row>
    <row r="519" spans="1:16" ht="21.75" customHeight="1" x14ac:dyDescent="0.35">
      <c r="A519" s="183"/>
      <c r="B519" s="184"/>
      <c r="C519" s="184"/>
      <c r="D519" s="201"/>
      <c r="E519" s="203"/>
      <c r="F519" s="203"/>
      <c r="G519" s="233" t="s">
        <v>196</v>
      </c>
      <c r="H519" s="428" t="s">
        <v>122</v>
      </c>
      <c r="I519" s="195">
        <f ca="1">IFERROR(__xludf.DUMMYFUNCTION("IMPORTRANGE(""https://docs.google.com/spreadsheets/d/1IYY_tgx_IHuhSq3AJ5eI5OnqOPBNLWSHKh2a30DoXe8/edit?usp=sharing"",""นครศรีธรรมราช!I414"")"),0)</f>
        <v>0</v>
      </c>
      <c r="J519" s="195">
        <f ca="1">IFERROR(__xludf.DUMMYFUNCTION("IMPORTRANGE(""https://docs.google.com/spreadsheets/d/1IYY_tgx_IHuhSq3AJ5eI5OnqOPBNLWSHKh2a30DoXe8/edit?usp=sharing"",""นครศรีธรรมราช!J414"")"),0)</f>
        <v>0</v>
      </c>
      <c r="K519" s="169">
        <v>0</v>
      </c>
      <c r="L519" s="189"/>
      <c r="M519" s="189"/>
      <c r="N519" s="189"/>
      <c r="O519" s="189"/>
      <c r="P519" s="189"/>
    </row>
    <row r="520" spans="1:16" ht="21.75" customHeight="1" x14ac:dyDescent="0.35">
      <c r="A520" s="183"/>
      <c r="B520" s="184"/>
      <c r="C520" s="184"/>
      <c r="D520" s="201"/>
      <c r="E520" s="203"/>
      <c r="F520" s="203"/>
      <c r="G520" s="204"/>
      <c r="H520" s="428" t="s">
        <v>36</v>
      </c>
      <c r="I520" s="195">
        <f ca="1">IFERROR(__xludf.DUMMYFUNCTION("IMPORTRANGE(""https://docs.google.com/spreadsheets/d/1IYY_tgx_IHuhSq3AJ5eI5OnqOPBNLWSHKh2a30DoXe8/edit?usp=sharing"",""นครศรีธรรมราช!I415"")"),0)</f>
        <v>0</v>
      </c>
      <c r="J520" s="195">
        <f ca="1">IFERROR(__xludf.DUMMYFUNCTION("IMPORTRANGE(""https://docs.google.com/spreadsheets/d/1IYY_tgx_IHuhSq3AJ5eI5OnqOPBNLWSHKh2a30DoXe8/edit?usp=sharing"",""นครศรีธรรมราช!J415"")"),0)</f>
        <v>0</v>
      </c>
      <c r="K520" s="169">
        <v>0</v>
      </c>
      <c r="L520" s="189"/>
      <c r="M520" s="189"/>
      <c r="N520" s="189"/>
      <c r="O520" s="189"/>
      <c r="P520" s="189"/>
    </row>
    <row r="521" spans="1:16" ht="21.75" customHeight="1" x14ac:dyDescent="0.35">
      <c r="A521" s="183"/>
      <c r="B521" s="184"/>
      <c r="C521" s="184"/>
      <c r="D521" s="201"/>
      <c r="E521" s="203"/>
      <c r="F521" s="203"/>
      <c r="G521" s="233" t="s">
        <v>197</v>
      </c>
      <c r="H521" s="428" t="s">
        <v>122</v>
      </c>
      <c r="I521" s="195">
        <f ca="1">IFERROR(__xludf.DUMMYFUNCTION("IMPORTRANGE(""https://docs.google.com/spreadsheets/d/1IYY_tgx_IHuhSq3AJ5eI5OnqOPBNLWSHKh2a30DoXe8/edit?usp=sharing"",""นครศรีธรรมราช!I416"")"),0)</f>
        <v>0</v>
      </c>
      <c r="J521" s="195">
        <f ca="1">IFERROR(__xludf.DUMMYFUNCTION("IMPORTRANGE(""https://docs.google.com/spreadsheets/d/1IYY_tgx_IHuhSq3AJ5eI5OnqOPBNLWSHKh2a30DoXe8/edit?usp=sharing"",""นครศรีธรรมราช!J416"")"),0)</f>
        <v>0</v>
      </c>
      <c r="K521" s="169">
        <v>0</v>
      </c>
      <c r="L521" s="189"/>
      <c r="M521" s="189"/>
      <c r="N521" s="189"/>
      <c r="O521" s="189"/>
      <c r="P521" s="189"/>
    </row>
    <row r="522" spans="1:16" ht="21.75" customHeight="1" x14ac:dyDescent="0.35">
      <c r="A522" s="183"/>
      <c r="B522" s="184"/>
      <c r="C522" s="184"/>
      <c r="D522" s="201"/>
      <c r="E522" s="203"/>
      <c r="F522" s="203"/>
      <c r="G522" s="204"/>
      <c r="H522" s="428" t="s">
        <v>36</v>
      </c>
      <c r="I522" s="195">
        <f ca="1">IFERROR(__xludf.DUMMYFUNCTION("IMPORTRANGE(""https://docs.google.com/spreadsheets/d/1IYY_tgx_IHuhSq3AJ5eI5OnqOPBNLWSHKh2a30DoXe8/edit?usp=sharing"",""นครศรีธรรมราช!I417"")"),0)</f>
        <v>0</v>
      </c>
      <c r="J522" s="195">
        <f ca="1">IFERROR(__xludf.DUMMYFUNCTION("IMPORTRANGE(""https://docs.google.com/spreadsheets/d/1IYY_tgx_IHuhSq3AJ5eI5OnqOPBNLWSHKh2a30DoXe8/edit?usp=sharing"",""นครศรีธรรมราช!J417"")"),0)</f>
        <v>0</v>
      </c>
      <c r="K522" s="169">
        <v>0</v>
      </c>
      <c r="L522" s="189"/>
      <c r="M522" s="189"/>
      <c r="N522" s="189"/>
      <c r="O522" s="189"/>
      <c r="P522" s="189"/>
    </row>
    <row r="523" spans="1:16" ht="21.75" customHeight="1" x14ac:dyDescent="0.35">
      <c r="A523" s="183"/>
      <c r="B523" s="184"/>
      <c r="C523" s="184"/>
      <c r="D523" s="201"/>
      <c r="E523" s="203"/>
      <c r="F523" s="203"/>
      <c r="G523" s="464" t="s">
        <v>198</v>
      </c>
      <c r="H523" s="428" t="s">
        <v>122</v>
      </c>
      <c r="I523" s="195">
        <f ca="1">IFERROR(__xludf.DUMMYFUNCTION("IMPORTRANGE(""https://docs.google.com/spreadsheets/d/1IYY_tgx_IHuhSq3AJ5eI5OnqOPBNLWSHKh2a30DoXe8/edit?usp=sharing"",""นครศรีธรรมราช!I418"")"),0)</f>
        <v>0</v>
      </c>
      <c r="J523" s="195">
        <f ca="1">IFERROR(__xludf.DUMMYFUNCTION("IMPORTRANGE(""https://docs.google.com/spreadsheets/d/1IYY_tgx_IHuhSq3AJ5eI5OnqOPBNLWSHKh2a30DoXe8/edit?usp=sharing"",""นครศรีธรรมราช!J418"")"),0)</f>
        <v>0</v>
      </c>
      <c r="K523" s="169">
        <v>0</v>
      </c>
      <c r="L523" s="189"/>
      <c r="M523" s="189"/>
      <c r="N523" s="189"/>
      <c r="O523" s="189"/>
      <c r="P523" s="189"/>
    </row>
    <row r="524" spans="1:16" ht="21.75" customHeight="1" x14ac:dyDescent="0.35">
      <c r="A524" s="183"/>
      <c r="B524" s="184"/>
      <c r="C524" s="184"/>
      <c r="D524" s="201"/>
      <c r="E524" s="203"/>
      <c r="F524" s="203"/>
      <c r="G524" s="204"/>
      <c r="H524" s="428" t="s">
        <v>36</v>
      </c>
      <c r="I524" s="195">
        <f ca="1">IFERROR(__xludf.DUMMYFUNCTION("IMPORTRANGE(""https://docs.google.com/spreadsheets/d/1IYY_tgx_IHuhSq3AJ5eI5OnqOPBNLWSHKh2a30DoXe8/edit?usp=sharing"",""นครศรีธรรมราช!I419"")"),0)</f>
        <v>0</v>
      </c>
      <c r="J524" s="195">
        <f ca="1">IFERROR(__xludf.DUMMYFUNCTION("IMPORTRANGE(""https://docs.google.com/spreadsheets/d/1IYY_tgx_IHuhSq3AJ5eI5OnqOPBNLWSHKh2a30DoXe8/edit?usp=sharing"",""นครศรีธรรมราช!J419"")"),0)</f>
        <v>0</v>
      </c>
      <c r="K524" s="169">
        <v>0</v>
      </c>
      <c r="L524" s="189"/>
      <c r="M524" s="189"/>
      <c r="N524" s="189"/>
      <c r="O524" s="189"/>
      <c r="P524" s="189"/>
    </row>
    <row r="525" spans="1:16" ht="21.75" customHeight="1" x14ac:dyDescent="0.35">
      <c r="A525" s="183"/>
      <c r="B525" s="184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IFERROR(__xludf.DUMMYFUNCTION("IMPORTRANGE(""https://docs.google.com/spreadsheets/d/1IYY_tgx_IHuhSq3AJ5eI5OnqOPBNLWSHKh2a30DoXe8/edit?usp=sharing"",""นครศรีธรรมราช!I420"")"),0)</f>
        <v>0</v>
      </c>
      <c r="J525" s="290">
        <f ca="1">IFERROR(__xludf.DUMMYFUNCTION("IMPORTRANGE(""https://docs.google.com/spreadsheets/d/1IYY_tgx_IHuhSq3AJ5eI5OnqOPBNLWSHKh2a30DoXe8/edit?usp=sharing"",""นครศรีธรรมราช!J420"")"),0)</f>
        <v>0</v>
      </c>
      <c r="K525" s="291">
        <v>0</v>
      </c>
      <c r="L525" s="189"/>
      <c r="M525" s="189"/>
      <c r="N525" s="189"/>
      <c r="O525" s="189"/>
      <c r="P525" s="189"/>
    </row>
    <row r="526" spans="1:16" ht="21.75" customHeight="1" x14ac:dyDescent="0.35">
      <c r="A526" s="183"/>
      <c r="B526" s="184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IFERROR(__xludf.DUMMYFUNCTION("IMPORTRANGE(""https://docs.google.com/spreadsheets/d/1IYY_tgx_IHuhSq3AJ5eI5OnqOPBNLWSHKh2a30DoXe8/edit?usp=sharing"",""นครศรีธรรมราช!I421"")"),0)</f>
        <v>0</v>
      </c>
      <c r="J526" s="290">
        <f ca="1">IFERROR(__xludf.DUMMYFUNCTION("IMPORTRANGE(""https://docs.google.com/spreadsheets/d/1IYY_tgx_IHuhSq3AJ5eI5OnqOPBNLWSHKh2a30DoXe8/edit?usp=sharing"",""นครศรีธรรมราช!J421"")"),0)</f>
        <v>0</v>
      </c>
      <c r="K526" s="291">
        <v>0</v>
      </c>
      <c r="L526" s="189"/>
      <c r="M526" s="189"/>
      <c r="N526" s="189"/>
      <c r="O526" s="189"/>
      <c r="P526" s="189"/>
    </row>
    <row r="527" spans="1:16" ht="21.75" customHeight="1" x14ac:dyDescent="0.35">
      <c r="A527" s="183"/>
      <c r="B527" s="184"/>
      <c r="C527" s="184"/>
      <c r="D527" s="201"/>
      <c r="E527" s="203"/>
      <c r="F527" s="203"/>
      <c r="G527" s="233" t="s">
        <v>196</v>
      </c>
      <c r="H527" s="428" t="s">
        <v>122</v>
      </c>
      <c r="I527" s="195">
        <f ca="1">IFERROR(__xludf.DUMMYFUNCTION("IMPORTRANGE(""https://docs.google.com/spreadsheets/d/1IYY_tgx_IHuhSq3AJ5eI5OnqOPBNLWSHKh2a30DoXe8/edit?usp=sharing"",""นครศรีธรรมราช!I422"")"),0)</f>
        <v>0</v>
      </c>
      <c r="J527" s="205">
        <f ca="1">IFERROR(__xludf.DUMMYFUNCTION("IMPORTRANGE(""https://docs.google.com/spreadsheets/d/1IYY_tgx_IHuhSq3AJ5eI5OnqOPBNLWSHKh2a30DoXe8/edit?usp=sharing"",""นครศรีธรรมราช!J422"")"),0)</f>
        <v>0</v>
      </c>
      <c r="K527" s="169">
        <v>0</v>
      </c>
      <c r="L527" s="189"/>
      <c r="M527" s="189"/>
      <c r="N527" s="189"/>
      <c r="O527" s="189"/>
      <c r="P527" s="189"/>
    </row>
    <row r="528" spans="1:16" ht="21.75" customHeight="1" x14ac:dyDescent="0.35">
      <c r="A528" s="183"/>
      <c r="B528" s="184"/>
      <c r="C528" s="184"/>
      <c r="D528" s="201"/>
      <c r="E528" s="203"/>
      <c r="F528" s="203"/>
      <c r="G528" s="204"/>
      <c r="H528" s="428" t="s">
        <v>36</v>
      </c>
      <c r="I528" s="195">
        <f ca="1">IFERROR(__xludf.DUMMYFUNCTION("IMPORTRANGE(""https://docs.google.com/spreadsheets/d/1IYY_tgx_IHuhSq3AJ5eI5OnqOPBNLWSHKh2a30DoXe8/edit?usp=sharing"",""นครศรีธรรมราช!I423"")"),0)</f>
        <v>0</v>
      </c>
      <c r="J528" s="205">
        <f ca="1">IFERROR(__xludf.DUMMYFUNCTION("IMPORTRANGE(""https://docs.google.com/spreadsheets/d/1IYY_tgx_IHuhSq3AJ5eI5OnqOPBNLWSHKh2a30DoXe8/edit?usp=sharing"",""นครศรีธรรมราช!J423"")"),0)</f>
        <v>0</v>
      </c>
      <c r="K528" s="169">
        <v>0</v>
      </c>
      <c r="L528" s="189"/>
      <c r="M528" s="189"/>
      <c r="N528" s="189"/>
      <c r="O528" s="189"/>
      <c r="P528" s="189"/>
    </row>
    <row r="529" spans="1:16" ht="21.75" customHeight="1" x14ac:dyDescent="0.35">
      <c r="A529" s="183"/>
      <c r="B529" s="184"/>
      <c r="C529" s="184"/>
      <c r="D529" s="201"/>
      <c r="E529" s="203"/>
      <c r="F529" s="203"/>
      <c r="G529" s="233" t="s">
        <v>197</v>
      </c>
      <c r="H529" s="428" t="s">
        <v>122</v>
      </c>
      <c r="I529" s="195">
        <f ca="1">IFERROR(__xludf.DUMMYFUNCTION("IMPORTRANGE(""https://docs.google.com/spreadsheets/d/1IYY_tgx_IHuhSq3AJ5eI5OnqOPBNLWSHKh2a30DoXe8/edit?usp=sharing"",""นครศรีธรรมราช!I424"")"),0)</f>
        <v>0</v>
      </c>
      <c r="J529" s="205">
        <f ca="1">IFERROR(__xludf.DUMMYFUNCTION("IMPORTRANGE(""https://docs.google.com/spreadsheets/d/1IYY_tgx_IHuhSq3AJ5eI5OnqOPBNLWSHKh2a30DoXe8/edit?usp=sharing"",""นครศรีธรรมราช!J424"")"),0)</f>
        <v>0</v>
      </c>
      <c r="K529" s="169">
        <v>0</v>
      </c>
      <c r="L529" s="189"/>
      <c r="M529" s="189"/>
      <c r="N529" s="189"/>
      <c r="O529" s="189"/>
      <c r="P529" s="189"/>
    </row>
    <row r="530" spans="1:16" ht="21.75" customHeight="1" x14ac:dyDescent="0.35">
      <c r="A530" s="183"/>
      <c r="B530" s="184"/>
      <c r="C530" s="184"/>
      <c r="D530" s="201"/>
      <c r="E530" s="203"/>
      <c r="F530" s="203"/>
      <c r="G530" s="204"/>
      <c r="H530" s="428" t="s">
        <v>36</v>
      </c>
      <c r="I530" s="195">
        <f ca="1">IFERROR(__xludf.DUMMYFUNCTION("IMPORTRANGE(""https://docs.google.com/spreadsheets/d/1IYY_tgx_IHuhSq3AJ5eI5OnqOPBNLWSHKh2a30DoXe8/edit?usp=sharing"",""นครศรีธรรมราช!I425"")"),0)</f>
        <v>0</v>
      </c>
      <c r="J530" s="205">
        <f ca="1">IFERROR(__xludf.DUMMYFUNCTION("IMPORTRANGE(""https://docs.google.com/spreadsheets/d/1IYY_tgx_IHuhSq3AJ5eI5OnqOPBNLWSHKh2a30DoXe8/edit?usp=sharing"",""นครศรีธรรมราช!J425"")"),0)</f>
        <v>0</v>
      </c>
      <c r="K530" s="169">
        <v>0</v>
      </c>
      <c r="L530" s="189"/>
      <c r="M530" s="189"/>
      <c r="N530" s="189"/>
      <c r="O530" s="189"/>
      <c r="P530" s="189"/>
    </row>
    <row r="531" spans="1:16" ht="21.75" customHeight="1" x14ac:dyDescent="0.35">
      <c r="A531" s="183"/>
      <c r="B531" s="184"/>
      <c r="C531" s="184"/>
      <c r="D531" s="201"/>
      <c r="E531" s="203"/>
      <c r="F531" s="203"/>
      <c r="G531" s="233" t="s">
        <v>201</v>
      </c>
      <c r="H531" s="428" t="s">
        <v>122</v>
      </c>
      <c r="I531" s="195">
        <f ca="1">IFERROR(__xludf.DUMMYFUNCTION("IMPORTRANGE(""https://docs.google.com/spreadsheets/d/1IYY_tgx_IHuhSq3AJ5eI5OnqOPBNLWSHKh2a30DoXe8/edit?usp=sharing"",""นครศรีธรรมราช!I426"")"),0)</f>
        <v>0</v>
      </c>
      <c r="J531" s="205">
        <f ca="1">IFERROR(__xludf.DUMMYFUNCTION("IMPORTRANGE(""https://docs.google.com/spreadsheets/d/1IYY_tgx_IHuhSq3AJ5eI5OnqOPBNLWSHKh2a30DoXe8/edit?usp=sharing"",""นครศรีธรรมราช!J426"")"),0)</f>
        <v>0</v>
      </c>
      <c r="K531" s="169">
        <v>0</v>
      </c>
      <c r="L531" s="189"/>
      <c r="M531" s="189"/>
      <c r="N531" s="189"/>
      <c r="O531" s="189"/>
      <c r="P531" s="189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IFERROR(__xludf.DUMMYFUNCTION("IMPORTRANGE(""https://docs.google.com/spreadsheets/d/1IYY_tgx_IHuhSq3AJ5eI5OnqOPBNLWSHKh2a30DoXe8/edit?usp=sharing"",""นครศรีธรรมราช!I427"")"),0)</f>
        <v>0</v>
      </c>
      <c r="J532" s="472">
        <f ca="1">IFERROR(__xludf.DUMMYFUNCTION("IMPORTRANGE(""https://docs.google.com/spreadsheets/d/1IYY_tgx_IHuhSq3AJ5eI5OnqOPBNLWSHKh2a30DoXe8/edit?usp=sharing"",""นครศรีธรรมราช!J427"")"),0)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IFERROR(__xludf.DUMMYFUNCTION("IMPORTRANGE(""https://docs.google.com/spreadsheets/d/1IYY_tgx_IHuhSq3AJ5eI5OnqOPBNLWSHKh2a30DoXe8/edit?usp=sharing"",""นครศรีธรรมราช!I428"")"),26)</f>
        <v>26</v>
      </c>
      <c r="J533" s="416">
        <f ca="1">IFERROR(__xludf.DUMMYFUNCTION("IMPORTRANGE(""https://docs.google.com/spreadsheets/d/1IYY_tgx_IHuhSq3AJ5eI5OnqOPBNLWSHKh2a30DoXe8/edit?usp=sharing"",""นครศรีธรรมราช!J428"")"),26)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IFERROR(__xludf.DUMMYFUNCTION("IMPORTRANGE(""https://docs.google.com/spreadsheets/d/1IYY_tgx_IHuhSq3AJ5eI5OnqOPBNLWSHKh2a30DoXe8/edit?usp=sharing"",""นครศรีธรรมราช!L428"")"),37740)</f>
        <v>37740</v>
      </c>
      <c r="M533" s="418"/>
      <c r="N533" s="418">
        <f ca="1">IFERROR(__xludf.DUMMYFUNCTION("IMPORTRANGE(""https://docs.google.com/spreadsheets/d/1IYY_tgx_IHuhSq3AJ5eI5OnqOPBNLWSHKh2a30DoXe8/edit?usp=sharing"",""นครศรีธรรมราช!M428"")"),34639)</f>
        <v>34639</v>
      </c>
      <c r="O533" s="418">
        <f t="shared" ref="O533:O537" ca="1" si="118">+IF(L533&gt;0,N533*100/L533,0)</f>
        <v>91.783253842077372</v>
      </c>
      <c r="P533" s="418"/>
    </row>
    <row r="534" spans="1:16" ht="21.75" customHeight="1" x14ac:dyDescent="0.35">
      <c r="A534" s="162"/>
      <c r="B534" s="163"/>
      <c r="C534" s="163" t="s">
        <v>16</v>
      </c>
      <c r="D534" s="164" t="s">
        <v>38</v>
      </c>
      <c r="E534" s="165"/>
      <c r="F534" s="165"/>
      <c r="G534" s="166" t="s">
        <v>39</v>
      </c>
      <c r="H534" s="167" t="s">
        <v>12</v>
      </c>
      <c r="I534" s="168" t="s">
        <v>40</v>
      </c>
      <c r="J534" s="168"/>
      <c r="K534" s="169"/>
      <c r="L534" s="170">
        <f ca="1">IFERROR(__xludf.DUMMYFUNCTION("IMPORTRANGE(""https://docs.google.com/spreadsheets/d/1IYY_tgx_IHuhSq3AJ5eI5OnqOPBNLWSHKh2a30DoXe8/edit?usp=sharing"",""นครศรีธรรมราช!L429"")"),0)</f>
        <v>0</v>
      </c>
      <c r="M534" s="170"/>
      <c r="N534" s="176">
        <f ca="1">IFERROR(__xludf.DUMMYFUNCTION("IMPORTRANGE(""https://docs.google.com/spreadsheets/d/1IYY_tgx_IHuhSq3AJ5eI5OnqOPBNLWSHKh2a30DoXe8/edit?usp=sharing"",""นครศรีธรรมราช!M429"")"),0)</f>
        <v>0</v>
      </c>
      <c r="O534" s="176">
        <f t="shared" ca="1" si="118"/>
        <v>0</v>
      </c>
      <c r="P534" s="176"/>
    </row>
    <row r="535" spans="1:16" ht="21.75" customHeight="1" x14ac:dyDescent="0.35">
      <c r="A535" s="162"/>
      <c r="B535" s="163"/>
      <c r="C535" s="163"/>
      <c r="D535" s="172"/>
      <c r="E535" s="165"/>
      <c r="F535" s="165" t="s">
        <v>40</v>
      </c>
      <c r="G535" s="166" t="s">
        <v>41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IFERROR(__xludf.DUMMYFUNCTION("IMPORTRANGE(""https://docs.google.com/spreadsheets/d/1IYY_tgx_IHuhSq3AJ5eI5OnqOPBNLWSHKh2a30DoXe8/edit?usp=sharing"",""นครศรีธรรมราช!L430"")"),37740)</f>
        <v>37740</v>
      </c>
      <c r="M535" s="171"/>
      <c r="N535" s="176">
        <f ca="1">IFERROR(__xludf.DUMMYFUNCTION("IMPORTRANGE(""https://docs.google.com/spreadsheets/d/1IYY_tgx_IHuhSq3AJ5eI5OnqOPBNLWSHKh2a30DoXe8/edit?usp=sharing"",""นครศรีธรรมราช!M430"")"),34639)</f>
        <v>34639</v>
      </c>
      <c r="O535" s="176">
        <f t="shared" ca="1" si="118"/>
        <v>91.783253842077372</v>
      </c>
      <c r="P535" s="176"/>
    </row>
    <row r="536" spans="1:16" ht="21.75" customHeight="1" x14ac:dyDescent="0.35">
      <c r="A536" s="162"/>
      <c r="B536" s="163"/>
      <c r="C536" s="163"/>
      <c r="D536" s="172"/>
      <c r="E536" s="165"/>
      <c r="F536" s="165"/>
      <c r="G536" s="380" t="s">
        <v>129</v>
      </c>
      <c r="H536" s="167" t="s">
        <v>12</v>
      </c>
      <c r="I536" s="168"/>
      <c r="J536" s="168"/>
      <c r="K536" s="169"/>
      <c r="L536" s="176">
        <f ca="1">IFERROR(__xludf.DUMMYFUNCTION("IMPORTRANGE(""https://docs.google.com/spreadsheets/d/1IYY_tgx_IHuhSq3AJ5eI5OnqOPBNLWSHKh2a30DoXe8/edit?usp=sharing"",""นครศรีธรรมราช!L431"")"),0)</f>
        <v>0</v>
      </c>
      <c r="M536" s="176"/>
      <c r="N536" s="176">
        <f ca="1">IFERROR(__xludf.DUMMYFUNCTION("IMPORTRANGE(""https://docs.google.com/spreadsheets/d/1IYY_tgx_IHuhSq3AJ5eI5OnqOPBNLWSHKh2a30DoXe8/edit?usp=sharing"",""นครศรีธรรมราช!M431"")"),0)</f>
        <v>0</v>
      </c>
      <c r="O536" s="176">
        <f t="shared" ca="1" si="118"/>
        <v>0</v>
      </c>
      <c r="P536" s="176"/>
    </row>
    <row r="537" spans="1:16" ht="21.75" customHeight="1" x14ac:dyDescent="0.35">
      <c r="A537" s="162"/>
      <c r="B537" s="163"/>
      <c r="C537" s="163"/>
      <c r="D537" s="172"/>
      <c r="E537" s="165"/>
      <c r="F537" s="165"/>
      <c r="G537" s="380" t="s">
        <v>130</v>
      </c>
      <c r="H537" s="167" t="s">
        <v>12</v>
      </c>
      <c r="I537" s="168"/>
      <c r="J537" s="168"/>
      <c r="K537" s="169"/>
      <c r="L537" s="176">
        <f ca="1">IFERROR(__xludf.DUMMYFUNCTION("IMPORTRANGE(""https://docs.google.com/spreadsheets/d/1IYY_tgx_IHuhSq3AJ5eI5OnqOPBNLWSHKh2a30DoXe8/edit?usp=sharing"",""นครศรีธรรมราช!L432"")"),37740)</f>
        <v>37740</v>
      </c>
      <c r="M537" s="176"/>
      <c r="N537" s="176">
        <f ca="1">IFERROR(__xludf.DUMMYFUNCTION("IMPORTRANGE(""https://docs.google.com/spreadsheets/d/1IYY_tgx_IHuhSq3AJ5eI5OnqOPBNLWSHKh2a30DoXe8/edit?usp=sharing"",""นครศรีธรรมราช!M432"")"),34639)</f>
        <v>34639</v>
      </c>
      <c r="O537" s="176">
        <f t="shared" ca="1" si="118"/>
        <v>91.783253842077372</v>
      </c>
      <c r="P537" s="176"/>
    </row>
    <row r="538" spans="1:16" ht="21.75" customHeight="1" x14ac:dyDescent="0.35">
      <c r="A538" s="381"/>
      <c r="B538" s="382"/>
      <c r="C538" s="163"/>
      <c r="D538" s="383"/>
      <c r="E538" s="165"/>
      <c r="F538" s="165"/>
      <c r="G538" s="384" t="s">
        <v>131</v>
      </c>
      <c r="H538" s="167" t="s">
        <v>12</v>
      </c>
      <c r="I538" s="195"/>
      <c r="J538" s="195"/>
      <c r="K538" s="231"/>
      <c r="L538" s="176"/>
      <c r="M538" s="176"/>
      <c r="N538" s="385">
        <f ca="1">IFERROR(__xludf.DUMMYFUNCTION("IMPORTRANGE(""https://docs.google.com/spreadsheets/d/1IYY_tgx_IHuhSq3AJ5eI5OnqOPBNLWSHKh2a30DoXe8/edit?usp=sharing"",""นครศรีธรรมราช!M433"")"),21900)</f>
        <v>21900</v>
      </c>
      <c r="O538" s="176"/>
      <c r="P538" s="176"/>
    </row>
    <row r="539" spans="1:16" ht="21.75" customHeight="1" x14ac:dyDescent="0.35">
      <c r="A539" s="381"/>
      <c r="B539" s="382"/>
      <c r="C539" s="163"/>
      <c r="D539" s="383"/>
      <c r="E539" s="165"/>
      <c r="F539" s="165"/>
      <c r="G539" s="384" t="s">
        <v>132</v>
      </c>
      <c r="H539" s="167" t="s">
        <v>12</v>
      </c>
      <c r="I539" s="195"/>
      <c r="J539" s="195"/>
      <c r="K539" s="231"/>
      <c r="L539" s="176"/>
      <c r="M539" s="176"/>
      <c r="N539" s="385">
        <f ca="1">IFERROR(__xludf.DUMMYFUNCTION("IMPORTRANGE(""https://docs.google.com/spreadsheets/d/1IYY_tgx_IHuhSq3AJ5eI5OnqOPBNLWSHKh2a30DoXe8/edit?usp=sharing"",""นครศรีธรรมราช!M434"")"),0)</f>
        <v>0</v>
      </c>
      <c r="O539" s="176"/>
      <c r="P539" s="176"/>
    </row>
    <row r="540" spans="1:16" ht="21.75" customHeight="1" x14ac:dyDescent="0.35">
      <c r="A540" s="381"/>
      <c r="B540" s="382"/>
      <c r="C540" s="163"/>
      <c r="D540" s="383"/>
      <c r="E540" s="165"/>
      <c r="F540" s="165"/>
      <c r="G540" s="384" t="s">
        <v>133</v>
      </c>
      <c r="H540" s="167" t="s">
        <v>12</v>
      </c>
      <c r="I540" s="195"/>
      <c r="J540" s="195"/>
      <c r="K540" s="231"/>
      <c r="L540" s="176"/>
      <c r="M540" s="176"/>
      <c r="N540" s="385">
        <f ca="1">IFERROR(__xludf.DUMMYFUNCTION("IMPORTRANGE(""https://docs.google.com/spreadsheets/d/1IYY_tgx_IHuhSq3AJ5eI5OnqOPBNLWSHKh2a30DoXe8/edit?usp=sharing"",""นครศรีธรรมราช!M435"")"),0)</f>
        <v>0</v>
      </c>
      <c r="O540" s="176"/>
      <c r="P540" s="176"/>
    </row>
    <row r="541" spans="1:16" ht="21.75" customHeight="1" x14ac:dyDescent="0.35">
      <c r="A541" s="381"/>
      <c r="B541" s="382"/>
      <c r="C541" s="163"/>
      <c r="D541" s="383"/>
      <c r="E541" s="165"/>
      <c r="F541" s="165"/>
      <c r="G541" s="384" t="s">
        <v>134</v>
      </c>
      <c r="H541" s="167" t="s">
        <v>12</v>
      </c>
      <c r="I541" s="195"/>
      <c r="J541" s="195"/>
      <c r="K541" s="231"/>
      <c r="L541" s="176"/>
      <c r="M541" s="176"/>
      <c r="N541" s="385">
        <f ca="1">IFERROR(__xludf.DUMMYFUNCTION("IMPORTRANGE(""https://docs.google.com/spreadsheets/d/1IYY_tgx_IHuhSq3AJ5eI5OnqOPBNLWSHKh2a30DoXe8/edit?usp=sharing"",""นครศรีธรรมราช!M436"")"),12739)</f>
        <v>12739</v>
      </c>
      <c r="O541" s="176"/>
      <c r="P541" s="176"/>
    </row>
    <row r="542" spans="1:16" ht="21.75" customHeight="1" x14ac:dyDescent="0.35">
      <c r="A542" s="183"/>
      <c r="B542" s="184"/>
      <c r="C542" s="163" t="s">
        <v>16</v>
      </c>
      <c r="D542" s="185" t="s">
        <v>44</v>
      </c>
      <c r="E542" s="186"/>
      <c r="F542" s="186"/>
      <c r="G542" s="187"/>
      <c r="H542" s="188"/>
      <c r="I542" s="168"/>
      <c r="J542" s="168"/>
      <c r="K542" s="169"/>
      <c r="L542" s="189"/>
      <c r="M542" s="189"/>
      <c r="N542" s="189"/>
      <c r="O542" s="189"/>
      <c r="P542" s="189"/>
    </row>
    <row r="543" spans="1:16" ht="21.75" customHeight="1" x14ac:dyDescent="0.35">
      <c r="A543" s="183"/>
      <c r="B543" s="184"/>
      <c r="C543" s="184"/>
      <c r="D543" s="190">
        <v>1</v>
      </c>
      <c r="E543" s="191" t="s">
        <v>45</v>
      </c>
      <c r="F543" s="192"/>
      <c r="G543" s="193"/>
      <c r="H543" s="194"/>
      <c r="I543" s="195"/>
      <c r="J543" s="205">
        <f ca="1">IFERROR(__xludf.DUMMYFUNCTION("IMPORTRANGE(""https://docs.google.com/spreadsheets/d/1IYY_tgx_IHuhSq3AJ5eI5OnqOPBNLWSHKh2a30DoXe8/edit?usp=sharing"",""นครศรีธรรมราช!J438"")"),0)</f>
        <v>0</v>
      </c>
      <c r="K543" s="169"/>
      <c r="L543" s="189"/>
      <c r="M543" s="189"/>
      <c r="N543" s="189"/>
      <c r="O543" s="189"/>
      <c r="P543" s="189"/>
    </row>
    <row r="544" spans="1:16" ht="21.75" customHeight="1" x14ac:dyDescent="0.35">
      <c r="A544" s="183"/>
      <c r="B544" s="184"/>
      <c r="C544" s="184"/>
      <c r="D544" s="197">
        <v>2</v>
      </c>
      <c r="E544" s="198" t="s">
        <v>46</v>
      </c>
      <c r="F544" s="199"/>
      <c r="G544" s="200"/>
      <c r="H544" s="194"/>
      <c r="I544" s="195"/>
      <c r="J544" s="196">
        <f ca="1">IFERROR(__xludf.DUMMYFUNCTION("IMPORTRANGE(""https://docs.google.com/spreadsheets/d/1IYY_tgx_IHuhSq3AJ5eI5OnqOPBNLWSHKh2a30DoXe8/edit?usp=sharing"",""นครศรีธรรมราช!J439"")"),1)</f>
        <v>1</v>
      </c>
      <c r="K544" s="169"/>
      <c r="L544" s="189" t="s">
        <v>40</v>
      </c>
      <c r="M544" s="189"/>
      <c r="N544" s="189" t="s">
        <v>40</v>
      </c>
      <c r="O544" s="189"/>
      <c r="P544" s="189"/>
    </row>
    <row r="545" spans="1:16" ht="21.75" customHeight="1" x14ac:dyDescent="0.35">
      <c r="A545" s="183"/>
      <c r="B545" s="184"/>
      <c r="C545" s="184"/>
      <c r="D545" s="201"/>
      <c r="E545" s="202" t="s">
        <v>47</v>
      </c>
      <c r="F545" s="203"/>
      <c r="G545" s="204"/>
      <c r="H545" s="194"/>
      <c r="I545" s="195"/>
      <c r="J545" s="196">
        <f ca="1">IFERROR(__xludf.DUMMYFUNCTION("IMPORTRANGE(""https://docs.google.com/spreadsheets/d/1IYY_tgx_IHuhSq3AJ5eI5OnqOPBNLWSHKh2a30DoXe8/edit?usp=sharing"",""นครศรีธรรมราช!J440"")"),1)</f>
        <v>1</v>
      </c>
      <c r="K545" s="169"/>
      <c r="L545" s="189"/>
      <c r="M545" s="189"/>
      <c r="N545" s="189"/>
      <c r="O545" s="189"/>
      <c r="P545" s="189"/>
    </row>
    <row r="546" spans="1:16" ht="21.75" customHeight="1" x14ac:dyDescent="0.35">
      <c r="A546" s="183"/>
      <c r="B546" s="184"/>
      <c r="C546" s="184"/>
      <c r="D546" s="201"/>
      <c r="E546" s="202" t="s">
        <v>48</v>
      </c>
      <c r="F546" s="203"/>
      <c r="G546" s="204"/>
      <c r="H546" s="194"/>
      <c r="I546" s="195"/>
      <c r="J546" s="205">
        <f ca="1">IFERROR(__xludf.DUMMYFUNCTION("IMPORTRANGE(""https://docs.google.com/spreadsheets/d/1IYY_tgx_IHuhSq3AJ5eI5OnqOPBNLWSHKh2a30DoXe8/edit?usp=sharing"",""นครศรีธรรมราช!J441"")"),1)</f>
        <v>1</v>
      </c>
      <c r="K546" s="169"/>
      <c r="L546" s="189"/>
      <c r="M546" s="189"/>
      <c r="N546" s="189"/>
      <c r="O546" s="189"/>
      <c r="P546" s="189"/>
    </row>
    <row r="547" spans="1:16" ht="21.75" customHeight="1" x14ac:dyDescent="0.35">
      <c r="A547" s="183"/>
      <c r="B547" s="184"/>
      <c r="C547" s="184"/>
      <c r="D547" s="201"/>
      <c r="E547" s="206"/>
      <c r="F547" s="203"/>
      <c r="G547" s="233" t="s">
        <v>203</v>
      </c>
      <c r="H547" s="194" t="s">
        <v>37</v>
      </c>
      <c r="I547" s="211">
        <f ca="1">IFERROR(__xludf.DUMMYFUNCTION("IMPORTRANGE(""https://docs.google.com/spreadsheets/d/1IYY_tgx_IHuhSq3AJ5eI5OnqOPBNLWSHKh2a30DoXe8/edit?usp=sharing"",""นครศรีธรรมราช!I442"")"),26)</f>
        <v>26</v>
      </c>
      <c r="J547" s="196">
        <f ca="1">IFERROR(__xludf.DUMMYFUNCTION("IMPORTRANGE(""https://docs.google.com/spreadsheets/d/1IYY_tgx_IHuhSq3AJ5eI5OnqOPBNLWSHKh2a30DoXe8/edit?usp=sharing"",""นครศรีธรรมราช!J442"")"),26)</f>
        <v>26</v>
      </c>
      <c r="K547" s="169">
        <f t="shared" ref="K547:K548" ca="1" si="119">IF(I547&gt;0,J547*100/I547,0)</f>
        <v>100</v>
      </c>
      <c r="L547" s="189"/>
      <c r="M547" s="189"/>
      <c r="N547" s="189"/>
      <c r="O547" s="189"/>
      <c r="P547" s="189"/>
    </row>
    <row r="548" spans="1:16" ht="21.75" hidden="1" customHeight="1" x14ac:dyDescent="0.35">
      <c r="A548" s="183"/>
      <c r="B548" s="184"/>
      <c r="C548" s="184"/>
      <c r="D548" s="201"/>
      <c r="E548" s="206"/>
      <c r="F548" s="203"/>
      <c r="G548" s="233" t="s">
        <v>204</v>
      </c>
      <c r="H548" s="194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5">
        <f ca="1">IFERROR(__xludf.DUMMYFUNCTION("IMPORTRANGE(""https://docs.google.com/spreadsheets/d/1IYY_tgx_IHuhSq3AJ5eI5OnqOPBNLWSHKh2a30DoXe8/edit?usp=sharing"",""นครศรีธรรมราช!J166"")"),0)</f>
        <v>0</v>
      </c>
      <c r="K548" s="169">
        <f t="shared" ca="1" si="119"/>
        <v>0</v>
      </c>
      <c r="L548" s="189"/>
      <c r="M548" s="189"/>
      <c r="N548" s="189"/>
      <c r="O548" s="189"/>
      <c r="P548" s="189"/>
    </row>
    <row r="549" spans="1:16" ht="21.75" customHeight="1" x14ac:dyDescent="0.35">
      <c r="A549" s="183"/>
      <c r="B549" s="184"/>
      <c r="C549" s="184"/>
      <c r="D549" s="201"/>
      <c r="E549" s="202" t="s">
        <v>54</v>
      </c>
      <c r="F549" s="203"/>
      <c r="G549" s="204"/>
      <c r="H549" s="194"/>
      <c r="I549" s="195"/>
      <c r="J549" s="205">
        <f ca="1">IFERROR(__xludf.DUMMYFUNCTION("IMPORTRANGE(""https://docs.google.com/spreadsheets/d/1IYY_tgx_IHuhSq3AJ5eI5OnqOPBNLWSHKh2a30DoXe8/edit?usp=sharing"",""นครศรีธรรมราช!J444"")"),0)</f>
        <v>0</v>
      </c>
      <c r="K549" s="169"/>
      <c r="L549" s="189"/>
      <c r="M549" s="189"/>
      <c r="N549" s="189"/>
      <c r="O549" s="189"/>
      <c r="P549" s="189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IFERROR(__xludf.DUMMYFUNCTION("IMPORTRANGE(""https://docs.google.com/spreadsheets/d/1IYY_tgx_IHuhSq3AJ5eI5OnqOPBNLWSHKh2a30DoXe8/edit?usp=sharing"",""นครศรีธรรมราช!J445"")"),0)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IFERROR(__xludf.DUMMYFUNCTION("IMPORTRANGE(""https://docs.google.com/spreadsheets/d/1IYY_tgx_IHuhSq3AJ5eI5OnqOPBNLWSHKh2a30DoXe8/edit?usp=sharing"",""นครศรีธรรมราช!I446"")"),0)</f>
        <v>0</v>
      </c>
      <c r="J551" s="416">
        <f ca="1">IFERROR(__xludf.DUMMYFUNCTION("IMPORTRANGE(""https://docs.google.com/spreadsheets/d/1IYY_tgx_IHuhSq3AJ5eI5OnqOPBNLWSHKh2a30DoXe8/edit?usp=sharing"",""นครศรีธรรมราช!J446"")"),0)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IFERROR(__xludf.DUMMYFUNCTION("IMPORTRANGE(""https://docs.google.com/spreadsheets/d/1IYY_tgx_IHuhSq3AJ5eI5OnqOPBNLWSHKh2a30DoXe8/edit?usp=sharing"",""นครศรีธรรมราช!L446"")"),0)</f>
        <v>0</v>
      </c>
      <c r="M551" s="418"/>
      <c r="N551" s="418">
        <f ca="1">IFERROR(__xludf.DUMMYFUNCTION("IMPORTRANGE(""https://docs.google.com/spreadsheets/d/1IYY_tgx_IHuhSq3AJ5eI5OnqOPBNLWSHKh2a30DoXe8/edit?usp=sharing"",""นครศรีธรรมราช!M446"")"),0)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164" t="s">
        <v>38</v>
      </c>
      <c r="E552" s="165"/>
      <c r="F552" s="165"/>
      <c r="G552" s="166" t="s">
        <v>39</v>
      </c>
      <c r="H552" s="167" t="s">
        <v>12</v>
      </c>
      <c r="I552" s="168" t="s">
        <v>40</v>
      </c>
      <c r="J552" s="168"/>
      <c r="K552" s="169"/>
      <c r="L552" s="170">
        <f ca="1">IFERROR(__xludf.DUMMYFUNCTION("IMPORTRANGE(""https://docs.google.com/spreadsheets/d/1IYY_tgx_IHuhSq3AJ5eI5OnqOPBNLWSHKh2a30DoXe8/edit?usp=sharing"",""นครศรีธรรมราช!L447"")"),0)</f>
        <v>0</v>
      </c>
      <c r="M552" s="170"/>
      <c r="N552" s="176">
        <f ca="1">IFERROR(__xludf.DUMMYFUNCTION("IMPORTRANGE(""https://docs.google.com/spreadsheets/d/1IYY_tgx_IHuhSq3AJ5eI5OnqOPBNLWSHKh2a30DoXe8/edit?usp=sharing"",""นครศรีธรรมราช!M447"")"),0)</f>
        <v>0</v>
      </c>
      <c r="O552" s="176">
        <f t="shared" ca="1" si="120"/>
        <v>0</v>
      </c>
      <c r="P552" s="176"/>
    </row>
    <row r="553" spans="1:16" ht="21.75" customHeight="1" x14ac:dyDescent="0.35">
      <c r="A553" s="162"/>
      <c r="B553" s="163"/>
      <c r="C553" s="163"/>
      <c r="D553" s="172"/>
      <c r="E553" s="165"/>
      <c r="F553" s="165" t="s">
        <v>40</v>
      </c>
      <c r="G553" s="166" t="s">
        <v>41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IFERROR(__xludf.DUMMYFUNCTION("IMPORTRANGE(""https://docs.google.com/spreadsheets/d/1IYY_tgx_IHuhSq3AJ5eI5OnqOPBNLWSHKh2a30DoXe8/edit?usp=sharing"",""นครศรีธรรมราช!L448"")"),0)</f>
        <v>0</v>
      </c>
      <c r="M553" s="171"/>
      <c r="N553" s="176">
        <f ca="1">IFERROR(__xludf.DUMMYFUNCTION("IMPORTRANGE(""https://docs.google.com/spreadsheets/d/1IYY_tgx_IHuhSq3AJ5eI5OnqOPBNLWSHKh2a30DoXe8/edit?usp=sharing"",""นครศรีธรรมราช!M448"")"),0)</f>
        <v>0</v>
      </c>
      <c r="O553" s="176">
        <f t="shared" ca="1" si="120"/>
        <v>0</v>
      </c>
      <c r="P553" s="176"/>
    </row>
    <row r="554" spans="1:16" ht="21.75" customHeight="1" x14ac:dyDescent="0.35">
      <c r="A554" s="162"/>
      <c r="B554" s="163"/>
      <c r="C554" s="163"/>
      <c r="D554" s="172"/>
      <c r="E554" s="165"/>
      <c r="F554" s="165"/>
      <c r="G554" s="380" t="s">
        <v>129</v>
      </c>
      <c r="H554" s="167" t="s">
        <v>12</v>
      </c>
      <c r="I554" s="168"/>
      <c r="J554" s="168"/>
      <c r="K554" s="169"/>
      <c r="L554" s="176">
        <f ca="1">IFERROR(__xludf.DUMMYFUNCTION("IMPORTRANGE(""https://docs.google.com/spreadsheets/d/1IYY_tgx_IHuhSq3AJ5eI5OnqOPBNLWSHKh2a30DoXe8/edit?usp=sharing"",""นครศรีธรรมราช!L449"")"),0)</f>
        <v>0</v>
      </c>
      <c r="M554" s="176"/>
      <c r="N554" s="176">
        <f ca="1">IFERROR(__xludf.DUMMYFUNCTION("IMPORTRANGE(""https://docs.google.com/spreadsheets/d/1IYY_tgx_IHuhSq3AJ5eI5OnqOPBNLWSHKh2a30DoXe8/edit?usp=sharing"",""นครศรีธรรมราช!M449"")"),0)</f>
        <v>0</v>
      </c>
      <c r="O554" s="176">
        <f t="shared" ca="1" si="120"/>
        <v>0</v>
      </c>
      <c r="P554" s="176"/>
    </row>
    <row r="555" spans="1:16" ht="21.75" customHeight="1" x14ac:dyDescent="0.35">
      <c r="A555" s="162"/>
      <c r="B555" s="163"/>
      <c r="C555" s="163"/>
      <c r="D555" s="172"/>
      <c r="E555" s="165"/>
      <c r="F555" s="165"/>
      <c r="G555" s="380" t="s">
        <v>130</v>
      </c>
      <c r="H555" s="167" t="s">
        <v>12</v>
      </c>
      <c r="I555" s="168"/>
      <c r="J555" s="168"/>
      <c r="K555" s="169"/>
      <c r="L555" s="176">
        <f ca="1">IFERROR(__xludf.DUMMYFUNCTION("IMPORTRANGE(""https://docs.google.com/spreadsheets/d/1IYY_tgx_IHuhSq3AJ5eI5OnqOPBNLWSHKh2a30DoXe8/edit?usp=sharing"",""นครศรีธรรมราช!L450"")"),0)</f>
        <v>0</v>
      </c>
      <c r="M555" s="176"/>
      <c r="N555" s="176">
        <f ca="1">IFERROR(__xludf.DUMMYFUNCTION("IMPORTRANGE(""https://docs.google.com/spreadsheets/d/1IYY_tgx_IHuhSq3AJ5eI5OnqOPBNLWSHKh2a30DoXe8/edit?usp=sharing"",""นครศรีธรรมราช!M450"")"),0)</f>
        <v>0</v>
      </c>
      <c r="O555" s="176">
        <f t="shared" ca="1" si="120"/>
        <v>0</v>
      </c>
      <c r="P555" s="176"/>
    </row>
    <row r="556" spans="1:16" ht="21.75" customHeight="1" x14ac:dyDescent="0.35">
      <c r="A556" s="381"/>
      <c r="B556" s="382"/>
      <c r="C556" s="163"/>
      <c r="D556" s="383"/>
      <c r="E556" s="165"/>
      <c r="F556" s="165"/>
      <c r="G556" s="384" t="s">
        <v>131</v>
      </c>
      <c r="H556" s="167" t="s">
        <v>12</v>
      </c>
      <c r="I556" s="195"/>
      <c r="J556" s="195"/>
      <c r="K556" s="231"/>
      <c r="L556" s="176"/>
      <c r="M556" s="176"/>
      <c r="N556" s="173">
        <f ca="1">IFERROR(__xludf.DUMMYFUNCTION("IMPORTRANGE(""https://docs.google.com/spreadsheets/d/1IYY_tgx_IHuhSq3AJ5eI5OnqOPBNLWSHKh2a30DoXe8/edit?usp=sharing"",""นครศรีธรรมราช!M451"")"),0)</f>
        <v>0</v>
      </c>
      <c r="O556" s="176"/>
      <c r="P556" s="176"/>
    </row>
    <row r="557" spans="1:16" ht="21.75" customHeight="1" x14ac:dyDescent="0.35">
      <c r="A557" s="381"/>
      <c r="B557" s="382"/>
      <c r="C557" s="163"/>
      <c r="D557" s="383"/>
      <c r="E557" s="165"/>
      <c r="F557" s="165"/>
      <c r="G557" s="384" t="s">
        <v>132</v>
      </c>
      <c r="H557" s="167" t="s">
        <v>12</v>
      </c>
      <c r="I557" s="195"/>
      <c r="J557" s="195"/>
      <c r="K557" s="231"/>
      <c r="L557" s="176"/>
      <c r="M557" s="176"/>
      <c r="N557" s="173">
        <f ca="1">IFERROR(__xludf.DUMMYFUNCTION("IMPORTRANGE(""https://docs.google.com/spreadsheets/d/1IYY_tgx_IHuhSq3AJ5eI5OnqOPBNLWSHKh2a30DoXe8/edit?usp=sharing"",""นครศรีธรรมราช!M452"")"),0)</f>
        <v>0</v>
      </c>
      <c r="O557" s="176"/>
      <c r="P557" s="176"/>
    </row>
    <row r="558" spans="1:16" ht="21.75" customHeight="1" x14ac:dyDescent="0.35">
      <c r="A558" s="381"/>
      <c r="B558" s="382"/>
      <c r="C558" s="163"/>
      <c r="D558" s="383"/>
      <c r="E558" s="165"/>
      <c r="F558" s="165"/>
      <c r="G558" s="384" t="s">
        <v>133</v>
      </c>
      <c r="H558" s="167" t="s">
        <v>12</v>
      </c>
      <c r="I558" s="195"/>
      <c r="J558" s="195"/>
      <c r="K558" s="231"/>
      <c r="L558" s="176"/>
      <c r="M558" s="176"/>
      <c r="N558" s="173">
        <f ca="1">IFERROR(__xludf.DUMMYFUNCTION("IMPORTRANGE(""https://docs.google.com/spreadsheets/d/1IYY_tgx_IHuhSq3AJ5eI5OnqOPBNLWSHKh2a30DoXe8/edit?usp=sharing"",""นครศรีธรรมราช!M453"")"),0)</f>
        <v>0</v>
      </c>
      <c r="O558" s="176"/>
      <c r="P558" s="176"/>
    </row>
    <row r="559" spans="1:16" ht="21.75" customHeight="1" x14ac:dyDescent="0.35">
      <c r="A559" s="381"/>
      <c r="B559" s="382"/>
      <c r="C559" s="163"/>
      <c r="D559" s="383"/>
      <c r="E559" s="165"/>
      <c r="F559" s="165"/>
      <c r="G559" s="384" t="s">
        <v>134</v>
      </c>
      <c r="H559" s="167" t="s">
        <v>12</v>
      </c>
      <c r="I559" s="195"/>
      <c r="J559" s="195"/>
      <c r="K559" s="231"/>
      <c r="L559" s="176"/>
      <c r="M559" s="176"/>
      <c r="N559" s="173">
        <f ca="1">IFERROR(__xludf.DUMMYFUNCTION("IMPORTRANGE(""https://docs.google.com/spreadsheets/d/1IYY_tgx_IHuhSq3AJ5eI5OnqOPBNLWSHKh2a30DoXe8/edit?usp=sharing"",""นครศรีธรรมราช!M454"")"),0)</f>
        <v>0</v>
      </c>
      <c r="O559" s="176"/>
      <c r="P559" s="176"/>
    </row>
    <row r="560" spans="1:16" ht="21.75" customHeight="1" x14ac:dyDescent="0.35">
      <c r="A560" s="183"/>
      <c r="B560" s="184"/>
      <c r="C560" s="184"/>
      <c r="D560" s="201"/>
      <c r="E560" s="203"/>
      <c r="F560" s="285" t="s">
        <v>206</v>
      </c>
      <c r="G560" s="204"/>
      <c r="H560" s="481" t="s">
        <v>122</v>
      </c>
      <c r="I560" s="168">
        <f ca="1">IFERROR(__xludf.DUMMYFUNCTION("IMPORTRANGE(""https://docs.google.com/spreadsheets/d/1IYY_tgx_IHuhSq3AJ5eI5OnqOPBNLWSHKh2a30DoXe8/edit?usp=sharing"",""นครศรีธรรมราช!I455"")"),0)</f>
        <v>0</v>
      </c>
      <c r="J560" s="168">
        <f ca="1">IFERROR(__xludf.DUMMYFUNCTION("IMPORTRANGE(""https://docs.google.com/spreadsheets/d/1IYY_tgx_IHuhSq3AJ5eI5OnqOPBNLWSHKh2a30DoXe8/edit?usp=sharing"",""นครศรีธรรมราช!J455"")"),0)</f>
        <v>0</v>
      </c>
      <c r="K560" s="231">
        <f t="shared" ref="K560:K564" ca="1" si="121">IF(I560&gt;0,J560*100/I560,0)</f>
        <v>0</v>
      </c>
      <c r="L560" s="176"/>
      <c r="M560" s="176"/>
      <c r="N560" s="176"/>
      <c r="O560" s="189"/>
      <c r="P560" s="189"/>
    </row>
    <row r="561" spans="1:16" ht="21.75" customHeight="1" x14ac:dyDescent="0.35">
      <c r="A561" s="183"/>
      <c r="B561" s="184"/>
      <c r="C561" s="184"/>
      <c r="D561" s="201"/>
      <c r="E561" s="203"/>
      <c r="F561" s="203"/>
      <c r="G561" s="204"/>
      <c r="H561" s="481" t="s">
        <v>36</v>
      </c>
      <c r="I561" s="168">
        <f ca="1">IFERROR(__xludf.DUMMYFUNCTION("IMPORTRANGE(""https://docs.google.com/spreadsheets/d/1IYY_tgx_IHuhSq3AJ5eI5OnqOPBNLWSHKh2a30DoXe8/edit?usp=sharing"",""นครศรีธรรมราช!I456"")"),0)</f>
        <v>0</v>
      </c>
      <c r="J561" s="211">
        <f ca="1">IFERROR(__xludf.DUMMYFUNCTION("IMPORTRANGE(""https://docs.google.com/spreadsheets/d/1IYY_tgx_IHuhSq3AJ5eI5OnqOPBNLWSHKh2a30DoXe8/edit?usp=sharing"",""นครศรีธรรมราช!J456"")"),0)</f>
        <v>0</v>
      </c>
      <c r="K561" s="231">
        <f t="shared" ca="1" si="121"/>
        <v>0</v>
      </c>
      <c r="L561" s="176"/>
      <c r="M561" s="176"/>
      <c r="N561" s="176"/>
      <c r="O561" s="189"/>
      <c r="P561" s="189"/>
    </row>
    <row r="562" spans="1:16" ht="21.75" customHeight="1" x14ac:dyDescent="0.35">
      <c r="A562" s="183"/>
      <c r="B562" s="184"/>
      <c r="C562" s="184"/>
      <c r="D562" s="201"/>
      <c r="E562" s="203"/>
      <c r="F562" s="203" t="s">
        <v>207</v>
      </c>
      <c r="G562" s="204"/>
      <c r="H562" s="481" t="s">
        <v>122</v>
      </c>
      <c r="I562" s="168">
        <f ca="1">IFERROR(__xludf.DUMMYFUNCTION("IMPORTRANGE(""https://docs.google.com/spreadsheets/d/1IYY_tgx_IHuhSq3AJ5eI5OnqOPBNLWSHKh2a30DoXe8/edit?usp=sharing"",""นครศรีธรรมราช!I457"")"),0)</f>
        <v>0</v>
      </c>
      <c r="J562" s="211" t="str">
        <f ca="1">IFERROR(__xludf.DUMMYFUNCTION("IMPORTRANGE(""https://docs.google.com/spreadsheets/d/1IYY_tgx_IHuhSq3AJ5eI5OnqOPBNLWSHKh2a30DoXe8/edit?usp=sharing"",""นครศรีธรรมราช!J457"")"),"")</f>
        <v/>
      </c>
      <c r="K562" s="169">
        <f t="shared" ca="1" si="121"/>
        <v>0</v>
      </c>
      <c r="L562" s="189"/>
      <c r="M562" s="189"/>
      <c r="N562" s="189"/>
      <c r="O562" s="189"/>
      <c r="P562" s="189"/>
    </row>
    <row r="563" spans="1:16" ht="21.75" customHeight="1" x14ac:dyDescent="0.35">
      <c r="A563" s="183"/>
      <c r="B563" s="184"/>
      <c r="C563" s="184"/>
      <c r="D563" s="201"/>
      <c r="E563" s="203"/>
      <c r="F563" s="203"/>
      <c r="G563" s="204"/>
      <c r="H563" s="481" t="s">
        <v>36</v>
      </c>
      <c r="I563" s="168">
        <f ca="1">IFERROR(__xludf.DUMMYFUNCTION("IMPORTRANGE(""https://docs.google.com/spreadsheets/d/1IYY_tgx_IHuhSq3AJ5eI5OnqOPBNLWSHKh2a30DoXe8/edit?usp=sharing"",""นครศรีธรรมราช!I458"")"),0)</f>
        <v>0</v>
      </c>
      <c r="J563" s="195" t="str">
        <f ca="1">IFERROR(__xludf.DUMMYFUNCTION("IMPORTRANGE(""https://docs.google.com/spreadsheets/d/1IYY_tgx_IHuhSq3AJ5eI5OnqOPBNLWSHKh2a30DoXe8/edit?usp=sharing"",""นครศรีธรรมราช!J458"")"),"")</f>
        <v/>
      </c>
      <c r="K563" s="169">
        <f t="shared" ca="1" si="121"/>
        <v>0</v>
      </c>
      <c r="L563" s="189"/>
      <c r="M563" s="189"/>
      <c r="N563" s="189"/>
      <c r="O563" s="189"/>
      <c r="P563" s="189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IFERROR(__xludf.DUMMYFUNCTION("IMPORTRANGE(""https://docs.google.com/spreadsheets/d/1IYY_tgx_IHuhSq3AJ5eI5OnqOPBNLWSHKh2a30DoXe8/edit?usp=sharing"",""นครศรีธรรมราช!I459"")"),1700)</f>
        <v>1700</v>
      </c>
      <c r="J564" s="377">
        <f ca="1">IFERROR(__xludf.DUMMYFUNCTION("IMPORTRANGE(""https://docs.google.com/spreadsheets/d/1IYY_tgx_IHuhSq3AJ5eI5OnqOPBNLWSHKh2a30DoXe8/edit?usp=sharing"",""นครศรีธรรมราช!J459"")"),967)</f>
        <v>967</v>
      </c>
      <c r="K564" s="378">
        <f t="shared" ca="1" si="121"/>
        <v>56.882352941176471</v>
      </c>
      <c r="L564" s="379">
        <f ca="1">IFERROR(__xludf.DUMMYFUNCTION("IMPORTRANGE(""https://docs.google.com/spreadsheets/d/1IYY_tgx_IHuhSq3AJ5eI5OnqOPBNLWSHKh2a30DoXe8/edit?usp=sharing"",""นครศรีธรรมราช!L459"")"),145440)</f>
        <v>145440</v>
      </c>
      <c r="M564" s="379"/>
      <c r="N564" s="379">
        <f ca="1">IFERROR(__xludf.DUMMYFUNCTION("IMPORTRANGE(""https://docs.google.com/spreadsheets/d/1IYY_tgx_IHuhSq3AJ5eI5OnqOPBNLWSHKh2a30DoXe8/edit?usp=sharing"",""นครศรีธรรมราช!M459"")"),65273)</f>
        <v>65273</v>
      </c>
      <c r="O564" s="379">
        <f t="shared" ref="O564:O568" ca="1" si="122">+IF(L564&gt;0,N564*100/L564,0)</f>
        <v>44.879675467546754</v>
      </c>
      <c r="P564" s="379"/>
    </row>
    <row r="565" spans="1:16" ht="21.75" customHeight="1" x14ac:dyDescent="0.35">
      <c r="A565" s="162"/>
      <c r="B565" s="163"/>
      <c r="C565" s="163" t="s">
        <v>16</v>
      </c>
      <c r="D565" s="164" t="s">
        <v>38</v>
      </c>
      <c r="E565" s="165"/>
      <c r="F565" s="165"/>
      <c r="G565" s="166" t="s">
        <v>39</v>
      </c>
      <c r="H565" s="167" t="s">
        <v>12</v>
      </c>
      <c r="I565" s="168" t="s">
        <v>40</v>
      </c>
      <c r="J565" s="168"/>
      <c r="K565" s="169"/>
      <c r="L565" s="170">
        <f ca="1">IFERROR(__xludf.DUMMYFUNCTION("IMPORTRANGE(""https://docs.google.com/spreadsheets/d/1IYY_tgx_IHuhSq3AJ5eI5OnqOPBNLWSHKh2a30DoXe8/edit?usp=sharing"",""นครศรีธรรมราช!L460"")"),0)</f>
        <v>0</v>
      </c>
      <c r="M565" s="170"/>
      <c r="N565" s="176">
        <f ca="1">IFERROR(__xludf.DUMMYFUNCTION("IMPORTRANGE(""https://docs.google.com/spreadsheets/d/1IYY_tgx_IHuhSq3AJ5eI5OnqOPBNLWSHKh2a30DoXe8/edit?usp=sharing"",""นครศรีธรรมราช!M460"")"),0)</f>
        <v>0</v>
      </c>
      <c r="O565" s="176">
        <f t="shared" ca="1" si="122"/>
        <v>0</v>
      </c>
      <c r="P565" s="176"/>
    </row>
    <row r="566" spans="1:16" ht="21.75" customHeight="1" x14ac:dyDescent="0.35">
      <c r="A566" s="162"/>
      <c r="B566" s="163"/>
      <c r="C566" s="163"/>
      <c r="D566" s="172"/>
      <c r="E566" s="165"/>
      <c r="F566" s="165" t="s">
        <v>40</v>
      </c>
      <c r="G566" s="166" t="s">
        <v>41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IFERROR(__xludf.DUMMYFUNCTION("IMPORTRANGE(""https://docs.google.com/spreadsheets/d/1IYY_tgx_IHuhSq3AJ5eI5OnqOPBNLWSHKh2a30DoXe8/edit?usp=sharing"",""นครศรีธรรมราช!L461"")"),145440)</f>
        <v>145440</v>
      </c>
      <c r="M566" s="171"/>
      <c r="N566" s="176">
        <f ca="1">IFERROR(__xludf.DUMMYFUNCTION("IMPORTRANGE(""https://docs.google.com/spreadsheets/d/1IYY_tgx_IHuhSq3AJ5eI5OnqOPBNLWSHKh2a30DoXe8/edit?usp=sharing"",""นครศรีธรรมราช!M461"")"),65273)</f>
        <v>65273</v>
      </c>
      <c r="O566" s="176">
        <f t="shared" ca="1" si="122"/>
        <v>44.879675467546754</v>
      </c>
      <c r="P566" s="176"/>
    </row>
    <row r="567" spans="1:16" ht="21.75" customHeight="1" x14ac:dyDescent="0.35">
      <c r="A567" s="162"/>
      <c r="B567" s="163"/>
      <c r="C567" s="163"/>
      <c r="D567" s="172"/>
      <c r="E567" s="165"/>
      <c r="F567" s="165"/>
      <c r="G567" s="380" t="s">
        <v>129</v>
      </c>
      <c r="H567" s="167" t="s">
        <v>12</v>
      </c>
      <c r="I567" s="168"/>
      <c r="J567" s="168"/>
      <c r="K567" s="169"/>
      <c r="L567" s="176">
        <f ca="1">IFERROR(__xludf.DUMMYFUNCTION("IMPORTRANGE(""https://docs.google.com/spreadsheets/d/1IYY_tgx_IHuhSq3AJ5eI5OnqOPBNLWSHKh2a30DoXe8/edit?usp=sharing"",""นครศรีธรรมราช!L462"")"),0)</f>
        <v>0</v>
      </c>
      <c r="M567" s="176"/>
      <c r="N567" s="176">
        <f ca="1">IFERROR(__xludf.DUMMYFUNCTION("IMPORTRANGE(""https://docs.google.com/spreadsheets/d/1IYY_tgx_IHuhSq3AJ5eI5OnqOPBNLWSHKh2a30DoXe8/edit?usp=sharing"",""นครศรีธรรมราช!M462"")"),0)</f>
        <v>0</v>
      </c>
      <c r="O567" s="176">
        <f t="shared" ca="1" si="122"/>
        <v>0</v>
      </c>
      <c r="P567" s="176"/>
    </row>
    <row r="568" spans="1:16" ht="21.75" customHeight="1" x14ac:dyDescent="0.35">
      <c r="A568" s="162"/>
      <c r="B568" s="163"/>
      <c r="C568" s="163"/>
      <c r="D568" s="172"/>
      <c r="E568" s="165"/>
      <c r="F568" s="165"/>
      <c r="G568" s="380" t="s">
        <v>130</v>
      </c>
      <c r="H568" s="167" t="s">
        <v>12</v>
      </c>
      <c r="I568" s="168"/>
      <c r="J568" s="168"/>
      <c r="K568" s="169"/>
      <c r="L568" s="176">
        <f ca="1">IFERROR(__xludf.DUMMYFUNCTION("IMPORTRANGE(""https://docs.google.com/spreadsheets/d/1IYY_tgx_IHuhSq3AJ5eI5OnqOPBNLWSHKh2a30DoXe8/edit?usp=sharing"",""นครศรีธรรมราช!L463"")"),145440)</f>
        <v>145440</v>
      </c>
      <c r="M568" s="176"/>
      <c r="N568" s="176">
        <f ca="1">IFERROR(__xludf.DUMMYFUNCTION("IMPORTRANGE(""https://docs.google.com/spreadsheets/d/1IYY_tgx_IHuhSq3AJ5eI5OnqOPBNLWSHKh2a30DoXe8/edit?usp=sharing"",""นครศรีธรรมราช!M463"")"),65273)</f>
        <v>65273</v>
      </c>
      <c r="O568" s="176">
        <f t="shared" ca="1" si="122"/>
        <v>44.879675467546754</v>
      </c>
      <c r="P568" s="176"/>
    </row>
    <row r="569" spans="1:16" ht="21.75" customHeight="1" x14ac:dyDescent="0.35">
      <c r="A569" s="381"/>
      <c r="B569" s="382"/>
      <c r="C569" s="163"/>
      <c r="D569" s="383"/>
      <c r="E569" s="165"/>
      <c r="F569" s="165"/>
      <c r="G569" s="384" t="s">
        <v>131</v>
      </c>
      <c r="H569" s="167" t="s">
        <v>12</v>
      </c>
      <c r="I569" s="195"/>
      <c r="J569" s="195"/>
      <c r="K569" s="231"/>
      <c r="L569" s="176"/>
      <c r="M569" s="176"/>
      <c r="N569" s="173">
        <f ca="1">IFERROR(__xludf.DUMMYFUNCTION("IMPORTRANGE(""https://docs.google.com/spreadsheets/d/1IYY_tgx_IHuhSq3AJ5eI5OnqOPBNLWSHKh2a30DoXe8/edit?usp=sharing"",""นครศรีธรรมราช!M464"")"),0)</f>
        <v>0</v>
      </c>
      <c r="O569" s="176"/>
      <c r="P569" s="176"/>
    </row>
    <row r="570" spans="1:16" ht="21.75" customHeight="1" x14ac:dyDescent="0.35">
      <c r="A570" s="381"/>
      <c r="B570" s="382"/>
      <c r="C570" s="163"/>
      <c r="D570" s="383"/>
      <c r="E570" s="165"/>
      <c r="F570" s="165"/>
      <c r="G570" s="384" t="s">
        <v>132</v>
      </c>
      <c r="H570" s="167" t="s">
        <v>12</v>
      </c>
      <c r="I570" s="195"/>
      <c r="J570" s="195"/>
      <c r="K570" s="231"/>
      <c r="L570" s="176"/>
      <c r="M570" s="176"/>
      <c r="N570" s="173">
        <f ca="1">IFERROR(__xludf.DUMMYFUNCTION("IMPORTRANGE(""https://docs.google.com/spreadsheets/d/1IYY_tgx_IHuhSq3AJ5eI5OnqOPBNLWSHKh2a30DoXe8/edit?usp=sharing"",""นครศรีธรรมราช!M465"")"),0)</f>
        <v>0</v>
      </c>
      <c r="O570" s="176"/>
      <c r="P570" s="176"/>
    </row>
    <row r="571" spans="1:16" ht="21.75" customHeight="1" x14ac:dyDescent="0.35">
      <c r="A571" s="381"/>
      <c r="B571" s="382"/>
      <c r="C571" s="163"/>
      <c r="D571" s="383"/>
      <c r="E571" s="165"/>
      <c r="F571" s="165"/>
      <c r="G571" s="384" t="s">
        <v>133</v>
      </c>
      <c r="H571" s="167" t="s">
        <v>12</v>
      </c>
      <c r="I571" s="195"/>
      <c r="J571" s="195"/>
      <c r="K571" s="231"/>
      <c r="L571" s="176"/>
      <c r="M571" s="176"/>
      <c r="N571" s="385">
        <f ca="1">IFERROR(__xludf.DUMMYFUNCTION("IMPORTRANGE(""https://docs.google.com/spreadsheets/d/1IYY_tgx_IHuhSq3AJ5eI5OnqOPBNLWSHKh2a30DoXe8/edit?usp=sharing"",""นครศรีธรรมราช!M466"")"),44000)</f>
        <v>44000</v>
      </c>
      <c r="O571" s="176"/>
      <c r="P571" s="176"/>
    </row>
    <row r="572" spans="1:16" ht="21.75" customHeight="1" x14ac:dyDescent="0.35">
      <c r="A572" s="381"/>
      <c r="B572" s="382"/>
      <c r="C572" s="163"/>
      <c r="D572" s="383"/>
      <c r="E572" s="165"/>
      <c r="F572" s="165"/>
      <c r="G572" s="384" t="s">
        <v>134</v>
      </c>
      <c r="H572" s="167" t="s">
        <v>12</v>
      </c>
      <c r="I572" s="195"/>
      <c r="J572" s="195"/>
      <c r="K572" s="231"/>
      <c r="L572" s="176"/>
      <c r="M572" s="176"/>
      <c r="N572" s="385">
        <f ca="1">IFERROR(__xludf.DUMMYFUNCTION("IMPORTRANGE(""https://docs.google.com/spreadsheets/d/1IYY_tgx_IHuhSq3AJ5eI5OnqOPBNLWSHKh2a30DoXe8/edit?usp=sharing"",""นครศรีธรรมราช!M467"")"),21273)</f>
        <v>21273</v>
      </c>
      <c r="O572" s="176"/>
      <c r="P572" s="176"/>
    </row>
    <row r="573" spans="1:16" ht="21.75" customHeight="1" x14ac:dyDescent="0.35">
      <c r="A573" s="183"/>
      <c r="B573" s="184"/>
      <c r="C573" s="184"/>
      <c r="D573" s="203"/>
      <c r="E573" s="202" t="s">
        <v>40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IFERROR(__xludf.DUMMYFUNCTION("IMPORTRANGE(""https://docs.google.com/spreadsheets/d/1IYY_tgx_IHuhSq3AJ5eI5OnqOPBNLWSHKh2a30DoXe8/edit?usp=sharing"",""นครศรีธรรมราช!I468"")"),1700)</f>
        <v>1700</v>
      </c>
      <c r="J573" s="426">
        <f ca="1">IFERROR(__xludf.DUMMYFUNCTION("IMPORTRANGE(""https://docs.google.com/spreadsheets/d/1IYY_tgx_IHuhSq3AJ5eI5OnqOPBNLWSHKh2a30DoXe8/edit?usp=sharing"",""นครศรีธรรมราช!J468"")"),967)</f>
        <v>967</v>
      </c>
      <c r="K573" s="209">
        <f ca="1">IF(I573&gt;0,J573*100/I573,0)</f>
        <v>56.882352941176471</v>
      </c>
      <c r="L573" s="189"/>
      <c r="M573" s="189"/>
      <c r="N573" s="189"/>
      <c r="O573" s="189"/>
      <c r="P573" s="189"/>
    </row>
    <row r="574" spans="1:16" ht="21.75" customHeight="1" x14ac:dyDescent="0.35">
      <c r="A574" s="183"/>
      <c r="B574" s="184"/>
      <c r="C574" s="184"/>
      <c r="D574" s="203"/>
      <c r="E574" s="203"/>
      <c r="F574" s="202" t="s">
        <v>210</v>
      </c>
      <c r="G574" s="204"/>
      <c r="H574" s="481"/>
      <c r="I574" s="168"/>
      <c r="J574" s="168"/>
      <c r="K574" s="169"/>
      <c r="L574" s="189"/>
      <c r="M574" s="189"/>
      <c r="N574" s="189"/>
      <c r="O574" s="189"/>
      <c r="P574" s="189"/>
    </row>
    <row r="575" spans="1:16" ht="21.75" customHeight="1" x14ac:dyDescent="0.35">
      <c r="A575" s="183"/>
      <c r="B575" s="184"/>
      <c r="C575" s="184"/>
      <c r="D575" s="203"/>
      <c r="E575" s="202" t="s">
        <v>40</v>
      </c>
      <c r="F575" s="202" t="s">
        <v>211</v>
      </c>
      <c r="G575" s="204"/>
      <c r="H575" s="481" t="s">
        <v>77</v>
      </c>
      <c r="I575" s="210">
        <f ca="1">IFERROR(__xludf.DUMMYFUNCTION("IMPORTRANGE(""https://docs.google.com/spreadsheets/d/1IYY_tgx_IHuhSq3AJ5eI5OnqOPBNLWSHKh2a30DoXe8/edit?usp=sharing"",""นครศรีธรรมราช!I470"")"),0)</f>
        <v>0</v>
      </c>
      <c r="J575" s="205">
        <f ca="1">IFERROR(__xludf.DUMMYFUNCTION("IMPORTRANGE(""https://docs.google.com/spreadsheets/d/1IYY_tgx_IHuhSq3AJ5eI5OnqOPBNLWSHKh2a30DoXe8/edit?usp=sharing"",""นครศรีธรรมราช!J470"")"),5)</f>
        <v>5</v>
      </c>
      <c r="K575" s="169">
        <f t="shared" ref="K575:K579" ca="1" si="123">IF(I575&gt;0,J575*100/I575,0)</f>
        <v>0</v>
      </c>
      <c r="L575" s="189"/>
      <c r="M575" s="189"/>
      <c r="N575" s="189"/>
      <c r="O575" s="189"/>
      <c r="P575" s="189"/>
    </row>
    <row r="576" spans="1:16" ht="21.75" customHeight="1" x14ac:dyDescent="0.35">
      <c r="A576" s="183"/>
      <c r="B576" s="184"/>
      <c r="C576" s="184"/>
      <c r="D576" s="203"/>
      <c r="E576" s="203"/>
      <c r="F576" s="202" t="s">
        <v>212</v>
      </c>
      <c r="G576" s="204"/>
      <c r="H576" s="481" t="s">
        <v>37</v>
      </c>
      <c r="I576" s="210">
        <f ca="1">IFERROR(__xludf.DUMMYFUNCTION("IMPORTRANGE(""https://docs.google.com/spreadsheets/d/1IYY_tgx_IHuhSq3AJ5eI5OnqOPBNLWSHKh2a30DoXe8/edit?usp=sharing"",""นครศรีธรรมราช!I471"")"),0)</f>
        <v>0</v>
      </c>
      <c r="J576" s="205">
        <f ca="1">IFERROR(__xludf.DUMMYFUNCTION("IMPORTRANGE(""https://docs.google.com/spreadsheets/d/1IYY_tgx_IHuhSq3AJ5eI5OnqOPBNLWSHKh2a30DoXe8/edit?usp=sharing"",""นครศรีธรรมราช!J471"")"),271)</f>
        <v>271</v>
      </c>
      <c r="K576" s="169">
        <f t="shared" ca="1" si="123"/>
        <v>0</v>
      </c>
      <c r="L576" s="189"/>
      <c r="M576" s="189"/>
      <c r="N576" s="189"/>
      <c r="O576" s="189"/>
      <c r="P576" s="189"/>
    </row>
    <row r="577" spans="1:16" ht="21.75" customHeight="1" x14ac:dyDescent="0.35">
      <c r="A577" s="183"/>
      <c r="B577" s="184"/>
      <c r="C577" s="184"/>
      <c r="D577" s="203"/>
      <c r="E577" s="203"/>
      <c r="F577" s="202" t="s">
        <v>213</v>
      </c>
      <c r="G577" s="204"/>
      <c r="H577" s="481" t="s">
        <v>37</v>
      </c>
      <c r="I577" s="210">
        <f ca="1">IFERROR(__xludf.DUMMYFUNCTION("IMPORTRANGE(""https://docs.google.com/spreadsheets/d/1IYY_tgx_IHuhSq3AJ5eI5OnqOPBNLWSHKh2a30DoXe8/edit?usp=sharing"",""นครศรีธรรมราช!I472"")"),0)</f>
        <v>0</v>
      </c>
      <c r="J577" s="196">
        <f ca="1">IFERROR(__xludf.DUMMYFUNCTION("IMPORTRANGE(""https://docs.google.com/spreadsheets/d/1IYY_tgx_IHuhSq3AJ5eI5OnqOPBNLWSHKh2a30DoXe8/edit?usp=sharing"",""นครศรีธรรมราช!J472"")"),696)</f>
        <v>696</v>
      </c>
      <c r="K577" s="169">
        <f t="shared" ca="1" si="123"/>
        <v>0</v>
      </c>
      <c r="L577" s="189"/>
      <c r="M577" s="189"/>
      <c r="N577" s="189"/>
      <c r="O577" s="189"/>
      <c r="P577" s="189"/>
    </row>
    <row r="578" spans="1:16" ht="21.75" customHeight="1" x14ac:dyDescent="0.35">
      <c r="A578" s="183"/>
      <c r="B578" s="184"/>
      <c r="C578" s="184"/>
      <c r="D578" s="203"/>
      <c r="E578" s="203"/>
      <c r="F578" s="202" t="s">
        <v>214</v>
      </c>
      <c r="G578" s="427"/>
      <c r="H578" s="481" t="s">
        <v>37</v>
      </c>
      <c r="I578" s="210">
        <f ca="1">IFERROR(__xludf.DUMMYFUNCTION("IMPORTRANGE(""https://docs.google.com/spreadsheets/d/1IYY_tgx_IHuhSq3AJ5eI5OnqOPBNLWSHKh2a30DoXe8/edit?usp=sharing"",""นครศรีธรรมราช!I473"")"),0)</f>
        <v>0</v>
      </c>
      <c r="J578" s="205">
        <f ca="1">IFERROR(__xludf.DUMMYFUNCTION("IMPORTRANGE(""https://docs.google.com/spreadsheets/d/1IYY_tgx_IHuhSq3AJ5eI5OnqOPBNLWSHKh2a30DoXe8/edit?usp=sharing"",""นครศรีธรรมราช!J473"")"),0)</f>
        <v>0</v>
      </c>
      <c r="K578" s="169">
        <f t="shared" ca="1" si="123"/>
        <v>0</v>
      </c>
      <c r="L578" s="189"/>
      <c r="M578" s="189"/>
      <c r="N578" s="189"/>
      <c r="O578" s="189"/>
      <c r="P578" s="189"/>
    </row>
    <row r="579" spans="1:16" ht="21.75" customHeight="1" x14ac:dyDescent="0.35">
      <c r="A579" s="183"/>
      <c r="B579" s="184"/>
      <c r="C579" s="184"/>
      <c r="D579" s="203"/>
      <c r="E579" s="203"/>
      <c r="F579" s="202" t="s">
        <v>215</v>
      </c>
      <c r="G579" s="427"/>
      <c r="H579" s="481" t="s">
        <v>37</v>
      </c>
      <c r="I579" s="210">
        <f ca="1">IFERROR(__xludf.DUMMYFUNCTION("IMPORTRANGE(""https://docs.google.com/spreadsheets/d/1IYY_tgx_IHuhSq3AJ5eI5OnqOPBNLWSHKh2a30DoXe8/edit?usp=sharing"",""นครศรีธรรมราช!I474"")"),0)</f>
        <v>0</v>
      </c>
      <c r="J579" s="205">
        <f ca="1">IFERROR(__xludf.DUMMYFUNCTION("IMPORTRANGE(""https://docs.google.com/spreadsheets/d/1IYY_tgx_IHuhSq3AJ5eI5OnqOPBNLWSHKh2a30DoXe8/edit?usp=sharing"",""นครศรีธรรมราช!J474"")"),0)</f>
        <v>0</v>
      </c>
      <c r="K579" s="169">
        <f t="shared" ca="1" si="123"/>
        <v>0</v>
      </c>
      <c r="L579" s="189"/>
      <c r="M579" s="189"/>
      <c r="N579" s="189"/>
      <c r="O579" s="189"/>
      <c r="P579" s="189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IFERROR(__xludf.DUMMYFUNCTION("IMPORTRANGE(""https://docs.google.com/spreadsheets/d/1IYY_tgx_IHuhSq3AJ5eI5OnqOPBNLWSHKh2a30DoXe8/edit?usp=sharing"",""นครศรีธรรมราช!I475"")"),27)</f>
        <v>27</v>
      </c>
      <c r="J580" s="377">
        <f ca="1">IFERROR(__xludf.DUMMYFUNCTION("IMPORTRANGE(""https://docs.google.com/spreadsheets/d/1IYY_tgx_IHuhSq3AJ5eI5OnqOPBNLWSHKh2a30DoXe8/edit?usp=sharing"",""นครศรีธรรมราช!J475"")"),1)</f>
        <v>1</v>
      </c>
      <c r="K580" s="378">
        <f ca="1">IF(I580&gt;0,J580*100/I580,0)</f>
        <v>3.7037037037037037</v>
      </c>
      <c r="L580" s="379">
        <f ca="1">IFERROR(__xludf.DUMMYFUNCTION("IMPORTRANGE(""https://docs.google.com/spreadsheets/d/1IYY_tgx_IHuhSq3AJ5eI5OnqOPBNLWSHKh2a30DoXe8/edit?usp=sharing"",""นครศรีธรรมราช!L475"")"),147177)</f>
        <v>147177</v>
      </c>
      <c r="M580" s="379"/>
      <c r="N580" s="379">
        <f ca="1">IFERROR(__xludf.DUMMYFUNCTION("IMPORTRANGE(""https://docs.google.com/spreadsheets/d/1IYY_tgx_IHuhSq3AJ5eI5OnqOPBNLWSHKh2a30DoXe8/edit?usp=sharing"",""นครศรีธรรมราช!M475"")"),0)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164" t="s">
        <v>38</v>
      </c>
      <c r="E581" s="165"/>
      <c r="F581" s="165"/>
      <c r="G581" s="166" t="s">
        <v>39</v>
      </c>
      <c r="H581" s="167" t="s">
        <v>12</v>
      </c>
      <c r="I581" s="168" t="s">
        <v>40</v>
      </c>
      <c r="J581" s="168"/>
      <c r="K581" s="169"/>
      <c r="L581" s="170">
        <f ca="1">IFERROR(__xludf.DUMMYFUNCTION("IMPORTRANGE(""https://docs.google.com/spreadsheets/d/1IYY_tgx_IHuhSq3AJ5eI5OnqOPBNLWSHKh2a30DoXe8/edit?usp=sharing"",""นครศรีธรรมราช!L476"")"),0)</f>
        <v>0</v>
      </c>
      <c r="M581" s="170"/>
      <c r="N581" s="176">
        <f ca="1">IFERROR(__xludf.DUMMYFUNCTION("IMPORTRANGE(""https://docs.google.com/spreadsheets/d/1IYY_tgx_IHuhSq3AJ5eI5OnqOPBNLWSHKh2a30DoXe8/edit?usp=sharing"",""นครศรีธรรมราช!M476"")"),0)</f>
        <v>0</v>
      </c>
      <c r="O581" s="176">
        <f t="shared" ca="1" si="124"/>
        <v>0</v>
      </c>
      <c r="P581" s="176"/>
    </row>
    <row r="582" spans="1:16" ht="21.75" customHeight="1" x14ac:dyDescent="0.35">
      <c r="A582" s="162"/>
      <c r="B582" s="163"/>
      <c r="C582" s="163"/>
      <c r="D582" s="172"/>
      <c r="E582" s="165"/>
      <c r="F582" s="165" t="s">
        <v>40</v>
      </c>
      <c r="G582" s="166" t="s">
        <v>41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IFERROR(__xludf.DUMMYFUNCTION("IMPORTRANGE(""https://docs.google.com/spreadsheets/d/1IYY_tgx_IHuhSq3AJ5eI5OnqOPBNLWSHKh2a30DoXe8/edit?usp=sharing"",""นครศรีธรรมราช!L477"")"),147177)</f>
        <v>147177</v>
      </c>
      <c r="M582" s="171"/>
      <c r="N582" s="176">
        <f ca="1">IFERROR(__xludf.DUMMYFUNCTION("IMPORTRANGE(""https://docs.google.com/spreadsheets/d/1IYY_tgx_IHuhSq3AJ5eI5OnqOPBNLWSHKh2a30DoXe8/edit?usp=sharing"",""นครศรีธรรมราช!M477"")"),0)</f>
        <v>0</v>
      </c>
      <c r="O582" s="176">
        <f t="shared" ca="1" si="124"/>
        <v>0</v>
      </c>
      <c r="P582" s="176"/>
    </row>
    <row r="583" spans="1:16" ht="21.75" customHeight="1" x14ac:dyDescent="0.35">
      <c r="A583" s="162"/>
      <c r="B583" s="163"/>
      <c r="C583" s="163"/>
      <c r="D583" s="172"/>
      <c r="E583" s="165"/>
      <c r="F583" s="165"/>
      <c r="G583" s="380" t="s">
        <v>129</v>
      </c>
      <c r="H583" s="167" t="s">
        <v>12</v>
      </c>
      <c r="I583" s="168"/>
      <c r="J583" s="168"/>
      <c r="K583" s="169"/>
      <c r="L583" s="176">
        <f ca="1">IFERROR(__xludf.DUMMYFUNCTION("IMPORTRANGE(""https://docs.google.com/spreadsheets/d/1IYY_tgx_IHuhSq3AJ5eI5OnqOPBNLWSHKh2a30DoXe8/edit?usp=sharing"",""นครศรีธรรมราช!L478"")"),0)</f>
        <v>0</v>
      </c>
      <c r="M583" s="176"/>
      <c r="N583" s="176">
        <f ca="1">IFERROR(__xludf.DUMMYFUNCTION("IMPORTRANGE(""https://docs.google.com/spreadsheets/d/1IYY_tgx_IHuhSq3AJ5eI5OnqOPBNLWSHKh2a30DoXe8/edit?usp=sharing"",""นครศรีธรรมราช!M478"")"),0)</f>
        <v>0</v>
      </c>
      <c r="O583" s="176">
        <f t="shared" ca="1" si="124"/>
        <v>0</v>
      </c>
      <c r="P583" s="176"/>
    </row>
    <row r="584" spans="1:16" ht="21.75" customHeight="1" x14ac:dyDescent="0.35">
      <c r="A584" s="162"/>
      <c r="B584" s="163"/>
      <c r="C584" s="163"/>
      <c r="D584" s="172"/>
      <c r="E584" s="165"/>
      <c r="F584" s="165"/>
      <c r="G584" s="380" t="s">
        <v>130</v>
      </c>
      <c r="H584" s="167" t="s">
        <v>12</v>
      </c>
      <c r="I584" s="168"/>
      <c r="J584" s="168"/>
      <c r="K584" s="169"/>
      <c r="L584" s="176">
        <f ca="1">IFERROR(__xludf.DUMMYFUNCTION("IMPORTRANGE(""https://docs.google.com/spreadsheets/d/1IYY_tgx_IHuhSq3AJ5eI5OnqOPBNLWSHKh2a30DoXe8/edit?usp=sharing"",""นครศรีธรรมราช!L479"")"),147177)</f>
        <v>147177</v>
      </c>
      <c r="M584" s="176"/>
      <c r="N584" s="176">
        <f ca="1">IFERROR(__xludf.DUMMYFUNCTION("IMPORTRANGE(""https://docs.google.com/spreadsheets/d/1IYY_tgx_IHuhSq3AJ5eI5OnqOPBNLWSHKh2a30DoXe8/edit?usp=sharing"",""นครศรีธรรมราช!M479"")"),0)</f>
        <v>0</v>
      </c>
      <c r="O584" s="176">
        <f t="shared" ca="1" si="124"/>
        <v>0</v>
      </c>
      <c r="P584" s="176"/>
    </row>
    <row r="585" spans="1:16" ht="21.75" customHeight="1" x14ac:dyDescent="0.35">
      <c r="A585" s="381"/>
      <c r="B585" s="382"/>
      <c r="C585" s="163"/>
      <c r="D585" s="383"/>
      <c r="E585" s="165"/>
      <c r="F585" s="165"/>
      <c r="G585" s="384" t="s">
        <v>131</v>
      </c>
      <c r="H585" s="167" t="s">
        <v>12</v>
      </c>
      <c r="I585" s="195"/>
      <c r="J585" s="195"/>
      <c r="K585" s="231"/>
      <c r="L585" s="176"/>
      <c r="M585" s="176"/>
      <c r="N585" s="173">
        <f ca="1">IFERROR(__xludf.DUMMYFUNCTION("IMPORTRANGE(""https://docs.google.com/spreadsheets/d/1IYY_tgx_IHuhSq3AJ5eI5OnqOPBNLWSHKh2a30DoXe8/edit?usp=sharing"",""นครศรีธรรมราช!M480"")"),0)</f>
        <v>0</v>
      </c>
      <c r="O585" s="176"/>
      <c r="P585" s="176"/>
    </row>
    <row r="586" spans="1:16" ht="21.75" customHeight="1" x14ac:dyDescent="0.35">
      <c r="A586" s="381"/>
      <c r="B586" s="382"/>
      <c r="C586" s="163"/>
      <c r="D586" s="383"/>
      <c r="E586" s="165"/>
      <c r="F586" s="165"/>
      <c r="G586" s="384" t="s">
        <v>132</v>
      </c>
      <c r="H586" s="167" t="s">
        <v>12</v>
      </c>
      <c r="I586" s="195"/>
      <c r="J586" s="195"/>
      <c r="K586" s="231"/>
      <c r="L586" s="176"/>
      <c r="M586" s="176"/>
      <c r="N586" s="173">
        <f ca="1">IFERROR(__xludf.DUMMYFUNCTION("IMPORTRANGE(""https://docs.google.com/spreadsheets/d/1IYY_tgx_IHuhSq3AJ5eI5OnqOPBNLWSHKh2a30DoXe8/edit?usp=sharing"",""นครศรีธรรมราช!M481"")"),0)</f>
        <v>0</v>
      </c>
      <c r="O586" s="176"/>
      <c r="P586" s="176"/>
    </row>
    <row r="587" spans="1:16" ht="21.75" customHeight="1" x14ac:dyDescent="0.35">
      <c r="A587" s="381"/>
      <c r="B587" s="382"/>
      <c r="C587" s="163"/>
      <c r="D587" s="383"/>
      <c r="E587" s="165"/>
      <c r="F587" s="165"/>
      <c r="G587" s="384" t="s">
        <v>133</v>
      </c>
      <c r="H587" s="167" t="s">
        <v>12</v>
      </c>
      <c r="I587" s="195"/>
      <c r="J587" s="195"/>
      <c r="K587" s="231"/>
      <c r="L587" s="176"/>
      <c r="M587" s="176"/>
      <c r="N587" s="173">
        <f ca="1">IFERROR(__xludf.DUMMYFUNCTION("IMPORTRANGE(""https://docs.google.com/spreadsheets/d/1IYY_tgx_IHuhSq3AJ5eI5OnqOPBNLWSHKh2a30DoXe8/edit?usp=sharing"",""นครศรีธรรมราช!M482"")"),0)</f>
        <v>0</v>
      </c>
      <c r="O587" s="176"/>
      <c r="P587" s="176"/>
    </row>
    <row r="588" spans="1:16" ht="21.75" customHeight="1" x14ac:dyDescent="0.35">
      <c r="A588" s="381"/>
      <c r="B588" s="382"/>
      <c r="C588" s="163"/>
      <c r="D588" s="383"/>
      <c r="E588" s="165"/>
      <c r="F588" s="165"/>
      <c r="G588" s="384" t="s">
        <v>134</v>
      </c>
      <c r="H588" s="167" t="s">
        <v>12</v>
      </c>
      <c r="I588" s="195"/>
      <c r="J588" s="195"/>
      <c r="K588" s="231"/>
      <c r="L588" s="176"/>
      <c r="M588" s="176"/>
      <c r="N588" s="173">
        <f ca="1">IFERROR(__xludf.DUMMYFUNCTION("IMPORTRANGE(""https://docs.google.com/spreadsheets/d/1IYY_tgx_IHuhSq3AJ5eI5OnqOPBNLWSHKh2a30DoXe8/edit?usp=sharing"",""นครศรีธรรมราช!M483"")"),0)</f>
        <v>0</v>
      </c>
      <c r="O588" s="176"/>
      <c r="P588" s="176"/>
    </row>
    <row r="589" spans="1:16" ht="21.75" customHeight="1" x14ac:dyDescent="0.35">
      <c r="A589" s="484"/>
      <c r="B589" s="172"/>
      <c r="C589" s="163"/>
      <c r="D589" s="297"/>
      <c r="E589" s="202" t="s">
        <v>217</v>
      </c>
      <c r="F589" s="203"/>
      <c r="G589" s="204"/>
      <c r="H589" s="188" t="s">
        <v>36</v>
      </c>
      <c r="I589" s="347">
        <f ca="1">IFERROR(__xludf.DUMMYFUNCTION("IMPORTRANGE(""https://docs.google.com/spreadsheets/d/1IYY_tgx_IHuhSq3AJ5eI5OnqOPBNLWSHKh2a30DoXe8/edit?usp=sharing"",""นครศรีธรรมราช!I484"")"),27)</f>
        <v>27</v>
      </c>
      <c r="J589" s="195">
        <f ca="1">IFERROR(__xludf.DUMMYFUNCTION("IMPORTRANGE(""https://docs.google.com/spreadsheets/d/1IYY_tgx_IHuhSq3AJ5eI5OnqOPBNLWSHKh2a30DoXe8/edit?usp=sharing"",""นครศรีธรรมราช!J484"")"),0)</f>
        <v>0</v>
      </c>
      <c r="K589" s="169">
        <f t="shared" ref="K589:K596" ca="1" si="125">IF(I589&gt;0,J589*100/I589,0)</f>
        <v>0</v>
      </c>
      <c r="L589" s="189"/>
      <c r="M589" s="189"/>
      <c r="N589" s="176"/>
      <c r="O589" s="189"/>
      <c r="P589" s="189"/>
    </row>
    <row r="590" spans="1:16" ht="21.75" customHeight="1" x14ac:dyDescent="0.35">
      <c r="A590" s="484"/>
      <c r="B590" s="172"/>
      <c r="C590" s="163"/>
      <c r="D590" s="297"/>
      <c r="E590" s="203"/>
      <c r="F590" s="203"/>
      <c r="G590" s="204"/>
      <c r="H590" s="188" t="s">
        <v>122</v>
      </c>
      <c r="I590" s="351">
        <f ca="1">IFERROR(__xludf.DUMMYFUNCTION("IMPORTRANGE(""https://docs.google.com/spreadsheets/d/1IYY_tgx_IHuhSq3AJ5eI5OnqOPBNLWSHKh2a30DoXe8/edit?usp=sharing"",""นครศรีธรรมราช!I485"")"),0)</f>
        <v>0</v>
      </c>
      <c r="J590" s="195">
        <f ca="1">IFERROR(__xludf.DUMMYFUNCTION("IMPORTRANGE(""https://docs.google.com/spreadsheets/d/1IYY_tgx_IHuhSq3AJ5eI5OnqOPBNLWSHKh2a30DoXe8/edit?usp=sharing"",""นครศรีธรรมราช!J485"")"),0)</f>
        <v>0</v>
      </c>
      <c r="K590" s="485">
        <f t="shared" ca="1" si="125"/>
        <v>0</v>
      </c>
      <c r="L590" s="189"/>
      <c r="M590" s="189"/>
      <c r="N590" s="176"/>
      <c r="O590" s="189"/>
      <c r="P590" s="189"/>
    </row>
    <row r="591" spans="1:16" ht="21.75" customHeight="1" x14ac:dyDescent="0.35">
      <c r="A591" s="484"/>
      <c r="B591" s="172"/>
      <c r="C591" s="163"/>
      <c r="D591" s="297"/>
      <c r="E591" s="202" t="s">
        <v>123</v>
      </c>
      <c r="F591" s="203"/>
      <c r="G591" s="204"/>
      <c r="H591" s="188" t="s">
        <v>37</v>
      </c>
      <c r="I591" s="347">
        <f ca="1">IFERROR(__xludf.DUMMYFUNCTION("IMPORTRANGE(""https://docs.google.com/spreadsheets/d/1IYY_tgx_IHuhSq3AJ5eI5OnqOPBNLWSHKh2a30DoXe8/edit?usp=sharing"",""นครศรีธรรมราช!I486"")"),27)</f>
        <v>27</v>
      </c>
      <c r="J591" s="195">
        <f ca="1">IFERROR(__xludf.DUMMYFUNCTION("IMPORTRANGE(""https://docs.google.com/spreadsheets/d/1IYY_tgx_IHuhSq3AJ5eI5OnqOPBNLWSHKh2a30DoXe8/edit?usp=sharing"",""นครศรีธรรมราช!J486"")"),1)</f>
        <v>1</v>
      </c>
      <c r="K591" s="169">
        <f t="shared" ca="1" si="125"/>
        <v>3.7037037037037037</v>
      </c>
      <c r="L591" s="189"/>
      <c r="M591" s="189"/>
      <c r="N591" s="189"/>
      <c r="O591" s="189"/>
      <c r="P591" s="189"/>
    </row>
    <row r="592" spans="1:16" ht="21.75" customHeight="1" x14ac:dyDescent="0.35">
      <c r="A592" s="484"/>
      <c r="B592" s="172"/>
      <c r="C592" s="163"/>
      <c r="D592" s="297"/>
      <c r="E592" s="203"/>
      <c r="F592" s="203"/>
      <c r="G592" s="204"/>
      <c r="H592" s="188" t="s">
        <v>122</v>
      </c>
      <c r="I592" s="351">
        <f ca="1">IFERROR(__xludf.DUMMYFUNCTION("IMPORTRANGE(""https://docs.google.com/spreadsheets/d/1IYY_tgx_IHuhSq3AJ5eI5OnqOPBNLWSHKh2a30DoXe8/edit?usp=sharing"",""นครศรีธรรมราช!I487"")"),0)</f>
        <v>0</v>
      </c>
      <c r="J592" s="195">
        <f ca="1">IFERROR(__xludf.DUMMYFUNCTION("IMPORTRANGE(""https://docs.google.com/spreadsheets/d/1IYY_tgx_IHuhSq3AJ5eI5OnqOPBNLWSHKh2a30DoXe8/edit?usp=sharing"",""นครศรีธรรมราช!J487"")"),0.61)</f>
        <v>0.61</v>
      </c>
      <c r="K592" s="348">
        <f t="shared" ca="1" si="125"/>
        <v>0</v>
      </c>
      <c r="L592" s="189"/>
      <c r="M592" s="189"/>
      <c r="N592" s="189"/>
      <c r="O592" s="189"/>
      <c r="P592" s="189"/>
    </row>
    <row r="593" spans="1:16" ht="21.75" customHeight="1" x14ac:dyDescent="0.35">
      <c r="A593" s="484"/>
      <c r="B593" s="172"/>
      <c r="C593" s="163"/>
      <c r="D593" s="297"/>
      <c r="E593" s="202" t="s">
        <v>124</v>
      </c>
      <c r="F593" s="203"/>
      <c r="G593" s="204"/>
      <c r="H593" s="188" t="s">
        <v>37</v>
      </c>
      <c r="I593" s="347">
        <f ca="1">IFERROR(__xludf.DUMMYFUNCTION("IMPORTRANGE(""https://docs.google.com/spreadsheets/d/1IYY_tgx_IHuhSq3AJ5eI5OnqOPBNLWSHKh2a30DoXe8/edit?usp=sharing"",""นครศรีธรรมราช!I488"")"),27)</f>
        <v>27</v>
      </c>
      <c r="J593" s="195">
        <f ca="1">IFERROR(__xludf.DUMMYFUNCTION("IMPORTRANGE(""https://docs.google.com/spreadsheets/d/1IYY_tgx_IHuhSq3AJ5eI5OnqOPBNLWSHKh2a30DoXe8/edit?usp=sharing"",""นครศรีธรรมราช!J488"")"),0)</f>
        <v>0</v>
      </c>
      <c r="K593" s="169">
        <f t="shared" ca="1" si="125"/>
        <v>0</v>
      </c>
      <c r="L593" s="189"/>
      <c r="M593" s="189"/>
      <c r="N593" s="189"/>
      <c r="O593" s="189"/>
      <c r="P593" s="189"/>
    </row>
    <row r="594" spans="1:16" ht="21.75" customHeight="1" x14ac:dyDescent="0.35">
      <c r="A594" s="484"/>
      <c r="B594" s="172"/>
      <c r="C594" s="163"/>
      <c r="D594" s="297"/>
      <c r="E594" s="203"/>
      <c r="F594" s="203"/>
      <c r="G594" s="204"/>
      <c r="H594" s="188" t="s">
        <v>122</v>
      </c>
      <c r="I594" s="351">
        <f ca="1">IFERROR(__xludf.DUMMYFUNCTION("IMPORTRANGE(""https://docs.google.com/spreadsheets/d/1IYY_tgx_IHuhSq3AJ5eI5OnqOPBNLWSHKh2a30DoXe8/edit?usp=sharing"",""นครศรีธรรมราช!I489"")"),0)</f>
        <v>0</v>
      </c>
      <c r="J594" s="195">
        <f ca="1">IFERROR(__xludf.DUMMYFUNCTION("IMPORTRANGE(""https://docs.google.com/spreadsheets/d/1IYY_tgx_IHuhSq3AJ5eI5OnqOPBNLWSHKh2a30DoXe8/edit?usp=sharing"",""นครศรีธรรมราช!J489"")"),0)</f>
        <v>0</v>
      </c>
      <c r="K594" s="348">
        <f t="shared" ca="1" si="125"/>
        <v>0</v>
      </c>
      <c r="L594" s="189"/>
      <c r="M594" s="189"/>
      <c r="N594" s="189"/>
      <c r="O594" s="189"/>
      <c r="P594" s="189"/>
    </row>
    <row r="595" spans="1:16" ht="21.75" customHeight="1" x14ac:dyDescent="0.35">
      <c r="A595" s="484"/>
      <c r="B595" s="172"/>
      <c r="C595" s="163"/>
      <c r="D595" s="297"/>
      <c r="E595" s="202" t="s">
        <v>125</v>
      </c>
      <c r="F595" s="203"/>
      <c r="G595" s="204"/>
      <c r="H595" s="188" t="s">
        <v>37</v>
      </c>
      <c r="I595" s="347">
        <f ca="1">IFERROR(__xludf.DUMMYFUNCTION("IMPORTRANGE(""https://docs.google.com/spreadsheets/d/1IYY_tgx_IHuhSq3AJ5eI5OnqOPBNLWSHKh2a30DoXe8/edit?usp=sharing"",""นครศรีธรรมราช!I490"")"),27)</f>
        <v>27</v>
      </c>
      <c r="J595" s="195">
        <f ca="1">IFERROR(__xludf.DUMMYFUNCTION("IMPORTRANGE(""https://docs.google.com/spreadsheets/d/1IYY_tgx_IHuhSq3AJ5eI5OnqOPBNLWSHKh2a30DoXe8/edit?usp=sharing"",""นครศรีธรรมราช!J490"")"),1)</f>
        <v>1</v>
      </c>
      <c r="K595" s="169">
        <f t="shared" ca="1" si="125"/>
        <v>3.7037037037037037</v>
      </c>
      <c r="L595" s="189"/>
      <c r="M595" s="189"/>
      <c r="N595" s="189"/>
      <c r="O595" s="189"/>
      <c r="P595" s="189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IFERROR(__xludf.DUMMYFUNCTION("IMPORTRANGE(""https://docs.google.com/spreadsheets/d/1IYY_tgx_IHuhSq3AJ5eI5OnqOPBNLWSHKh2a30DoXe8/edit?usp=sharing"",""นครศรีธรรมราช!I491"")"),0)</f>
        <v>0</v>
      </c>
      <c r="J596" s="248">
        <f ca="1">IFERROR(__xludf.DUMMYFUNCTION("IMPORTRANGE(""https://docs.google.com/spreadsheets/d/1IYY_tgx_IHuhSq3AJ5eI5OnqOPBNLWSHKh2a30DoXe8/edit?usp=sharing"",""นครศรีธรรมราช!J491"")"),0.61)</f>
        <v>0.61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IFERROR(__xludf.DUMMYFUNCTION("IMPORTRANGE(""https://docs.google.com/spreadsheets/d/1IYY_tgx_IHuhSq3AJ5eI5OnqOPBNLWSHKh2a30DoXe8/edit?usp=sharing"",""นครศรีธรรมราช!I492"")"),50)</f>
        <v>50</v>
      </c>
      <c r="J597" s="493">
        <f ca="1">IFERROR(__xludf.DUMMYFUNCTION("IMPORTRANGE(""https://docs.google.com/spreadsheets/d/1IYY_tgx_IHuhSq3AJ5eI5OnqOPBNLWSHKh2a30DoXe8/edit?usp=sharing"",""นครศรีธรรมราช!J492"")"),0)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IFERROR(__xludf.DUMMYFUNCTION("IMPORTRANGE(""https://docs.google.com/spreadsheets/d/1IYY_tgx_IHuhSq3AJ5eI5OnqOPBNLWSHKh2a30DoXe8/edit?usp=sharing"",""นครศรีธรรมราช!L492"")"),4550)</f>
        <v>4550</v>
      </c>
      <c r="M597" s="418"/>
      <c r="N597" s="418">
        <f ca="1">IFERROR(__xludf.DUMMYFUNCTION("IMPORTRANGE(""https://docs.google.com/spreadsheets/d/1IYY_tgx_IHuhSq3AJ5eI5OnqOPBNLWSHKh2a30DoXe8/edit?usp=sharing"",""นครศรีธรรมราช!M492"")"),1800)</f>
        <v>1800</v>
      </c>
      <c r="O597" s="418">
        <f t="shared" ref="O597:O601" ca="1" si="126">+IF(L597&gt;0,N597*100/L597,0)</f>
        <v>39.560439560439562</v>
      </c>
      <c r="P597" s="418"/>
    </row>
    <row r="598" spans="1:16" ht="21.75" customHeight="1" x14ac:dyDescent="0.35">
      <c r="A598" s="162"/>
      <c r="B598" s="163"/>
      <c r="C598" s="163" t="s">
        <v>16</v>
      </c>
      <c r="D598" s="164" t="s">
        <v>38</v>
      </c>
      <c r="E598" s="165"/>
      <c r="F598" s="165"/>
      <c r="G598" s="166" t="s">
        <v>39</v>
      </c>
      <c r="H598" s="167" t="s">
        <v>12</v>
      </c>
      <c r="I598" s="168" t="s">
        <v>40</v>
      </c>
      <c r="J598" s="168"/>
      <c r="K598" s="169"/>
      <c r="L598" s="170">
        <f ca="1">IFERROR(__xludf.DUMMYFUNCTION("IMPORTRANGE(""https://docs.google.com/spreadsheets/d/1IYY_tgx_IHuhSq3AJ5eI5OnqOPBNLWSHKh2a30DoXe8/edit?usp=sharing"",""นครศรีธรรมราช!L493"")"),0)</f>
        <v>0</v>
      </c>
      <c r="M598" s="170"/>
      <c r="N598" s="176">
        <f ca="1">IFERROR(__xludf.DUMMYFUNCTION("IMPORTRANGE(""https://docs.google.com/spreadsheets/d/1IYY_tgx_IHuhSq3AJ5eI5OnqOPBNLWSHKh2a30DoXe8/edit?usp=sharing"",""นครศรีธรรมราช!M493"")"),0)</f>
        <v>0</v>
      </c>
      <c r="O598" s="176">
        <f t="shared" ca="1" si="126"/>
        <v>0</v>
      </c>
      <c r="P598" s="176"/>
    </row>
    <row r="599" spans="1:16" ht="21.75" customHeight="1" x14ac:dyDescent="0.35">
      <c r="A599" s="162"/>
      <c r="B599" s="163"/>
      <c r="C599" s="163"/>
      <c r="D599" s="172"/>
      <c r="E599" s="165"/>
      <c r="F599" s="165" t="s">
        <v>40</v>
      </c>
      <c r="G599" s="166" t="s">
        <v>41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IFERROR(__xludf.DUMMYFUNCTION("IMPORTRANGE(""https://docs.google.com/spreadsheets/d/1IYY_tgx_IHuhSq3AJ5eI5OnqOPBNLWSHKh2a30DoXe8/edit?usp=sharing"",""นครศรีธรรมราช!L494"")"),4550)</f>
        <v>4550</v>
      </c>
      <c r="M599" s="171"/>
      <c r="N599" s="176">
        <f ca="1">IFERROR(__xludf.DUMMYFUNCTION("IMPORTRANGE(""https://docs.google.com/spreadsheets/d/1IYY_tgx_IHuhSq3AJ5eI5OnqOPBNLWSHKh2a30DoXe8/edit?usp=sharing"",""นครศรีธรรมราช!M494"")"),1800)</f>
        <v>1800</v>
      </c>
      <c r="O599" s="176">
        <f t="shared" ca="1" si="126"/>
        <v>39.560439560439562</v>
      </c>
      <c r="P599" s="176"/>
    </row>
    <row r="600" spans="1:16" ht="21.75" customHeight="1" x14ac:dyDescent="0.35">
      <c r="A600" s="162"/>
      <c r="B600" s="163"/>
      <c r="C600" s="163"/>
      <c r="D600" s="172"/>
      <c r="E600" s="165"/>
      <c r="F600" s="165"/>
      <c r="G600" s="380" t="s">
        <v>129</v>
      </c>
      <c r="H600" s="167" t="s">
        <v>12</v>
      </c>
      <c r="I600" s="168"/>
      <c r="J600" s="168"/>
      <c r="K600" s="169"/>
      <c r="L600" s="176">
        <f ca="1">IFERROR(__xludf.DUMMYFUNCTION("IMPORTRANGE(""https://docs.google.com/spreadsheets/d/1IYY_tgx_IHuhSq3AJ5eI5OnqOPBNLWSHKh2a30DoXe8/edit?usp=sharing"",""นครศรีธรรมราช!L495"")"),0)</f>
        <v>0</v>
      </c>
      <c r="M600" s="176"/>
      <c r="N600" s="176">
        <f ca="1">IFERROR(__xludf.DUMMYFUNCTION("IMPORTRANGE(""https://docs.google.com/spreadsheets/d/1IYY_tgx_IHuhSq3AJ5eI5OnqOPBNLWSHKh2a30DoXe8/edit?usp=sharing"",""นครศรีธรรมราช!M495"")"),0)</f>
        <v>0</v>
      </c>
      <c r="O600" s="176">
        <f t="shared" ca="1" si="126"/>
        <v>0</v>
      </c>
      <c r="P600" s="176"/>
    </row>
    <row r="601" spans="1:16" ht="21.75" customHeight="1" x14ac:dyDescent="0.35">
      <c r="A601" s="162"/>
      <c r="B601" s="163"/>
      <c r="C601" s="163"/>
      <c r="D601" s="172"/>
      <c r="E601" s="165"/>
      <c r="F601" s="165"/>
      <c r="G601" s="380" t="s">
        <v>130</v>
      </c>
      <c r="H601" s="167" t="s">
        <v>12</v>
      </c>
      <c r="I601" s="168"/>
      <c r="J601" s="168"/>
      <c r="K601" s="169"/>
      <c r="L601" s="176">
        <f ca="1">IFERROR(__xludf.DUMMYFUNCTION("IMPORTRANGE(""https://docs.google.com/spreadsheets/d/1IYY_tgx_IHuhSq3AJ5eI5OnqOPBNLWSHKh2a30DoXe8/edit?usp=sharing"",""นครศรีธรรมราช!L496"")"),4550)</f>
        <v>4550</v>
      </c>
      <c r="M601" s="176"/>
      <c r="N601" s="176">
        <f ca="1">IFERROR(__xludf.DUMMYFUNCTION("IMPORTRANGE(""https://docs.google.com/spreadsheets/d/1IYY_tgx_IHuhSq3AJ5eI5OnqOPBNLWSHKh2a30DoXe8/edit?usp=sharing"",""นครศรีธรรมราช!M496"")"),1800)</f>
        <v>1800</v>
      </c>
      <c r="O601" s="176">
        <f t="shared" ca="1" si="126"/>
        <v>39.560439560439562</v>
      </c>
      <c r="P601" s="176"/>
    </row>
    <row r="602" spans="1:16" ht="21.75" customHeight="1" x14ac:dyDescent="0.35">
      <c r="A602" s="381"/>
      <c r="B602" s="382"/>
      <c r="C602" s="163"/>
      <c r="D602" s="383"/>
      <c r="E602" s="165"/>
      <c r="F602" s="165"/>
      <c r="G602" s="384" t="s">
        <v>131</v>
      </c>
      <c r="H602" s="167" t="s">
        <v>12</v>
      </c>
      <c r="I602" s="195"/>
      <c r="J602" s="195"/>
      <c r="K602" s="231"/>
      <c r="L602" s="176"/>
      <c r="M602" s="176"/>
      <c r="N602" s="173">
        <f ca="1">IFERROR(__xludf.DUMMYFUNCTION("IMPORTRANGE(""https://docs.google.com/spreadsheets/d/1IYY_tgx_IHuhSq3AJ5eI5OnqOPBNLWSHKh2a30DoXe8/edit?usp=sharing"",""นครศรีธรรมราช!M497"")"),0)</f>
        <v>0</v>
      </c>
      <c r="O602" s="176"/>
      <c r="P602" s="176"/>
    </row>
    <row r="603" spans="1:16" ht="21.75" customHeight="1" x14ac:dyDescent="0.35">
      <c r="A603" s="381"/>
      <c r="B603" s="382"/>
      <c r="C603" s="163"/>
      <c r="D603" s="383"/>
      <c r="E603" s="165"/>
      <c r="F603" s="165"/>
      <c r="G603" s="384" t="s">
        <v>132</v>
      </c>
      <c r="H603" s="167" t="s">
        <v>12</v>
      </c>
      <c r="I603" s="195"/>
      <c r="J603" s="195"/>
      <c r="K603" s="231"/>
      <c r="L603" s="176"/>
      <c r="M603" s="176"/>
      <c r="N603" s="173">
        <f ca="1">IFERROR(__xludf.DUMMYFUNCTION("IMPORTRANGE(""https://docs.google.com/spreadsheets/d/1IYY_tgx_IHuhSq3AJ5eI5OnqOPBNLWSHKh2a30DoXe8/edit?usp=sharing"",""นครศรีธรรมราช!M498"")"),0)</f>
        <v>0</v>
      </c>
      <c r="O603" s="176"/>
      <c r="P603" s="176"/>
    </row>
    <row r="604" spans="1:16" ht="21.75" customHeight="1" x14ac:dyDescent="0.35">
      <c r="A604" s="381"/>
      <c r="B604" s="382"/>
      <c r="C604" s="163"/>
      <c r="D604" s="383"/>
      <c r="E604" s="165"/>
      <c r="F604" s="165"/>
      <c r="G604" s="384" t="s">
        <v>133</v>
      </c>
      <c r="H604" s="167" t="s">
        <v>12</v>
      </c>
      <c r="I604" s="195"/>
      <c r="J604" s="195"/>
      <c r="K604" s="231"/>
      <c r="L604" s="176"/>
      <c r="M604" s="176"/>
      <c r="N604" s="385">
        <f ca="1">IFERROR(__xludf.DUMMYFUNCTION("IMPORTRANGE(""https://docs.google.com/spreadsheets/d/1IYY_tgx_IHuhSq3AJ5eI5OnqOPBNLWSHKh2a30DoXe8/edit?usp=sharing"",""นครศรีธรรมราช!M499"")"),0)</f>
        <v>0</v>
      </c>
      <c r="O604" s="176"/>
      <c r="P604" s="176"/>
    </row>
    <row r="605" spans="1:16" ht="21.75" customHeight="1" x14ac:dyDescent="0.35">
      <c r="A605" s="381"/>
      <c r="B605" s="382"/>
      <c r="C605" s="163"/>
      <c r="D605" s="383"/>
      <c r="E605" s="165"/>
      <c r="F605" s="165"/>
      <c r="G605" s="384" t="s">
        <v>134</v>
      </c>
      <c r="H605" s="167" t="s">
        <v>12</v>
      </c>
      <c r="I605" s="195"/>
      <c r="J605" s="195"/>
      <c r="K605" s="231"/>
      <c r="L605" s="176"/>
      <c r="M605" s="176"/>
      <c r="N605" s="385">
        <f ca="1">IFERROR(__xludf.DUMMYFUNCTION("IMPORTRANGE(""https://docs.google.com/spreadsheets/d/1IYY_tgx_IHuhSq3AJ5eI5OnqOPBNLWSHKh2a30DoXe8/edit?usp=sharing"",""นครศรีธรรมราช!M500"")"),1800)</f>
        <v>1800</v>
      </c>
      <c r="O605" s="176"/>
      <c r="P605" s="176"/>
    </row>
    <row r="606" spans="1:16" ht="21.75" customHeight="1" x14ac:dyDescent="0.35">
      <c r="A606" s="183"/>
      <c r="B606" s="184"/>
      <c r="C606" s="163" t="s">
        <v>16</v>
      </c>
      <c r="D606" s="185" t="s">
        <v>44</v>
      </c>
      <c r="E606" s="186"/>
      <c r="F606" s="186"/>
      <c r="G606" s="187"/>
      <c r="H606" s="188"/>
      <c r="I606" s="168"/>
      <c r="J606" s="168"/>
      <c r="K606" s="169"/>
      <c r="L606" s="189"/>
      <c r="M606" s="189"/>
      <c r="N606" s="189"/>
      <c r="O606" s="189"/>
      <c r="P606" s="189"/>
    </row>
    <row r="607" spans="1:16" ht="21.75" customHeight="1" x14ac:dyDescent="0.35">
      <c r="A607" s="183"/>
      <c r="B607" s="184"/>
      <c r="C607" s="184"/>
      <c r="D607" s="190">
        <v>1</v>
      </c>
      <c r="E607" s="191" t="s">
        <v>45</v>
      </c>
      <c r="F607" s="192"/>
      <c r="G607" s="193"/>
      <c r="H607" s="194"/>
      <c r="I607" s="195"/>
      <c r="J607" s="205">
        <f ca="1">IFERROR(__xludf.DUMMYFUNCTION("IMPORTRANGE(""https://docs.google.com/spreadsheets/d/1IYY_tgx_IHuhSq3AJ5eI5OnqOPBNLWSHKh2a30DoXe8/edit?usp=sharing"",""นครศรีธรรมราช!J502"")"),0)</f>
        <v>0</v>
      </c>
      <c r="K607" s="169"/>
      <c r="L607" s="189"/>
      <c r="M607" s="189"/>
      <c r="N607" s="189"/>
      <c r="O607" s="189"/>
      <c r="P607" s="189"/>
    </row>
    <row r="608" spans="1:16" ht="21.75" customHeight="1" x14ac:dyDescent="0.35">
      <c r="A608" s="183"/>
      <c r="B608" s="184"/>
      <c r="C608" s="184"/>
      <c r="D608" s="197">
        <v>2</v>
      </c>
      <c r="E608" s="198" t="s">
        <v>46</v>
      </c>
      <c r="F608" s="199"/>
      <c r="G608" s="200"/>
      <c r="H608" s="194"/>
      <c r="I608" s="195"/>
      <c r="J608" s="205">
        <f ca="1">IFERROR(__xludf.DUMMYFUNCTION("IMPORTRANGE(""https://docs.google.com/spreadsheets/d/1IYY_tgx_IHuhSq3AJ5eI5OnqOPBNLWSHKh2a30DoXe8/edit?usp=sharing"",""นครศรีธรรมราช!J503"")"),1)</f>
        <v>1</v>
      </c>
      <c r="K608" s="169"/>
      <c r="L608" s="189" t="s">
        <v>40</v>
      </c>
      <c r="M608" s="189"/>
      <c r="N608" s="189" t="s">
        <v>40</v>
      </c>
      <c r="O608" s="189"/>
      <c r="P608" s="189"/>
    </row>
    <row r="609" spans="1:16" ht="21.75" hidden="1" customHeight="1" x14ac:dyDescent="0.35">
      <c r="A609" s="494"/>
      <c r="B609" s="495"/>
      <c r="C609" s="495"/>
      <c r="D609" s="496"/>
      <c r="E609" s="497" t="s">
        <v>47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IFERROR(__xludf.DUMMYFUNCTION("IMPORTRANGE(""https://docs.google.com/spreadsheets/d/1IYY_tgx_IHuhSq3AJ5eI5OnqOPBNLWSHKh2a30DoXe8/edit?usp=sharing"",""นครศรีธรรมราช!J166"")"),0)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48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IFERROR(__xludf.DUMMYFUNCTION("IMPORTRANGE(""https://docs.google.com/spreadsheets/d/1IYY_tgx_IHuhSq3AJ5eI5OnqOPBNLWSHKh2a30DoXe8/edit?usp=sharing"",""นครศรีธรรมราช!J166"")"),0)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3"/>
      <c r="B611" s="184"/>
      <c r="C611" s="184"/>
      <c r="D611" s="201"/>
      <c r="E611" s="203"/>
      <c r="F611" s="203" t="s">
        <v>219</v>
      </c>
      <c r="G611" s="204"/>
      <c r="H611" s="188" t="s">
        <v>122</v>
      </c>
      <c r="I611" s="195">
        <f ca="1">IFERROR(__xludf.DUMMYFUNCTION("IMPORTRANGE(""https://docs.google.com/spreadsheets/d/1IYY_tgx_IHuhSq3AJ5eI5OnqOPBNLWSHKh2a30DoXe8/edit?usp=sharing"",""นครศรีธรรมราช!I506"")"),50)</f>
        <v>50</v>
      </c>
      <c r="J611" s="168">
        <f ca="1">IFERROR(__xludf.DUMMYFUNCTION("IMPORTRANGE(""https://docs.google.com/spreadsheets/d/1IYY_tgx_IHuhSq3AJ5eI5OnqOPBNLWSHKh2a30DoXe8/edit?usp=sharing"",""นครศรีธรรมราช!J506"")"),0)</f>
        <v>0</v>
      </c>
      <c r="K611" s="169">
        <f t="shared" ref="K611:K619" ca="1" si="127">IF(I$611&gt;0,J611*100/I$611,0)</f>
        <v>0</v>
      </c>
      <c r="L611" s="189"/>
      <c r="M611" s="189"/>
      <c r="N611" s="189"/>
      <c r="O611" s="189"/>
      <c r="P611" s="189"/>
    </row>
    <row r="612" spans="1:16" ht="21.75" customHeight="1" x14ac:dyDescent="0.35">
      <c r="A612" s="183"/>
      <c r="B612" s="184"/>
      <c r="C612" s="184"/>
      <c r="D612" s="201"/>
      <c r="E612" s="206"/>
      <c r="F612" s="203"/>
      <c r="G612" s="233" t="s">
        <v>220</v>
      </c>
      <c r="H612" s="188" t="s">
        <v>122</v>
      </c>
      <c r="I612" s="211">
        <f ca="1">IFERROR(__xludf.DUMMYFUNCTION("IMPORTRANGE(""https://docs.google.com/spreadsheets/d/1IYY_tgx_IHuhSq3AJ5eI5OnqOPBNLWSHKh2a30DoXe8/edit?usp=sharing"",""นครศรีธรรมราช!I507"")"),0)</f>
        <v>0</v>
      </c>
      <c r="J612" s="205">
        <f ca="1">IFERROR(__xludf.DUMMYFUNCTION("IMPORTRANGE(""https://docs.google.com/spreadsheets/d/1IYY_tgx_IHuhSq3AJ5eI5OnqOPBNLWSHKh2a30DoXe8/edit?usp=sharing"",""นครศรีธรรมราช!J507"")"),0)</f>
        <v>0</v>
      </c>
      <c r="K612" s="169">
        <f t="shared" ca="1" si="127"/>
        <v>0</v>
      </c>
      <c r="L612" s="189"/>
      <c r="M612" s="189"/>
      <c r="N612" s="189"/>
      <c r="O612" s="189"/>
      <c r="P612" s="189"/>
    </row>
    <row r="613" spans="1:16" ht="21.75" customHeight="1" x14ac:dyDescent="0.35">
      <c r="A613" s="183"/>
      <c r="B613" s="184"/>
      <c r="C613" s="184"/>
      <c r="D613" s="201"/>
      <c r="E613" s="206"/>
      <c r="F613" s="203"/>
      <c r="G613" s="233" t="s">
        <v>221</v>
      </c>
      <c r="H613" s="188" t="s">
        <v>122</v>
      </c>
      <c r="I613" s="211">
        <f ca="1">IFERROR(__xludf.DUMMYFUNCTION("IMPORTRANGE(""https://docs.google.com/spreadsheets/d/1IYY_tgx_IHuhSq3AJ5eI5OnqOPBNLWSHKh2a30DoXe8/edit?usp=sharing"",""นครศรีธรรมราช!I508"")"),0)</f>
        <v>0</v>
      </c>
      <c r="J613" s="205">
        <f ca="1">IFERROR(__xludf.DUMMYFUNCTION("IMPORTRANGE(""https://docs.google.com/spreadsheets/d/1IYY_tgx_IHuhSq3AJ5eI5OnqOPBNLWSHKh2a30DoXe8/edit?usp=sharing"",""นครศรีธรรมราช!J508"")"),0)</f>
        <v>0</v>
      </c>
      <c r="K613" s="169">
        <f t="shared" ca="1" si="127"/>
        <v>0</v>
      </c>
      <c r="L613" s="189"/>
      <c r="M613" s="189"/>
      <c r="N613" s="189"/>
      <c r="O613" s="189"/>
      <c r="P613" s="189"/>
    </row>
    <row r="614" spans="1:16" ht="21.75" customHeight="1" x14ac:dyDescent="0.35">
      <c r="A614" s="183"/>
      <c r="B614" s="184"/>
      <c r="C614" s="184"/>
      <c r="D614" s="201"/>
      <c r="E614" s="206"/>
      <c r="F614" s="203"/>
      <c r="G614" s="233" t="s">
        <v>222</v>
      </c>
      <c r="H614" s="188" t="s">
        <v>122</v>
      </c>
      <c r="I614" s="211">
        <f ca="1">IFERROR(__xludf.DUMMYFUNCTION("IMPORTRANGE(""https://docs.google.com/spreadsheets/d/1IYY_tgx_IHuhSq3AJ5eI5OnqOPBNLWSHKh2a30DoXe8/edit?usp=sharing"",""นครศรีธรรมราช!I509"")"),0)</f>
        <v>0</v>
      </c>
      <c r="J614" s="205">
        <f ca="1">IFERROR(__xludf.DUMMYFUNCTION("IMPORTRANGE(""https://docs.google.com/spreadsheets/d/1IYY_tgx_IHuhSq3AJ5eI5OnqOPBNLWSHKh2a30DoXe8/edit?usp=sharing"",""นครศรีธรรมราช!J509"")"),0)</f>
        <v>0</v>
      </c>
      <c r="K614" s="169">
        <f t="shared" ca="1" si="127"/>
        <v>0</v>
      </c>
      <c r="L614" s="189"/>
      <c r="M614" s="189"/>
      <c r="N614" s="189"/>
      <c r="O614" s="189"/>
      <c r="P614" s="189"/>
    </row>
    <row r="615" spans="1:16" ht="21.75" customHeight="1" x14ac:dyDescent="0.35">
      <c r="A615" s="183"/>
      <c r="B615" s="184"/>
      <c r="C615" s="184"/>
      <c r="D615" s="201"/>
      <c r="E615" s="206"/>
      <c r="F615" s="203"/>
      <c r="G615" s="233" t="s">
        <v>223</v>
      </c>
      <c r="H615" s="188" t="s">
        <v>122</v>
      </c>
      <c r="I615" s="211">
        <f ca="1">IFERROR(__xludf.DUMMYFUNCTION("IMPORTRANGE(""https://docs.google.com/spreadsheets/d/1IYY_tgx_IHuhSq3AJ5eI5OnqOPBNLWSHKh2a30DoXe8/edit?usp=sharing"",""นครศรีธรรมราช!I510"")"),0)</f>
        <v>0</v>
      </c>
      <c r="J615" s="205">
        <f ca="1">IFERROR(__xludf.DUMMYFUNCTION("IMPORTRANGE(""https://docs.google.com/spreadsheets/d/1IYY_tgx_IHuhSq3AJ5eI5OnqOPBNLWSHKh2a30DoXe8/edit?usp=sharing"",""นครศรีธรรมราช!J510"")"),0)</f>
        <v>0</v>
      </c>
      <c r="K615" s="169">
        <f t="shared" ca="1" si="127"/>
        <v>0</v>
      </c>
      <c r="L615" s="189"/>
      <c r="M615" s="189"/>
      <c r="N615" s="189"/>
      <c r="O615" s="189"/>
      <c r="P615" s="189"/>
    </row>
    <row r="616" spans="1:16" ht="21.75" customHeight="1" x14ac:dyDescent="0.35">
      <c r="A616" s="183"/>
      <c r="B616" s="184"/>
      <c r="C616" s="184"/>
      <c r="D616" s="201"/>
      <c r="E616" s="206"/>
      <c r="F616" s="203"/>
      <c r="G616" s="202" t="s">
        <v>224</v>
      </c>
      <c r="H616" s="188" t="s">
        <v>122</v>
      </c>
      <c r="I616" s="211">
        <f ca="1">IFERROR(__xludf.DUMMYFUNCTION("IMPORTRANGE(""https://docs.google.com/spreadsheets/d/1IYY_tgx_IHuhSq3AJ5eI5OnqOPBNLWSHKh2a30DoXe8/edit?usp=sharing"",""นครศรีธรรมราช!I511"")"),0)</f>
        <v>0</v>
      </c>
      <c r="J616" s="205">
        <f ca="1">IFERROR(__xludf.DUMMYFUNCTION("IMPORTRANGE(""https://docs.google.com/spreadsheets/d/1IYY_tgx_IHuhSq3AJ5eI5OnqOPBNLWSHKh2a30DoXe8/edit?usp=sharing"",""นครศรีธรรมราช!J511"")"),0)</f>
        <v>0</v>
      </c>
      <c r="K616" s="169">
        <f t="shared" ca="1" si="127"/>
        <v>0</v>
      </c>
      <c r="L616" s="189"/>
      <c r="M616" s="189"/>
      <c r="N616" s="189"/>
      <c r="O616" s="189"/>
      <c r="P616" s="189"/>
    </row>
    <row r="617" spans="1:16" ht="21.75" customHeight="1" x14ac:dyDescent="0.35">
      <c r="A617" s="183"/>
      <c r="B617" s="184"/>
      <c r="C617" s="184"/>
      <c r="D617" s="201"/>
      <c r="E617" s="206"/>
      <c r="F617" s="203"/>
      <c r="G617" s="202" t="s">
        <v>225</v>
      </c>
      <c r="H617" s="188" t="s">
        <v>122</v>
      </c>
      <c r="I617" s="195">
        <f ca="1">IFERROR(__xludf.DUMMYFUNCTION("IMPORTRANGE(""https://docs.google.com/spreadsheets/d/1IYY_tgx_IHuhSq3AJ5eI5OnqOPBNLWSHKh2a30DoXe8/edit?usp=sharing"",""นครศรีธรรมราช!I512"")"),0)</f>
        <v>0</v>
      </c>
      <c r="J617" s="195">
        <f ca="1">IFERROR(__xludf.DUMMYFUNCTION("IMPORTRANGE(""https://docs.google.com/spreadsheets/d/1IYY_tgx_IHuhSq3AJ5eI5OnqOPBNLWSHKh2a30DoXe8/edit?usp=sharing"",""นครศรีธรรมราช!J512"")"),0)</f>
        <v>0</v>
      </c>
      <c r="K617" s="169">
        <f t="shared" ca="1" si="127"/>
        <v>0</v>
      </c>
      <c r="L617" s="189"/>
      <c r="M617" s="189"/>
      <c r="N617" s="189"/>
      <c r="O617" s="189"/>
      <c r="P617" s="189"/>
    </row>
    <row r="618" spans="1:16" ht="21.75" customHeight="1" x14ac:dyDescent="0.35">
      <c r="A618" s="183"/>
      <c r="B618" s="184"/>
      <c r="C618" s="184"/>
      <c r="D618" s="201"/>
      <c r="E618" s="206"/>
      <c r="F618" s="203"/>
      <c r="G618" s="504" t="s">
        <v>226</v>
      </c>
      <c r="H618" s="188" t="s">
        <v>122</v>
      </c>
      <c r="I618" s="211">
        <f ca="1">IFERROR(__xludf.DUMMYFUNCTION("IMPORTRANGE(""https://docs.google.com/spreadsheets/d/1IYY_tgx_IHuhSq3AJ5eI5OnqOPBNLWSHKh2a30DoXe8/edit?usp=sharing"",""นครศรีธรรมราช!I513"")"),0)</f>
        <v>0</v>
      </c>
      <c r="J618" s="196">
        <f ca="1">IFERROR(__xludf.DUMMYFUNCTION("IMPORTRANGE(""https://docs.google.com/spreadsheets/d/1IYY_tgx_IHuhSq3AJ5eI5OnqOPBNLWSHKh2a30DoXe8/edit?usp=sharing"",""นครศรีธรรมราช!J513"")"),0)</f>
        <v>0</v>
      </c>
      <c r="K618" s="169">
        <f t="shared" ca="1" si="127"/>
        <v>0</v>
      </c>
      <c r="L618" s="189"/>
      <c r="M618" s="189"/>
      <c r="N618" s="189"/>
      <c r="O618" s="189"/>
      <c r="P618" s="189"/>
    </row>
    <row r="619" spans="1:16" ht="21.75" customHeight="1" x14ac:dyDescent="0.35">
      <c r="A619" s="183"/>
      <c r="B619" s="184"/>
      <c r="C619" s="184"/>
      <c r="D619" s="201"/>
      <c r="E619" s="206"/>
      <c r="F619" s="203"/>
      <c r="G619" s="504" t="s">
        <v>227</v>
      </c>
      <c r="H619" s="188" t="s">
        <v>122</v>
      </c>
      <c r="I619" s="211">
        <f ca="1">IFERROR(__xludf.DUMMYFUNCTION("IMPORTRANGE(""https://docs.google.com/spreadsheets/d/1IYY_tgx_IHuhSq3AJ5eI5OnqOPBNLWSHKh2a30DoXe8/edit?usp=sharing"",""นครศรีธรรมราช!I514"")"),0)</f>
        <v>0</v>
      </c>
      <c r="J619" s="196">
        <f ca="1">IFERROR(__xludf.DUMMYFUNCTION("IMPORTRANGE(""https://docs.google.com/spreadsheets/d/1IYY_tgx_IHuhSq3AJ5eI5OnqOPBNLWSHKh2a30DoXe8/edit?usp=sharing"",""นครศรีธรรมราช!J514"")"),0)</f>
        <v>0</v>
      </c>
      <c r="K619" s="169">
        <f t="shared" ca="1" si="127"/>
        <v>0</v>
      </c>
      <c r="L619" s="189"/>
      <c r="M619" s="189"/>
      <c r="N619" s="189"/>
      <c r="O619" s="189"/>
      <c r="P619" s="189"/>
    </row>
    <row r="620" spans="1:16" ht="21.75" customHeight="1" x14ac:dyDescent="0.35">
      <c r="A620" s="183"/>
      <c r="B620" s="184"/>
      <c r="C620" s="184"/>
      <c r="D620" s="201"/>
      <c r="E620" s="203"/>
      <c r="F620" s="202" t="s">
        <v>228</v>
      </c>
      <c r="G620" s="204"/>
      <c r="H620" s="188" t="s">
        <v>122</v>
      </c>
      <c r="I620" s="195">
        <f ca="1">IFERROR(__xludf.DUMMYFUNCTION("IMPORTRANGE(""https://docs.google.com/spreadsheets/d/1IYY_tgx_IHuhSq3AJ5eI5OnqOPBNLWSHKh2a30DoXe8/edit?usp=sharing"",""นครศรีธรรมราช!I515"")"),0)</f>
        <v>0</v>
      </c>
      <c r="J620" s="210">
        <f ca="1">IFERROR(__xludf.DUMMYFUNCTION("IMPORTRANGE(""https://docs.google.com/spreadsheets/d/1IYY_tgx_IHuhSq3AJ5eI5OnqOPBNLWSHKh2a30DoXe8/edit?usp=sharing"",""นครศรีธรรมราช!J515"")"),0)</f>
        <v>0</v>
      </c>
      <c r="K620" s="169">
        <f t="shared" ref="K620:K626" ca="1" si="128">IF(I$620&gt;0,J620*100/I$620,0)</f>
        <v>0</v>
      </c>
      <c r="L620" s="189"/>
      <c r="M620" s="189"/>
      <c r="N620" s="189"/>
      <c r="O620" s="189"/>
      <c r="P620" s="189"/>
    </row>
    <row r="621" spans="1:16" ht="21.75" customHeight="1" x14ac:dyDescent="0.35">
      <c r="A621" s="183"/>
      <c r="B621" s="184"/>
      <c r="C621" s="184"/>
      <c r="D621" s="201"/>
      <c r="E621" s="206"/>
      <c r="F621" s="203"/>
      <c r="G621" s="233" t="s">
        <v>225</v>
      </c>
      <c r="H621" s="188" t="s">
        <v>122</v>
      </c>
      <c r="I621" s="210">
        <f ca="1">IFERROR(__xludf.DUMMYFUNCTION("IMPORTRANGE(""https://docs.google.com/spreadsheets/d/1IYY_tgx_IHuhSq3AJ5eI5OnqOPBNLWSHKh2a30DoXe8/edit?usp=sharing"",""นครศรีธรรมราช!I516"")"),0)</f>
        <v>0</v>
      </c>
      <c r="J621" s="210">
        <f ca="1">IFERROR(__xludf.DUMMYFUNCTION("IMPORTRANGE(""https://docs.google.com/spreadsheets/d/1IYY_tgx_IHuhSq3AJ5eI5OnqOPBNLWSHKh2a30DoXe8/edit?usp=sharing"",""นครศรีธรรมราช!J516"")"),0)</f>
        <v>0</v>
      </c>
      <c r="K621" s="169">
        <f t="shared" ca="1" si="128"/>
        <v>0</v>
      </c>
      <c r="L621" s="189"/>
      <c r="M621" s="189"/>
      <c r="N621" s="189"/>
      <c r="O621" s="189"/>
      <c r="P621" s="189"/>
    </row>
    <row r="622" spans="1:16" ht="21.75" customHeight="1" x14ac:dyDescent="0.35">
      <c r="A622" s="183"/>
      <c r="B622" s="184"/>
      <c r="C622" s="184"/>
      <c r="D622" s="201"/>
      <c r="E622" s="206"/>
      <c r="F622" s="203"/>
      <c r="G622" s="504" t="s">
        <v>226</v>
      </c>
      <c r="H622" s="188" t="s">
        <v>122</v>
      </c>
      <c r="I622" s="211">
        <f ca="1">IFERROR(__xludf.DUMMYFUNCTION("IMPORTRANGE(""https://docs.google.com/spreadsheets/d/1IYY_tgx_IHuhSq3AJ5eI5OnqOPBNLWSHKh2a30DoXe8/edit?usp=sharing"",""นครศรีธรรมราช!I517"")"),0)</f>
        <v>0</v>
      </c>
      <c r="J622" s="196">
        <f ca="1">IFERROR(__xludf.DUMMYFUNCTION("IMPORTRANGE(""https://docs.google.com/spreadsheets/d/1IYY_tgx_IHuhSq3AJ5eI5OnqOPBNLWSHKh2a30DoXe8/edit?usp=sharing"",""นครศรีธรรมราช!J517"")"),0)</f>
        <v>0</v>
      </c>
      <c r="K622" s="169">
        <f t="shared" ca="1" si="128"/>
        <v>0</v>
      </c>
      <c r="L622" s="189"/>
      <c r="M622" s="189"/>
      <c r="N622" s="189"/>
      <c r="O622" s="189"/>
      <c r="P622" s="189"/>
    </row>
    <row r="623" spans="1:16" ht="21.75" customHeight="1" x14ac:dyDescent="0.35">
      <c r="A623" s="183"/>
      <c r="B623" s="184"/>
      <c r="C623" s="184"/>
      <c r="D623" s="201"/>
      <c r="E623" s="206"/>
      <c r="F623" s="203"/>
      <c r="G623" s="504" t="s">
        <v>227</v>
      </c>
      <c r="H623" s="188" t="s">
        <v>122</v>
      </c>
      <c r="I623" s="211">
        <f ca="1">IFERROR(__xludf.DUMMYFUNCTION("IMPORTRANGE(""https://docs.google.com/spreadsheets/d/1IYY_tgx_IHuhSq3AJ5eI5OnqOPBNLWSHKh2a30DoXe8/edit?usp=sharing"",""นครศรีธรรมราช!I518"")"),0)</f>
        <v>0</v>
      </c>
      <c r="J623" s="196">
        <f ca="1">IFERROR(__xludf.DUMMYFUNCTION("IMPORTRANGE(""https://docs.google.com/spreadsheets/d/1IYY_tgx_IHuhSq3AJ5eI5OnqOPBNLWSHKh2a30DoXe8/edit?usp=sharing"",""นครศรีธรรมราช!J518"")"),0)</f>
        <v>0</v>
      </c>
      <c r="K623" s="169">
        <f t="shared" ca="1" si="128"/>
        <v>0</v>
      </c>
      <c r="L623" s="189"/>
      <c r="M623" s="189"/>
      <c r="N623" s="189"/>
      <c r="O623" s="189"/>
      <c r="P623" s="189"/>
    </row>
    <row r="624" spans="1:16" ht="21.75" customHeight="1" x14ac:dyDescent="0.35">
      <c r="A624" s="183"/>
      <c r="B624" s="184"/>
      <c r="C624" s="184"/>
      <c r="D624" s="201"/>
      <c r="E624" s="206"/>
      <c r="F624" s="203"/>
      <c r="G624" s="233" t="s">
        <v>229</v>
      </c>
      <c r="H624" s="188" t="s">
        <v>122</v>
      </c>
      <c r="I624" s="195">
        <f ca="1">IFERROR(__xludf.DUMMYFUNCTION("IMPORTRANGE(""https://docs.google.com/spreadsheets/d/1IYY_tgx_IHuhSq3AJ5eI5OnqOPBNLWSHKh2a30DoXe8/edit?usp=sharing"",""นครศรีธรรมราช!I519"")"),0)</f>
        <v>0</v>
      </c>
      <c r="J624" s="195">
        <f ca="1">IFERROR(__xludf.DUMMYFUNCTION("IMPORTRANGE(""https://docs.google.com/spreadsheets/d/1IYY_tgx_IHuhSq3AJ5eI5OnqOPBNLWSHKh2a30DoXe8/edit?usp=sharing"",""นครศรีธรรมราช!J519"")"),0)</f>
        <v>0</v>
      </c>
      <c r="K624" s="169">
        <f t="shared" ca="1" si="128"/>
        <v>0</v>
      </c>
      <c r="L624" s="189"/>
      <c r="M624" s="189"/>
      <c r="N624" s="189"/>
      <c r="O624" s="189"/>
      <c r="P624" s="189"/>
    </row>
    <row r="625" spans="1:16" ht="21.75" customHeight="1" x14ac:dyDescent="0.35">
      <c r="A625" s="183"/>
      <c r="B625" s="184"/>
      <c r="C625" s="184"/>
      <c r="D625" s="201"/>
      <c r="E625" s="206"/>
      <c r="F625" s="203"/>
      <c r="G625" s="504" t="s">
        <v>230</v>
      </c>
      <c r="H625" s="188" t="s">
        <v>122</v>
      </c>
      <c r="I625" s="211">
        <f ca="1">IFERROR(__xludf.DUMMYFUNCTION("IMPORTRANGE(""https://docs.google.com/spreadsheets/d/1IYY_tgx_IHuhSq3AJ5eI5OnqOPBNLWSHKh2a30DoXe8/edit?usp=sharing"",""นครศรีธรรมราช!I520"")"),0)</f>
        <v>0</v>
      </c>
      <c r="J625" s="196">
        <f ca="1">IFERROR(__xludf.DUMMYFUNCTION("IMPORTRANGE(""https://docs.google.com/spreadsheets/d/1IYY_tgx_IHuhSq3AJ5eI5OnqOPBNLWSHKh2a30DoXe8/edit?usp=sharing"",""นครศรีธรรมราช!J520"")"),0)</f>
        <v>0</v>
      </c>
      <c r="K625" s="169">
        <f t="shared" ca="1" si="128"/>
        <v>0</v>
      </c>
      <c r="L625" s="189"/>
      <c r="M625" s="189"/>
      <c r="N625" s="189"/>
      <c r="O625" s="189"/>
      <c r="P625" s="189"/>
    </row>
    <row r="626" spans="1:16" ht="21.75" customHeight="1" x14ac:dyDescent="0.35">
      <c r="A626" s="183"/>
      <c r="B626" s="184"/>
      <c r="C626" s="184"/>
      <c r="D626" s="201"/>
      <c r="E626" s="206"/>
      <c r="F626" s="203"/>
      <c r="G626" s="504" t="s">
        <v>231</v>
      </c>
      <c r="H626" s="188" t="s">
        <v>122</v>
      </c>
      <c r="I626" s="211">
        <f ca="1">IFERROR(__xludf.DUMMYFUNCTION("IMPORTRANGE(""https://docs.google.com/spreadsheets/d/1IYY_tgx_IHuhSq3AJ5eI5OnqOPBNLWSHKh2a30DoXe8/edit?usp=sharing"",""นครศรีธรรมราช!I521"")"),0)</f>
        <v>0</v>
      </c>
      <c r="J626" s="196">
        <f ca="1">IFERROR(__xludf.DUMMYFUNCTION("IMPORTRANGE(""https://docs.google.com/spreadsheets/d/1IYY_tgx_IHuhSq3AJ5eI5OnqOPBNLWSHKh2a30DoXe8/edit?usp=sharing"",""นครศรีธรรมราช!J521"")"),0)</f>
        <v>0</v>
      </c>
      <c r="K626" s="169">
        <f t="shared" ca="1" si="128"/>
        <v>0</v>
      </c>
      <c r="L626" s="189"/>
      <c r="M626" s="189"/>
      <c r="N626" s="189"/>
      <c r="O626" s="189"/>
      <c r="P626" s="189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2"/>
      <c r="E628" s="165"/>
      <c r="F628" s="165"/>
      <c r="G628" s="166"/>
      <c r="H628" s="513" t="s">
        <v>12</v>
      </c>
      <c r="I628" s="347">
        <f ca="1">IFERROR(__xludf.DUMMYFUNCTION("IMPORTRANGE(""https://docs.google.com/spreadsheets/d/1IYY_tgx_IHuhSq3AJ5eI5OnqOPBNLWSHKh2a30DoXe8/edit?usp=sharing"",""นครศรีธรรมราช!I523"")"),2169042.49)</f>
        <v>2169042.4900000002</v>
      </c>
      <c r="J628" s="347">
        <f ca="1">IFERROR(__xludf.DUMMYFUNCTION("IMPORTRANGE(""https://docs.google.com/spreadsheets/d/1IYY_tgx_IHuhSq3AJ5eI5OnqOPBNLWSHKh2a30DoXe8/edit?usp=sharing"",""นครศรีธรรมราช!J523"")"),204001.84)</f>
        <v>204001.84</v>
      </c>
      <c r="K628" s="348">
        <f t="shared" ref="K628:K635" ca="1" si="129">IF(I628&gt;0,J628*100/I628,0)</f>
        <v>9.4051564660681208</v>
      </c>
      <c r="L628" s="348"/>
      <c r="M628" s="348"/>
      <c r="N628" s="348"/>
      <c r="O628" s="176"/>
      <c r="P628" s="176"/>
    </row>
    <row r="629" spans="1:16" ht="21.75" customHeight="1" x14ac:dyDescent="0.35">
      <c r="A629" s="484"/>
      <c r="B629" s="163"/>
      <c r="C629" s="163"/>
      <c r="D629" s="172"/>
      <c r="E629" s="165"/>
      <c r="F629" s="165"/>
      <c r="G629" s="166"/>
      <c r="H629" s="513" t="s">
        <v>37</v>
      </c>
      <c r="I629" s="347">
        <f ca="1">IFERROR(__xludf.DUMMYFUNCTION("IMPORTRANGE(""https://docs.google.com/spreadsheets/d/1IYY_tgx_IHuhSq3AJ5eI5OnqOPBNLWSHKh2a30DoXe8/edit?usp=sharing"",""นครศรีธรรมราช!I524"")"),156)</f>
        <v>156</v>
      </c>
      <c r="J629" s="347">
        <f ca="1">IFERROR(__xludf.DUMMYFUNCTION("IMPORTRANGE(""https://docs.google.com/spreadsheets/d/1IYY_tgx_IHuhSq3AJ5eI5OnqOPBNLWSHKh2a30DoXe8/edit?usp=sharing"",""นครศรีธรรมราช!J524"")"),14)</f>
        <v>14</v>
      </c>
      <c r="K629" s="348">
        <f t="shared" ca="1" si="129"/>
        <v>8.9743589743589745</v>
      </c>
      <c r="L629" s="348"/>
      <c r="M629" s="348"/>
      <c r="N629" s="348"/>
      <c r="O629" s="176"/>
      <c r="P629" s="176"/>
    </row>
    <row r="630" spans="1:16" ht="21.75" customHeight="1" x14ac:dyDescent="0.35">
      <c r="A630" s="484"/>
      <c r="B630" s="512" t="s">
        <v>234</v>
      </c>
      <c r="C630" s="163"/>
      <c r="D630" s="172"/>
      <c r="E630" s="165"/>
      <c r="F630" s="165"/>
      <c r="G630" s="166"/>
      <c r="H630" s="513" t="s">
        <v>12</v>
      </c>
      <c r="I630" s="347">
        <f ca="1">IFERROR(__xludf.DUMMYFUNCTION("IMPORTRANGE(""https://docs.google.com/spreadsheets/d/1IYY_tgx_IHuhSq3AJ5eI5OnqOPBNLWSHKh2a30DoXe8/edit?usp=sharing"",""นครศรีธรรมราช!I525"")"),2464866.69)</f>
        <v>2464866.69</v>
      </c>
      <c r="J630" s="347">
        <f ca="1">IFERROR(__xludf.DUMMYFUNCTION("IMPORTRANGE(""https://docs.google.com/spreadsheets/d/1IYY_tgx_IHuhSq3AJ5eI5OnqOPBNLWSHKh2a30DoXe8/edit?usp=sharing"",""นครศรีธรรมราช!J525"")"),202639.92)</f>
        <v>202639.92</v>
      </c>
      <c r="K630" s="348">
        <f t="shared" ca="1" si="129"/>
        <v>8.2211310178401575</v>
      </c>
      <c r="L630" s="348"/>
      <c r="M630" s="348"/>
      <c r="N630" s="348"/>
      <c r="O630" s="176"/>
      <c r="P630" s="176"/>
    </row>
    <row r="631" spans="1:16" ht="21.75" customHeight="1" x14ac:dyDescent="0.35">
      <c r="A631" s="484"/>
      <c r="B631" s="163"/>
      <c r="C631" s="163"/>
      <c r="D631" s="172"/>
      <c r="E631" s="165"/>
      <c r="F631" s="165"/>
      <c r="G631" s="166"/>
      <c r="H631" s="513" t="s">
        <v>37</v>
      </c>
      <c r="I631" s="347">
        <f ca="1">IFERROR(__xludf.DUMMYFUNCTION("IMPORTRANGE(""https://docs.google.com/spreadsheets/d/1IYY_tgx_IHuhSq3AJ5eI5OnqOPBNLWSHKh2a30DoXe8/edit?usp=sharing"",""นครศรีธรรมราช!I526"")"),105)</f>
        <v>105</v>
      </c>
      <c r="J631" s="347">
        <f ca="1">IFERROR(__xludf.DUMMYFUNCTION("IMPORTRANGE(""https://docs.google.com/spreadsheets/d/1IYY_tgx_IHuhSq3AJ5eI5OnqOPBNLWSHKh2a30DoXe8/edit?usp=sharing"",""นครศรีธรรมราช!J526"")"),66)</f>
        <v>66</v>
      </c>
      <c r="K631" s="348">
        <f t="shared" ca="1" si="129"/>
        <v>62.857142857142854</v>
      </c>
      <c r="L631" s="348"/>
      <c r="M631" s="348"/>
      <c r="N631" s="348"/>
      <c r="O631" s="176"/>
      <c r="P631" s="176"/>
    </row>
    <row r="632" spans="1:16" ht="21.75" customHeight="1" x14ac:dyDescent="0.35">
      <c r="A632" s="484"/>
      <c r="B632" s="512" t="s">
        <v>235</v>
      </c>
      <c r="C632" s="163"/>
      <c r="D632" s="172"/>
      <c r="E632" s="165"/>
      <c r="F632" s="165"/>
      <c r="G632" s="166"/>
      <c r="H632" s="513" t="s">
        <v>12</v>
      </c>
      <c r="I632" s="347">
        <f ca="1">IFERROR(__xludf.DUMMYFUNCTION("IMPORTRANGE(""https://docs.google.com/spreadsheets/d/1IYY_tgx_IHuhSq3AJ5eI5OnqOPBNLWSHKh2a30DoXe8/edit?usp=sharing"",""นครศรีธรรมราช!I527"")"),0)</f>
        <v>0</v>
      </c>
      <c r="J632" s="347">
        <f ca="1">IFERROR(__xludf.DUMMYFUNCTION("IMPORTRANGE(""https://docs.google.com/spreadsheets/d/1IYY_tgx_IHuhSq3AJ5eI5OnqOPBNLWSHKh2a30DoXe8/edit?usp=sharing"",""นครศรีธรรมราช!J527"")"),0)</f>
        <v>0</v>
      </c>
      <c r="K632" s="348">
        <f t="shared" ca="1" si="129"/>
        <v>0</v>
      </c>
      <c r="L632" s="348"/>
      <c r="M632" s="348"/>
      <c r="N632" s="348"/>
      <c r="O632" s="176"/>
      <c r="P632" s="176"/>
    </row>
    <row r="633" spans="1:16" ht="21.75" customHeight="1" x14ac:dyDescent="0.35">
      <c r="A633" s="484"/>
      <c r="B633" s="512"/>
      <c r="C633" s="163"/>
      <c r="D633" s="172"/>
      <c r="E633" s="165"/>
      <c r="F633" s="165"/>
      <c r="G633" s="166"/>
      <c r="H633" s="513" t="s">
        <v>37</v>
      </c>
      <c r="I633" s="347">
        <f ca="1">IFERROR(__xludf.DUMMYFUNCTION("IMPORTRANGE(""https://docs.google.com/spreadsheets/d/1IYY_tgx_IHuhSq3AJ5eI5OnqOPBNLWSHKh2a30DoXe8/edit?usp=sharing"",""นครศรีธรรมราช!I528"")"),0)</f>
        <v>0</v>
      </c>
      <c r="J633" s="347">
        <f ca="1">IFERROR(__xludf.DUMMYFUNCTION("IMPORTRANGE(""https://docs.google.com/spreadsheets/d/1IYY_tgx_IHuhSq3AJ5eI5OnqOPBNLWSHKh2a30DoXe8/edit?usp=sharing"",""นครศรีธรรมราช!J528"")"),0)</f>
        <v>0</v>
      </c>
      <c r="K633" s="348">
        <f t="shared" ca="1" si="129"/>
        <v>0</v>
      </c>
      <c r="L633" s="348"/>
      <c r="M633" s="348"/>
      <c r="N633" s="348"/>
      <c r="O633" s="176"/>
      <c r="P633" s="176"/>
    </row>
    <row r="634" spans="1:16" ht="21.75" customHeight="1" x14ac:dyDescent="0.35">
      <c r="A634" s="484"/>
      <c r="B634" s="512" t="s">
        <v>236</v>
      </c>
      <c r="C634" s="163"/>
      <c r="D634" s="172"/>
      <c r="E634" s="165"/>
      <c r="F634" s="165"/>
      <c r="G634" s="166"/>
      <c r="H634" s="513" t="s">
        <v>12</v>
      </c>
      <c r="I634" s="347">
        <f ca="1">IFERROR(__xludf.DUMMYFUNCTION("IMPORTRANGE(""https://docs.google.com/spreadsheets/d/1IYY_tgx_IHuhSq3AJ5eI5OnqOPBNLWSHKh2a30DoXe8/edit?usp=sharing"",""นครศรีธรรมราช!I529"")"),2000000)</f>
        <v>2000000</v>
      </c>
      <c r="J634" s="347">
        <f ca="1">IFERROR(__xludf.DUMMYFUNCTION("IMPORTRANGE(""https://docs.google.com/spreadsheets/d/1IYY_tgx_IHuhSq3AJ5eI5OnqOPBNLWSHKh2a30DoXe8/edit?usp=sharing"",""นครศรีธรรมราช!J529"")"),0)</f>
        <v>0</v>
      </c>
      <c r="K634" s="348">
        <f t="shared" ca="1" si="129"/>
        <v>0</v>
      </c>
      <c r="L634" s="348"/>
      <c r="M634" s="348"/>
      <c r="N634" s="348"/>
      <c r="O634" s="176"/>
      <c r="P634" s="176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IFERROR(__xludf.DUMMYFUNCTION("IMPORTRANGE(""https://docs.google.com/spreadsheets/d/1IYY_tgx_IHuhSq3AJ5eI5OnqOPBNLWSHKh2a30DoXe8/edit?usp=sharing"",""นครศรีธรรมราช!I530"")"),70)</f>
        <v>70</v>
      </c>
      <c r="J635" s="517">
        <f ca="1">IFERROR(__xludf.DUMMYFUNCTION("IMPORTRANGE(""https://docs.google.com/spreadsheets/d/1IYY_tgx_IHuhSq3AJ5eI5OnqOPBNLWSHKh2a30DoXe8/edit?usp=sharing"",""นครศรีธรรมราช!J530"")"),0)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3" sqref="G23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4" width="17.81640625" bestFit="1" customWidth="1"/>
    <col min="15" max="15" width="18.81640625" customWidth="1"/>
    <col min="16" max="16" width="20.54296875" customWidth="1"/>
  </cols>
  <sheetData>
    <row r="1" spans="1:16" ht="18" customHeight="1" x14ac:dyDescent="0.35">
      <c r="A1" s="527" t="s">
        <v>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</row>
    <row r="2" spans="1:16" ht="18" customHeight="1" x14ac:dyDescent="0.35">
      <c r="A2" s="527" t="s">
        <v>246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</row>
    <row r="3" spans="1:16" ht="18" customHeight="1" x14ac:dyDescent="0.35">
      <c r="A3" s="527" t="s">
        <v>268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5" t="s">
        <v>2</v>
      </c>
      <c r="B5" s="536"/>
      <c r="C5" s="536"/>
      <c r="D5" s="536"/>
      <c r="E5" s="536"/>
      <c r="F5" s="536"/>
      <c r="G5" s="537"/>
      <c r="H5" s="528" t="s">
        <v>3</v>
      </c>
      <c r="I5" s="530" t="s">
        <v>4</v>
      </c>
      <c r="J5" s="531"/>
      <c r="K5" s="532"/>
      <c r="L5" s="533" t="s">
        <v>5</v>
      </c>
      <c r="M5" s="532"/>
      <c r="N5" s="534" t="s">
        <v>6</v>
      </c>
      <c r="O5" s="531"/>
      <c r="P5" s="532"/>
    </row>
    <row r="6" spans="1:16" ht="21.75" customHeight="1" x14ac:dyDescent="0.35">
      <c r="A6" s="538"/>
      <c r="B6" s="539"/>
      <c r="C6" s="539"/>
      <c r="D6" s="539"/>
      <c r="E6" s="539"/>
      <c r="F6" s="539"/>
      <c r="G6" s="540"/>
      <c r="H6" s="52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1" t="s">
        <v>15</v>
      </c>
      <c r="B7" s="531"/>
      <c r="C7" s="531"/>
      <c r="D7" s="531"/>
      <c r="E7" s="531"/>
      <c r="F7" s="531"/>
      <c r="G7" s="53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2" t="s">
        <v>17</v>
      </c>
      <c r="E8" s="543"/>
      <c r="F8" s="543"/>
      <c r="G8" s="543"/>
      <c r="H8" s="20" t="s">
        <v>12</v>
      </c>
      <c r="I8" s="21"/>
      <c r="J8" s="21"/>
      <c r="K8" s="22"/>
      <c r="L8" s="23">
        <f t="shared" ref="L8:N8" ca="1" si="0">L9+L10</f>
        <v>4119253</v>
      </c>
      <c r="M8" s="23">
        <f t="shared" ca="1" si="0"/>
        <v>1903855</v>
      </c>
      <c r="N8" s="23">
        <f t="shared" ca="1" si="0"/>
        <v>2100797.7400000002</v>
      </c>
      <c r="O8" s="22">
        <f t="shared" ref="O8:O16" ca="1" si="1">IF(L8&gt;0,N8*100/L8,0)</f>
        <v>50.999483158718348</v>
      </c>
      <c r="P8" s="22">
        <f t="shared" ref="P8:P16" ca="1" si="2">IF(M8&gt;0,N8*100/M8,0)</f>
        <v>110.3444190865376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4119253</v>
      </c>
      <c r="M10" s="30">
        <f t="shared" ca="1" si="4"/>
        <v>1903855</v>
      </c>
      <c r="N10" s="30">
        <f t="shared" ca="1" si="4"/>
        <v>2100797.7400000002</v>
      </c>
      <c r="O10" s="29">
        <f t="shared" ca="1" si="1"/>
        <v>50.999483158718348</v>
      </c>
      <c r="P10" s="29">
        <f t="shared" ca="1" si="2"/>
        <v>110.3444190865376</v>
      </c>
    </row>
    <row r="11" spans="1:16" ht="21.75" customHeight="1" x14ac:dyDescent="0.45">
      <c r="A11" s="31"/>
      <c r="B11" s="32"/>
      <c r="C11" s="33" t="s">
        <v>16</v>
      </c>
      <c r="D11" s="544" t="s">
        <v>20</v>
      </c>
      <c r="E11" s="545"/>
      <c r="F11" s="54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3168853</v>
      </c>
      <c r="M12" s="38">
        <f t="shared" ca="1" si="6"/>
        <v>953455</v>
      </c>
      <c r="N12" s="38">
        <f t="shared" ca="1" si="6"/>
        <v>1150397.74</v>
      </c>
      <c r="O12" s="38">
        <f t="shared" ca="1" si="1"/>
        <v>36.303285131875789</v>
      </c>
      <c r="P12" s="38">
        <f t="shared" ca="1" si="2"/>
        <v>120.65569324194639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1368300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896553</v>
      </c>
      <c r="M14" s="38">
        <f t="shared" si="8"/>
        <v>0</v>
      </c>
      <c r="N14" s="38">
        <f t="shared" ca="1" si="8"/>
        <v>376299.74</v>
      </c>
      <c r="O14" s="41">
        <f t="shared" ca="1" si="1"/>
        <v>41.971834347774198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44" t="s">
        <v>23</v>
      </c>
      <c r="E15" s="54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950400</v>
      </c>
      <c r="M16" s="38">
        <f t="shared" ca="1" si="10"/>
        <v>950400</v>
      </c>
      <c r="N16" s="38">
        <f t="shared" ca="1" si="10"/>
        <v>950400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1" t="s">
        <v>24</v>
      </c>
      <c r="B17" s="531"/>
      <c r="C17" s="531"/>
      <c r="D17" s="531"/>
      <c r="E17" s="531"/>
      <c r="F17" s="531"/>
      <c r="G17" s="53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2" t="s">
        <v>17</v>
      </c>
      <c r="E18" s="543"/>
      <c r="F18" s="543"/>
      <c r="G18" s="543"/>
      <c r="H18" s="20" t="s">
        <v>12</v>
      </c>
      <c r="I18" s="21"/>
      <c r="J18" s="21"/>
      <c r="K18" s="22"/>
      <c r="L18" s="23">
        <f t="shared" ref="L18:N18" ca="1" si="11">L19+L20</f>
        <v>2597545</v>
      </c>
      <c r="M18" s="23">
        <f t="shared" ca="1" si="11"/>
        <v>1903855</v>
      </c>
      <c r="N18" s="23">
        <f t="shared" ca="1" si="11"/>
        <v>1724498</v>
      </c>
      <c r="O18" s="22">
        <f t="shared" ref="O18:O20" ca="1" si="12">IF(L18&gt;0,N18*100/L18,0)</f>
        <v>66.389533193842652</v>
      </c>
      <c r="P18" s="22">
        <f t="shared" ref="P18:P26" ca="1" si="13">IF(M18&gt;0,N18*100/M18,0)</f>
        <v>90.579272055907623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2597545</v>
      </c>
      <c r="M20" s="30">
        <f t="shared" ca="1" si="15"/>
        <v>1903855</v>
      </c>
      <c r="N20" s="30">
        <f t="shared" ca="1" si="15"/>
        <v>1724498</v>
      </c>
      <c r="O20" s="29">
        <f t="shared" ca="1" si="12"/>
        <v>66.389533193842652</v>
      </c>
      <c r="P20" s="29">
        <f t="shared" ca="1" si="13"/>
        <v>90.579272055907623</v>
      </c>
    </row>
    <row r="21" spans="1:16" ht="21.75" customHeight="1" x14ac:dyDescent="0.45">
      <c r="A21" s="31"/>
      <c r="B21" s="32"/>
      <c r="C21" s="33" t="s">
        <v>16</v>
      </c>
      <c r="D21" s="544" t="s">
        <v>20</v>
      </c>
      <c r="E21" s="545"/>
      <c r="F21" s="54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1647145</v>
      </c>
      <c r="M22" s="42">
        <f t="shared" ca="1" si="18"/>
        <v>953455</v>
      </c>
      <c r="N22" s="41">
        <f t="shared" ca="1" si="18"/>
        <v>774098</v>
      </c>
      <c r="O22" s="41">
        <f t="shared" ca="1" si="17"/>
        <v>46.996348226780277</v>
      </c>
      <c r="P22" s="41">
        <f t="shared" ca="1" si="13"/>
        <v>81.188729410407419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1368300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278845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44" t="s">
        <v>23</v>
      </c>
      <c r="E25" s="54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950400</v>
      </c>
      <c r="M26" s="50">
        <f t="shared" ca="1" si="22"/>
        <v>950400</v>
      </c>
      <c r="N26" s="50">
        <f t="shared" ca="1" si="22"/>
        <v>950400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1" t="s">
        <v>25</v>
      </c>
      <c r="B27" s="531"/>
      <c r="C27" s="531"/>
      <c r="D27" s="531"/>
      <c r="E27" s="531"/>
      <c r="F27" s="531"/>
      <c r="G27" s="53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2" t="s">
        <v>17</v>
      </c>
      <c r="E28" s="543"/>
      <c r="F28" s="543"/>
      <c r="G28" s="543"/>
      <c r="H28" s="20" t="s">
        <v>12</v>
      </c>
      <c r="I28" s="21"/>
      <c r="J28" s="21"/>
      <c r="K28" s="22"/>
      <c r="L28" s="23">
        <f t="shared" ref="L28:N28" ca="1" si="23">L29+L30</f>
        <v>1521708</v>
      </c>
      <c r="M28" s="23">
        <f t="shared" si="23"/>
        <v>0</v>
      </c>
      <c r="N28" s="23">
        <f t="shared" ca="1" si="23"/>
        <v>376299.74</v>
      </c>
      <c r="O28" s="22">
        <f t="shared" ref="O28:O30" ca="1" si="24">IF(L28&gt;0,N28*100/L28,0)</f>
        <v>24.728774508644236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1521708</v>
      </c>
      <c r="M30" s="30">
        <f t="shared" si="27"/>
        <v>0</v>
      </c>
      <c r="N30" s="30">
        <f t="shared" ca="1" si="27"/>
        <v>376299.74</v>
      </c>
      <c r="O30" s="29">
        <f t="shared" ca="1" si="24"/>
        <v>24.728774508644236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44" t="s">
        <v>20</v>
      </c>
      <c r="E31" s="545"/>
      <c r="F31" s="54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1521708</v>
      </c>
      <c r="M32" s="41">
        <f t="shared" si="30"/>
        <v>0</v>
      </c>
      <c r="N32" s="41">
        <f t="shared" ca="1" si="30"/>
        <v>376299.74</v>
      </c>
      <c r="O32" s="41">
        <f t="shared" ca="1" si="29"/>
        <v>24.728774508644236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617708</v>
      </c>
      <c r="M34" s="41">
        <f t="shared" si="32"/>
        <v>0</v>
      </c>
      <c r="N34" s="41">
        <f t="shared" ca="1" si="32"/>
        <v>376299.74</v>
      </c>
      <c r="O34" s="41">
        <f t="shared" ca="1" si="29"/>
        <v>60.918709163553004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44" t="s">
        <v>23</v>
      </c>
      <c r="E35" s="54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2597545</v>
      </c>
      <c r="M37" s="55">
        <f t="shared" ca="1" si="33"/>
        <v>1903855</v>
      </c>
      <c r="N37" s="55">
        <f t="shared" ca="1" si="33"/>
        <v>1724498</v>
      </c>
      <c r="O37" s="56">
        <f t="shared" ca="1" si="29"/>
        <v>66.389533193842652</v>
      </c>
      <c r="P37" s="56">
        <f t="shared" ca="1" si="25"/>
        <v>90.579272055907623</v>
      </c>
    </row>
    <row r="38" spans="1:16" ht="21.75" customHeight="1" x14ac:dyDescent="0.45">
      <c r="A38" s="546" t="s">
        <v>27</v>
      </c>
      <c r="B38" s="531"/>
      <c r="C38" s="531"/>
      <c r="D38" s="531"/>
      <c r="E38" s="531"/>
      <c r="F38" s="531"/>
      <c r="G38" s="53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7" t="s">
        <v>28</v>
      </c>
      <c r="C39" s="543"/>
      <c r="D39" s="543"/>
      <c r="E39" s="543"/>
      <c r="F39" s="543"/>
      <c r="G39" s="54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48" t="s">
        <v>17</v>
      </c>
      <c r="E41" s="545"/>
      <c r="F41" s="545"/>
      <c r="G41" s="545"/>
      <c r="H41" s="76" t="s">
        <v>12</v>
      </c>
      <c r="I41" s="77"/>
      <c r="J41" s="77"/>
      <c r="K41" s="78"/>
      <c r="L41" s="79">
        <f t="shared" ref="L41:N41" ca="1" si="34">L42+L43</f>
        <v>1505900</v>
      </c>
      <c r="M41" s="79">
        <f t="shared" ca="1" si="34"/>
        <v>1228100</v>
      </c>
      <c r="N41" s="79">
        <f t="shared" ca="1" si="34"/>
        <v>1167364</v>
      </c>
      <c r="O41" s="78">
        <f t="shared" ref="O41:O43" ca="1" si="35">IF(L41&gt;0,N41*100/L41,0)</f>
        <v>77.519357195032867</v>
      </c>
      <c r="P41" s="78">
        <f t="shared" ref="P41:P43" ca="1" si="36">IF(M41&gt;0,N41*100/M41,0)</f>
        <v>95.054474391336214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1505900</v>
      </c>
      <c r="M43" s="79">
        <f t="shared" ca="1" si="38"/>
        <v>1228100</v>
      </c>
      <c r="N43" s="79">
        <f t="shared" ca="1" si="38"/>
        <v>1167364</v>
      </c>
      <c r="O43" s="78">
        <f t="shared" ca="1" si="35"/>
        <v>77.519357195032867</v>
      </c>
      <c r="P43" s="78">
        <f t="shared" ca="1" si="36"/>
        <v>95.054474391336214</v>
      </c>
    </row>
    <row r="44" spans="1:16" ht="21.75" customHeight="1" x14ac:dyDescent="0.45">
      <c r="A44" s="80"/>
      <c r="B44" s="81"/>
      <c r="C44" s="82" t="s">
        <v>16</v>
      </c>
      <c r="D44" s="549" t="s">
        <v>20</v>
      </c>
      <c r="E44" s="545"/>
      <c r="F44" s="54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555500</v>
      </c>
      <c r="M45" s="91">
        <f ca="1">IFERROR(__xludf.DUMMYFUNCTION("IMPORTRANGE(""https://docs.google.com/spreadsheets/d/1Yj_ptqi66GCucihVvJfMjLAmec39IyEx_6qawtMGysU/edit?usp=sharing"",""สบก!Q85"")"),277700)</f>
        <v>277700</v>
      </c>
      <c r="N45" s="91">
        <f ca="1">IFERROR(__xludf.DUMMYFUNCTION("IMPORTRANGE(""https://docs.google.com/spreadsheets/d/1Yj_ptqi66GCucihVvJfMjLAmec39IyEx_6qawtMGysU/edit?usp=sharing"",""สบก!R85"")"),216964)</f>
        <v>216964</v>
      </c>
      <c r="O45" s="92">
        <f ca="1">IF(L45&gt;0,N45*100/L45,0)</f>
        <v>39.05742574257426</v>
      </c>
      <c r="P45" s="92">
        <f ca="1">IF(M45&gt;0,N45*100/M45,0)</f>
        <v>78.128916096507027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IFERROR(__xludf.DUMMYFUNCTION("IMPORTRANGE(""https://docs.google.com/spreadsheets/d/1Yj_ptqi66GCucihVvJfMjLAmec39IyEx_6qawtMGysU/edit?usp=sharing"",""สบก!M85"")"),555500)</f>
        <v>555500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IFERROR(__xludf.DUMMYFUNCTION("IMPORTRANGE(""https://docs.google.com/spreadsheets/d/1Yj_ptqi66GCucihVvJfMjLAmec39IyEx_6qawtMGysU/edit?usp=sharing"",""สบก!N85"")"),0)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49" t="s">
        <v>23</v>
      </c>
      <c r="E48" s="54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IFERROR(__xludf.DUMMYFUNCTION("IMPORTRANGE(""https://docs.google.com/spreadsheets/d/1Yj_ptqi66GCucihVvJfMjLAmec39IyEx_6qawtMGysU/edit?usp=sharing"",""สบก!O85"")"),950400)</f>
        <v>950400</v>
      </c>
      <c r="M49" s="101">
        <f ca="1">L49</f>
        <v>950400</v>
      </c>
      <c r="N49" s="91">
        <f ca="1">IFERROR(__xludf.DUMMYFUNCTION("IMPORTRANGE(""https://docs.google.com/spreadsheets/d/1Yj_ptqi66GCucihVvJfMjLAmec39IyEx_6qawtMGysU/edit?usp=sharing"",""สบก!S85"")"),950400)</f>
        <v>950400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0" t="s">
        <v>32</v>
      </c>
      <c r="C52" s="545"/>
      <c r="D52" s="545"/>
      <c r="E52" s="545"/>
      <c r="F52" s="545"/>
      <c r="G52" s="54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1" t="s">
        <v>17</v>
      </c>
      <c r="E53" s="545"/>
      <c r="F53" s="545"/>
      <c r="G53" s="545"/>
      <c r="H53" s="122" t="s">
        <v>12</v>
      </c>
      <c r="I53" s="123"/>
      <c r="J53" s="123"/>
      <c r="K53" s="124"/>
      <c r="L53" s="125">
        <f t="shared" ref="L53:N53" ca="1" si="39">L54+L55</f>
        <v>306000</v>
      </c>
      <c r="M53" s="125">
        <f t="shared" ca="1" si="39"/>
        <v>250500</v>
      </c>
      <c r="N53" s="125">
        <f t="shared" ca="1" si="39"/>
        <v>227171</v>
      </c>
      <c r="O53" s="124">
        <f t="shared" ref="O53:O55" ca="1" si="40">IF(L53&gt;0,N53*100/L53,0)</f>
        <v>74.238888888888894</v>
      </c>
      <c r="P53" s="124">
        <f t="shared" ref="P53:P55" ca="1" si="41">IF(M53&gt;0,N53*100/M53,0)</f>
        <v>90.687025948103795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306000</v>
      </c>
      <c r="M55" s="125">
        <f t="shared" ca="1" si="43"/>
        <v>250500</v>
      </c>
      <c r="N55" s="125">
        <f t="shared" ca="1" si="43"/>
        <v>227171</v>
      </c>
      <c r="O55" s="124">
        <f t="shared" ca="1" si="40"/>
        <v>74.238888888888894</v>
      </c>
      <c r="P55" s="124">
        <f t="shared" ca="1" si="41"/>
        <v>90.687025948103795</v>
      </c>
    </row>
    <row r="56" spans="1:16" ht="21.75" customHeight="1" x14ac:dyDescent="0.45">
      <c r="A56" s="80"/>
      <c r="B56" s="81"/>
      <c r="C56" s="82" t="s">
        <v>16</v>
      </c>
      <c r="D56" s="549" t="s">
        <v>20</v>
      </c>
      <c r="E56" s="545"/>
      <c r="F56" s="54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306000</v>
      </c>
      <c r="M57" s="91">
        <f ca="1">IFERROR(__xludf.DUMMYFUNCTION("IMPORTRANGE(""https://docs.google.com/spreadsheets/d/1Yj_ptqi66GCucihVvJfMjLAmec39IyEx_6qawtMGysU/edit?usp=sharing"",""สบก!Z85"")"),250500)</f>
        <v>250500</v>
      </c>
      <c r="N57" s="91">
        <f ca="1">IFERROR(__xludf.DUMMYFUNCTION("IMPORTRANGE(""https://docs.google.com/spreadsheets/d/1Yj_ptqi66GCucihVvJfMjLAmec39IyEx_6qawtMGysU/edit?usp=sharing"",""สบก!AA85"")"),227171)</f>
        <v>227171</v>
      </c>
      <c r="O57" s="92">
        <f ca="1">IF(L57&gt;0,N57*100/L57,0)</f>
        <v>74.238888888888894</v>
      </c>
      <c r="P57" s="92">
        <f ca="1">IF(M57&gt;0,N57*100/M57,0)</f>
        <v>90.687025948103795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IFERROR(__xludf.DUMMYFUNCTION("IMPORTRANGE(""https://docs.google.com/spreadsheets/d/1Yj_ptqi66GCucihVvJfMjLAmec39IyEx_6qawtMGysU/edit?usp=sharing"",""สบก!V85"")"),306000)</f>
        <v>306000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IFERROR(__xludf.DUMMYFUNCTION("IMPORTRANGE(""https://docs.google.com/spreadsheets/d/1Yj_ptqi66GCucihVvJfMjLAmec39IyEx_6qawtMGysU/edit?usp=sharing"",""สบก!W85"")"),0)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49" t="s">
        <v>23</v>
      </c>
      <c r="E60" s="54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IFERROR(__xludf.DUMMYFUNCTION("IMPORTRANGE(""https://docs.google.com/spreadsheets/d/1Yj_ptqi66GCucihVvJfMjLAmec39IyEx_6qawtMGysU/edit?usp=sharing"",""สบก!X85"")"),0)</f>
        <v>0</v>
      </c>
      <c r="M61" s="101"/>
      <c r="N61" s="91">
        <f ca="1">IFERROR(__xludf.DUMMYFUNCTION("IMPORTRANGE(""https://docs.google.com/spreadsheets/d/1Yj_ptqi66GCucihVvJfMjLAmec39IyEx_6qawtMGysU/edit?usp=sharing"",""สบก!AB85"")"),0)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IFERROR(__xludf.DUMMYFUNCTION("IMPORTRANGE(""https://docs.google.com/spreadsheets/d/1IYY_tgx_IHuhSq3AJ5eI5OnqOPBNLWSHKh2a30DoXe8/edit?usp=sharing"",""นราธิวาส!I9"")"),0)</f>
        <v>0</v>
      </c>
      <c r="J64" s="146">
        <f ca="1">IFERROR(__xludf.DUMMYFUNCTION("IMPORTRANGE(""https://docs.google.com/spreadsheets/d/1IYY_tgx_IHuhSq3AJ5eI5OnqOPBNLWSHKh2a30DoXe8/edit?usp=sharing"",""นราธิวาส!J9"")"),0)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IFERROR(__xludf.DUMMYFUNCTION("IMPORTRANGE(""https://docs.google.com/spreadsheets/d/1IYY_tgx_IHuhSq3AJ5eI5OnqOPBNLWSHKh2a30DoXe8/edit?usp=sharing"",""นราธิวาส!I10"")"),0)</f>
        <v>0</v>
      </c>
      <c r="J65" s="146">
        <f ca="1">IFERROR(__xludf.DUMMYFUNCTION("IMPORTRANGE(""https://docs.google.com/spreadsheets/d/1IYY_tgx_IHuhSq3AJ5eI5OnqOPBNLWSHKh2a30DoXe8/edit?usp=sharing"",""นราธิวาส!J10"")"),0)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52" t="s">
        <v>17</v>
      </c>
      <c r="E66" s="543"/>
      <c r="F66" s="543"/>
      <c r="G66" s="54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5">
      <c r="A69" s="162"/>
      <c r="B69" s="163"/>
      <c r="C69" s="163" t="s">
        <v>16</v>
      </c>
      <c r="D69" s="164" t="s">
        <v>38</v>
      </c>
      <c r="E69" s="165"/>
      <c r="F69" s="165"/>
      <c r="G69" s="166" t="s">
        <v>39</v>
      </c>
      <c r="H69" s="167" t="s">
        <v>12</v>
      </c>
      <c r="I69" s="168" t="s">
        <v>40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 x14ac:dyDescent="0.35">
      <c r="A70" s="162"/>
      <c r="B70" s="163"/>
      <c r="C70" s="163"/>
      <c r="D70" s="172"/>
      <c r="E70" s="165"/>
      <c r="F70" s="165" t="s">
        <v>40</v>
      </c>
      <c r="G70" s="166" t="s">
        <v>41</v>
      </c>
      <c r="H70" s="167" t="s">
        <v>12</v>
      </c>
      <c r="I70" s="168"/>
      <c r="J70" s="168"/>
      <c r="K70" s="169"/>
      <c r="L70" s="173">
        <f ca="1">L71+L72</f>
        <v>0</v>
      </c>
      <c r="M70" s="174">
        <f ca="1">IFERROR(__xludf.DUMMYFUNCTION("IMPORTRANGE(""https://docs.google.com/spreadsheets/d/1Yj_ptqi66GCucihVvJfMjLAmec39IyEx_6qawtMGysU/edit?usp=sharing"",""สบก!AI85"")"),0)</f>
        <v>0</v>
      </c>
      <c r="N70" s="175">
        <f ca="1">IFERROR(__xludf.DUMMYFUNCTION("IMPORTRANGE(""https://docs.google.com/spreadsheets/d/1Yj_ptqi66GCucihVvJfMjLAmec39IyEx_6qawtMGysU/edit?usp=sharing"",""สบก!AJ85"")"),0)</f>
        <v>0</v>
      </c>
      <c r="O70" s="176">
        <f ca="1">IF(L70&gt;0,N70*100/L70,0)</f>
        <v>0</v>
      </c>
      <c r="P70" s="176">
        <f ca="1">IF(M70&gt;0,N70*100/M70,0)</f>
        <v>0</v>
      </c>
    </row>
    <row r="71" spans="1:16" ht="21.75" customHeight="1" x14ac:dyDescent="0.35">
      <c r="A71" s="162"/>
      <c r="B71" s="163"/>
      <c r="C71" s="163"/>
      <c r="D71" s="172"/>
      <c r="E71" s="165"/>
      <c r="F71" s="165"/>
      <c r="G71" s="177" t="s">
        <v>42</v>
      </c>
      <c r="H71" s="167" t="s">
        <v>12</v>
      </c>
      <c r="I71" s="168"/>
      <c r="J71" s="168"/>
      <c r="K71" s="169"/>
      <c r="L71" s="174">
        <f ca="1">IFERROR(__xludf.DUMMYFUNCTION("IMPORTRANGE(""https://docs.google.com/spreadsheets/d/1Yj_ptqi66GCucihVvJfMjLAmec39IyEx_6qawtMGysU/edit?usp=sharing"",""สบก!AE85"")"),0)</f>
        <v>0</v>
      </c>
      <c r="M71" s="173"/>
      <c r="N71" s="173"/>
      <c r="O71" s="176"/>
      <c r="P71" s="176"/>
    </row>
    <row r="72" spans="1:16" ht="21.75" customHeight="1" x14ac:dyDescent="0.35">
      <c r="A72" s="162"/>
      <c r="B72" s="163"/>
      <c r="C72" s="163"/>
      <c r="D72" s="172"/>
      <c r="E72" s="165"/>
      <c r="F72" s="165"/>
      <c r="G72" s="177" t="s">
        <v>43</v>
      </c>
      <c r="H72" s="167" t="s">
        <v>12</v>
      </c>
      <c r="I72" s="168"/>
      <c r="J72" s="168"/>
      <c r="K72" s="169"/>
      <c r="L72" s="174">
        <f ca="1">IFERROR(__xludf.DUMMYFUNCTION("IMPORTRANGE(""https://docs.google.com/spreadsheets/d/1Yj_ptqi66GCucihVvJfMjLAmec39IyEx_6qawtMGysU/edit?usp=sharing"",""สบก!AF85"")"),0)</f>
        <v>0</v>
      </c>
      <c r="M72" s="173"/>
      <c r="N72" s="173"/>
      <c r="O72" s="176"/>
      <c r="P72" s="176"/>
    </row>
    <row r="73" spans="1:16" ht="21.75" customHeight="1" x14ac:dyDescent="0.45">
      <c r="A73" s="178"/>
      <c r="B73" s="81"/>
      <c r="C73" s="82" t="s">
        <v>16</v>
      </c>
      <c r="D73" s="549" t="s">
        <v>23</v>
      </c>
      <c r="E73" s="545"/>
      <c r="F73" s="89"/>
      <c r="G73" s="83" t="s">
        <v>18</v>
      </c>
      <c r="H73" s="179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80"/>
      <c r="B74" s="95"/>
      <c r="C74" s="95"/>
      <c r="D74" s="181"/>
      <c r="E74" s="96"/>
      <c r="F74" s="96"/>
      <c r="G74" s="97" t="s">
        <v>19</v>
      </c>
      <c r="H74" s="182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IFERROR(__xludf.DUMMYFUNCTION("IMPORTRANGE(""https://docs.google.com/spreadsheets/d/1Yj_ptqi66GCucihVvJfMjLAmec39IyEx_6qawtMGysU/edit?usp=sharing"",""สบก!AG85"")"),0)</f>
        <v>0</v>
      </c>
      <c r="M74" s="101"/>
      <c r="N74" s="91">
        <f ca="1">IFERROR(__xludf.DUMMYFUNCTION("IMPORTRANGE(""https://docs.google.com/spreadsheets/d/1Yj_ptqi66GCucihVvJfMjLAmec39IyEx_6qawtMGysU/edit?usp=sharing"",""สบก!AK85"")"),0)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3"/>
      <c r="B75" s="184"/>
      <c r="C75" s="163" t="s">
        <v>16</v>
      </c>
      <c r="D75" s="185" t="s">
        <v>44</v>
      </c>
      <c r="E75" s="186"/>
      <c r="F75" s="186"/>
      <c r="G75" s="187"/>
      <c r="H75" s="188"/>
      <c r="I75" s="168"/>
      <c r="J75" s="168"/>
      <c r="K75" s="169"/>
      <c r="L75" s="189"/>
      <c r="M75" s="189"/>
      <c r="N75" s="189"/>
      <c r="O75" s="189"/>
      <c r="P75" s="189"/>
    </row>
    <row r="76" spans="1:16" ht="21.75" customHeight="1" x14ac:dyDescent="0.35">
      <c r="A76" s="183"/>
      <c r="B76" s="184"/>
      <c r="C76" s="184"/>
      <c r="D76" s="190">
        <v>1</v>
      </c>
      <c r="E76" s="191" t="s">
        <v>45</v>
      </c>
      <c r="F76" s="192"/>
      <c r="G76" s="193"/>
      <c r="H76" s="194"/>
      <c r="I76" s="195"/>
      <c r="J76" s="196">
        <f ca="1">IFERROR(__xludf.DUMMYFUNCTION("IMPORTRANGE(""https://docs.google.com/spreadsheets/d/1IYY_tgx_IHuhSq3AJ5eI5OnqOPBNLWSHKh2a30DoXe8/edit?usp=sharing"",""นราธิวาส!J16"")"),0)</f>
        <v>0</v>
      </c>
      <c r="K76" s="169"/>
      <c r="L76" s="189"/>
      <c r="M76" s="189"/>
      <c r="N76" s="189"/>
      <c r="O76" s="189"/>
      <c r="P76" s="189"/>
    </row>
    <row r="77" spans="1:16" ht="21.75" customHeight="1" x14ac:dyDescent="0.35">
      <c r="A77" s="183"/>
      <c r="B77" s="184"/>
      <c r="C77" s="184"/>
      <c r="D77" s="197">
        <v>2</v>
      </c>
      <c r="E77" s="198" t="s">
        <v>46</v>
      </c>
      <c r="F77" s="199"/>
      <c r="G77" s="200"/>
      <c r="H77" s="194"/>
      <c r="I77" s="195"/>
      <c r="J77" s="196">
        <f ca="1">IFERROR(__xludf.DUMMYFUNCTION("IMPORTRANGE(""https://docs.google.com/spreadsheets/d/1IYY_tgx_IHuhSq3AJ5eI5OnqOPBNLWSHKh2a30DoXe8/edit?usp=sharing"",""นราธิวาส!J17"")"),0)</f>
        <v>0</v>
      </c>
      <c r="K77" s="169"/>
      <c r="L77" s="189" t="s">
        <v>40</v>
      </c>
      <c r="M77" s="189"/>
      <c r="N77" s="189" t="s">
        <v>40</v>
      </c>
      <c r="O77" s="189"/>
      <c r="P77" s="189"/>
    </row>
    <row r="78" spans="1:16" ht="21.75" customHeight="1" x14ac:dyDescent="0.35">
      <c r="A78" s="183"/>
      <c r="B78" s="184"/>
      <c r="C78" s="184"/>
      <c r="D78" s="201"/>
      <c r="E78" s="202" t="s">
        <v>47</v>
      </c>
      <c r="F78" s="203"/>
      <c r="G78" s="204"/>
      <c r="H78" s="194"/>
      <c r="I78" s="195"/>
      <c r="J78" s="196">
        <f ca="1">IFERROR(__xludf.DUMMYFUNCTION("IMPORTRANGE(""https://docs.google.com/spreadsheets/d/1IYY_tgx_IHuhSq3AJ5eI5OnqOPBNLWSHKh2a30DoXe8/edit?usp=sharing"",""นราธิวาส!J18"")"),0)</f>
        <v>0</v>
      </c>
      <c r="K78" s="169"/>
      <c r="L78" s="189"/>
      <c r="M78" s="189"/>
      <c r="N78" s="189"/>
      <c r="O78" s="189"/>
      <c r="P78" s="189"/>
    </row>
    <row r="79" spans="1:16" ht="21.75" customHeight="1" x14ac:dyDescent="0.35">
      <c r="A79" s="183"/>
      <c r="B79" s="184"/>
      <c r="C79" s="184"/>
      <c r="D79" s="201"/>
      <c r="E79" s="202" t="s">
        <v>48</v>
      </c>
      <c r="F79" s="203"/>
      <c r="G79" s="204"/>
      <c r="H79" s="194"/>
      <c r="I79" s="195"/>
      <c r="J79" s="205">
        <f ca="1">IFERROR(__xludf.DUMMYFUNCTION("IMPORTRANGE(""https://docs.google.com/spreadsheets/d/1IYY_tgx_IHuhSq3AJ5eI5OnqOPBNLWSHKh2a30DoXe8/edit?usp=sharing"",""นราธิวาส!J19"")"),0)</f>
        <v>0</v>
      </c>
      <c r="K79" s="169"/>
      <c r="L79" s="189"/>
      <c r="M79" s="189"/>
      <c r="N79" s="189"/>
      <c r="O79" s="189"/>
      <c r="P79" s="189"/>
    </row>
    <row r="80" spans="1:16" ht="21.75" customHeight="1" x14ac:dyDescent="0.35">
      <c r="A80" s="183"/>
      <c r="B80" s="184"/>
      <c r="C80" s="184"/>
      <c r="D80" s="201"/>
      <c r="E80" s="206"/>
      <c r="F80" s="202" t="s">
        <v>49</v>
      </c>
      <c r="G80" s="203"/>
      <c r="H80" s="207" t="s">
        <v>36</v>
      </c>
      <c r="I80" s="208">
        <f ca="1">IFERROR(__xludf.DUMMYFUNCTION("IMPORTRANGE(""https://docs.google.com/spreadsheets/d/1IYY_tgx_IHuhSq3AJ5eI5OnqOPBNLWSHKh2a30DoXe8/edit?usp=sharing"",""นราธิวาส!I20"")"),0)</f>
        <v>0</v>
      </c>
      <c r="J80" s="208">
        <f ca="1">IFERROR(__xludf.DUMMYFUNCTION("IMPORTRANGE(""https://docs.google.com/spreadsheets/d/1IYY_tgx_IHuhSq3AJ5eI5OnqOPBNLWSHKh2a30DoXe8/edit?usp=sharing"",""นราธิวาส!J20"")"),0)</f>
        <v>0</v>
      </c>
      <c r="K80" s="209">
        <f t="shared" ref="K80:K88" ca="1" si="50">IF(I80&gt;0,J80*100/I80,0)</f>
        <v>0</v>
      </c>
      <c r="L80" s="189"/>
      <c r="M80" s="189"/>
      <c r="N80" s="189"/>
      <c r="O80" s="189"/>
      <c r="P80" s="189"/>
    </row>
    <row r="81" spans="1:16" ht="21.75" customHeight="1" x14ac:dyDescent="0.35">
      <c r="A81" s="183"/>
      <c r="B81" s="184"/>
      <c r="C81" s="184"/>
      <c r="D81" s="201"/>
      <c r="E81" s="206"/>
      <c r="F81" s="203"/>
      <c r="G81" s="204"/>
      <c r="H81" s="207" t="s">
        <v>37</v>
      </c>
      <c r="I81" s="208">
        <f ca="1">IFERROR(__xludf.DUMMYFUNCTION("IMPORTRANGE(""https://docs.google.com/spreadsheets/d/1IYY_tgx_IHuhSq3AJ5eI5OnqOPBNLWSHKh2a30DoXe8/edit?usp=sharing"",""นราธิวาส!I21"")"),0)</f>
        <v>0</v>
      </c>
      <c r="J81" s="208">
        <f ca="1">IFERROR(__xludf.DUMMYFUNCTION("IMPORTRANGE(""https://docs.google.com/spreadsheets/d/1IYY_tgx_IHuhSq3AJ5eI5OnqOPBNLWSHKh2a30DoXe8/edit?usp=sharing"",""นราธิวาส!J21"")"),0)</f>
        <v>0</v>
      </c>
      <c r="K81" s="209">
        <f t="shared" ca="1" si="50"/>
        <v>0</v>
      </c>
      <c r="L81" s="189"/>
      <c r="M81" s="189"/>
      <c r="N81" s="189"/>
      <c r="O81" s="189"/>
      <c r="P81" s="189"/>
    </row>
    <row r="82" spans="1:16" ht="21.75" customHeight="1" x14ac:dyDescent="0.35">
      <c r="A82" s="183"/>
      <c r="B82" s="184"/>
      <c r="C82" s="184"/>
      <c r="D82" s="201"/>
      <c r="E82" s="206"/>
      <c r="F82" s="203"/>
      <c r="G82" s="203" t="s">
        <v>50</v>
      </c>
      <c r="H82" s="188" t="s">
        <v>36</v>
      </c>
      <c r="I82" s="210">
        <f ca="1">IFERROR(__xludf.DUMMYFUNCTION("IMPORTRANGE(""https://docs.google.com/spreadsheets/d/1IYY_tgx_IHuhSq3AJ5eI5OnqOPBNLWSHKh2a30DoXe8/edit?usp=sharing"",""นราธิวาส!I22"")"),0)</f>
        <v>0</v>
      </c>
      <c r="J82" s="211">
        <f ca="1">IFERROR(__xludf.DUMMYFUNCTION("IMPORTRANGE(""https://docs.google.com/spreadsheets/d/1IYY_tgx_IHuhSq3AJ5eI5OnqOPBNLWSHKh2a30DoXe8/edit?usp=sharing"",""นราธิวาส!J22"")"),0)</f>
        <v>0</v>
      </c>
      <c r="K82" s="169">
        <f t="shared" ca="1" si="50"/>
        <v>0</v>
      </c>
      <c r="L82" s="189"/>
      <c r="M82" s="189"/>
      <c r="N82" s="189"/>
      <c r="O82" s="189"/>
      <c r="P82" s="189"/>
    </row>
    <row r="83" spans="1:16" ht="21.75" customHeight="1" x14ac:dyDescent="0.35">
      <c r="A83" s="183"/>
      <c r="B83" s="184"/>
      <c r="C83" s="184"/>
      <c r="D83" s="201"/>
      <c r="E83" s="206"/>
      <c r="F83" s="203"/>
      <c r="G83" s="204"/>
      <c r="H83" s="188" t="s">
        <v>37</v>
      </c>
      <c r="I83" s="210">
        <f ca="1">IFERROR(__xludf.DUMMYFUNCTION("IMPORTRANGE(""https://docs.google.com/spreadsheets/d/1IYY_tgx_IHuhSq3AJ5eI5OnqOPBNLWSHKh2a30DoXe8/edit?usp=sharing"",""นราธิวาส!I23"")"),0)</f>
        <v>0</v>
      </c>
      <c r="J83" s="211">
        <f ca="1">IFERROR(__xludf.DUMMYFUNCTION("IMPORTRANGE(""https://docs.google.com/spreadsheets/d/1IYY_tgx_IHuhSq3AJ5eI5OnqOPBNLWSHKh2a30DoXe8/edit?usp=sharing"",""นราธิวาส!J23"")"),0)</f>
        <v>0</v>
      </c>
      <c r="K83" s="169">
        <f t="shared" ca="1" si="50"/>
        <v>0</v>
      </c>
      <c r="L83" s="189"/>
      <c r="M83" s="189"/>
      <c r="N83" s="189"/>
      <c r="O83" s="189"/>
      <c r="P83" s="189"/>
    </row>
    <row r="84" spans="1:16" ht="21.75" customHeight="1" x14ac:dyDescent="0.35">
      <c r="A84" s="183"/>
      <c r="B84" s="184"/>
      <c r="C84" s="184"/>
      <c r="D84" s="201"/>
      <c r="E84" s="206"/>
      <c r="F84" s="203"/>
      <c r="G84" s="203" t="s">
        <v>51</v>
      </c>
      <c r="H84" s="188" t="s">
        <v>36</v>
      </c>
      <c r="I84" s="210">
        <f ca="1">IFERROR(__xludf.DUMMYFUNCTION("IMPORTRANGE(""https://docs.google.com/spreadsheets/d/1IYY_tgx_IHuhSq3AJ5eI5OnqOPBNLWSHKh2a30DoXe8/edit?usp=sharing"",""นราธิวาส!I24"")"),0)</f>
        <v>0</v>
      </c>
      <c r="J84" s="196">
        <f ca="1">IFERROR(__xludf.DUMMYFUNCTION("IMPORTRANGE(""https://docs.google.com/spreadsheets/d/1IYY_tgx_IHuhSq3AJ5eI5OnqOPBNLWSHKh2a30DoXe8/edit?usp=sharing"",""นราธิวาส!J24"")"),0)</f>
        <v>0</v>
      </c>
      <c r="K84" s="169">
        <f t="shared" ca="1" si="50"/>
        <v>0</v>
      </c>
      <c r="L84" s="189"/>
      <c r="M84" s="189"/>
      <c r="N84" s="189"/>
      <c r="O84" s="189"/>
      <c r="P84" s="189"/>
    </row>
    <row r="85" spans="1:16" ht="21.75" customHeight="1" x14ac:dyDescent="0.35">
      <c r="A85" s="183"/>
      <c r="B85" s="184"/>
      <c r="C85" s="184"/>
      <c r="D85" s="201"/>
      <c r="E85" s="206"/>
      <c r="F85" s="203"/>
      <c r="G85" s="204"/>
      <c r="H85" s="188" t="s">
        <v>37</v>
      </c>
      <c r="I85" s="210">
        <f ca="1">IFERROR(__xludf.DUMMYFUNCTION("IMPORTRANGE(""https://docs.google.com/spreadsheets/d/1IYY_tgx_IHuhSq3AJ5eI5OnqOPBNLWSHKh2a30DoXe8/edit?usp=sharing"",""นราธิวาส!I25"")"),0)</f>
        <v>0</v>
      </c>
      <c r="J85" s="196">
        <f ca="1">IFERROR(__xludf.DUMMYFUNCTION("IMPORTRANGE(""https://docs.google.com/spreadsheets/d/1IYY_tgx_IHuhSq3AJ5eI5OnqOPBNLWSHKh2a30DoXe8/edit?usp=sharing"",""นราธิวาส!J25"")"),0)</f>
        <v>0</v>
      </c>
      <c r="K85" s="169">
        <f t="shared" ca="1" si="50"/>
        <v>0</v>
      </c>
      <c r="L85" s="189"/>
      <c r="M85" s="189"/>
      <c r="N85" s="189"/>
      <c r="O85" s="189"/>
      <c r="P85" s="189"/>
    </row>
    <row r="86" spans="1:16" ht="21.75" customHeight="1" x14ac:dyDescent="0.35">
      <c r="A86" s="183"/>
      <c r="B86" s="184"/>
      <c r="C86" s="184"/>
      <c r="D86" s="201"/>
      <c r="E86" s="206"/>
      <c r="F86" s="203"/>
      <c r="G86" s="203" t="s">
        <v>52</v>
      </c>
      <c r="H86" s="188" t="s">
        <v>36</v>
      </c>
      <c r="I86" s="210">
        <f ca="1">IFERROR(__xludf.DUMMYFUNCTION("IMPORTRANGE(""https://docs.google.com/spreadsheets/d/1IYY_tgx_IHuhSq3AJ5eI5OnqOPBNLWSHKh2a30DoXe8/edit?usp=sharing"",""นราธิวาส!I26"")"),0)</f>
        <v>0</v>
      </c>
      <c r="J86" s="211">
        <f ca="1">IFERROR(__xludf.DUMMYFUNCTION("IMPORTRANGE(""https://docs.google.com/spreadsheets/d/1IYY_tgx_IHuhSq3AJ5eI5OnqOPBNLWSHKh2a30DoXe8/edit?usp=sharing"",""นราธิวาส!J26"")"),0)</f>
        <v>0</v>
      </c>
      <c r="K86" s="169">
        <f t="shared" ca="1" si="50"/>
        <v>0</v>
      </c>
      <c r="L86" s="189"/>
      <c r="M86" s="189"/>
      <c r="N86" s="189"/>
      <c r="O86" s="189"/>
      <c r="P86" s="189"/>
    </row>
    <row r="87" spans="1:16" ht="21.75" customHeight="1" x14ac:dyDescent="0.35">
      <c r="A87" s="183"/>
      <c r="B87" s="184"/>
      <c r="C87" s="184"/>
      <c r="D87" s="201"/>
      <c r="E87" s="206"/>
      <c r="F87" s="203"/>
      <c r="G87" s="204"/>
      <c r="H87" s="188" t="s">
        <v>37</v>
      </c>
      <c r="I87" s="210">
        <f ca="1">IFERROR(__xludf.DUMMYFUNCTION("IMPORTRANGE(""https://docs.google.com/spreadsheets/d/1IYY_tgx_IHuhSq3AJ5eI5OnqOPBNLWSHKh2a30DoXe8/edit?usp=sharing"",""นราธิวาส!I27"")"),0)</f>
        <v>0</v>
      </c>
      <c r="J87" s="211">
        <f ca="1">IFERROR(__xludf.DUMMYFUNCTION("IMPORTRANGE(""https://docs.google.com/spreadsheets/d/1IYY_tgx_IHuhSq3AJ5eI5OnqOPBNLWSHKh2a30DoXe8/edit?usp=sharing"",""นราธิวาส!J27"")"),0)</f>
        <v>0</v>
      </c>
      <c r="K87" s="169">
        <f t="shared" ca="1" si="50"/>
        <v>0</v>
      </c>
      <c r="L87" s="189"/>
      <c r="M87" s="189"/>
      <c r="N87" s="189"/>
      <c r="O87" s="189"/>
      <c r="P87" s="189"/>
    </row>
    <row r="88" spans="1:16" ht="21.75" customHeight="1" x14ac:dyDescent="0.35">
      <c r="A88" s="183"/>
      <c r="B88" s="184"/>
      <c r="C88" s="184"/>
      <c r="D88" s="201"/>
      <c r="E88" s="206"/>
      <c r="F88" s="212" t="s">
        <v>53</v>
      </c>
      <c r="G88" s="203"/>
      <c r="H88" s="188" t="s">
        <v>37</v>
      </c>
      <c r="I88" s="210">
        <f ca="1">IFERROR(__xludf.DUMMYFUNCTION("IMPORTRANGE(""https://docs.google.com/spreadsheets/d/1IYY_tgx_IHuhSq3AJ5eI5OnqOPBNLWSHKh2a30DoXe8/edit?usp=sharing"",""นราธิวาส!I28"")"),0)</f>
        <v>0</v>
      </c>
      <c r="J88" s="211">
        <f ca="1">IFERROR(__xludf.DUMMYFUNCTION("IMPORTRANGE(""https://docs.google.com/spreadsheets/d/1IYY_tgx_IHuhSq3AJ5eI5OnqOPBNLWSHKh2a30DoXe8/edit?usp=sharing"",""นราธิวาส!J28"")"),0)</f>
        <v>0</v>
      </c>
      <c r="K88" s="169">
        <f t="shared" ca="1" si="50"/>
        <v>0</v>
      </c>
      <c r="L88" s="189"/>
      <c r="M88" s="189"/>
      <c r="N88" s="189"/>
      <c r="O88" s="189"/>
      <c r="P88" s="189"/>
    </row>
    <row r="89" spans="1:16" ht="21.75" customHeight="1" x14ac:dyDescent="0.35">
      <c r="A89" s="183"/>
      <c r="B89" s="184"/>
      <c r="C89" s="184"/>
      <c r="D89" s="201"/>
      <c r="E89" s="202" t="s">
        <v>54</v>
      </c>
      <c r="F89" s="203"/>
      <c r="G89" s="204"/>
      <c r="H89" s="194"/>
      <c r="I89" s="195"/>
      <c r="J89" s="205">
        <f ca="1">IFERROR(__xludf.DUMMYFUNCTION("IMPORTRANGE(""https://docs.google.com/spreadsheets/d/1IYY_tgx_IHuhSq3AJ5eI5OnqOPBNLWSHKh2a30DoXe8/edit?usp=sharing"",""นราธิวาส!J29"")"),0)</f>
        <v>0</v>
      </c>
      <c r="K89" s="169"/>
      <c r="L89" s="189"/>
      <c r="M89" s="189"/>
      <c r="N89" s="189"/>
      <c r="O89" s="189"/>
      <c r="P89" s="189"/>
    </row>
    <row r="90" spans="1:16" ht="21.75" customHeight="1" x14ac:dyDescent="0.35">
      <c r="A90" s="183"/>
      <c r="B90" s="184"/>
      <c r="C90" s="184"/>
      <c r="D90" s="213">
        <v>3</v>
      </c>
      <c r="E90" s="214" t="s">
        <v>55</v>
      </c>
      <c r="F90" s="215"/>
      <c r="G90" s="216"/>
      <c r="H90" s="194"/>
      <c r="I90" s="195"/>
      <c r="J90" s="217">
        <f ca="1">IFERROR(__xludf.DUMMYFUNCTION("IMPORTRANGE(""https://docs.google.com/spreadsheets/d/1IYY_tgx_IHuhSq3AJ5eI5OnqOPBNLWSHKh2a30DoXe8/edit?usp=sharing"",""นราธิวาส!J30"")"),0)</f>
        <v>0</v>
      </c>
      <c r="K90" s="169"/>
      <c r="L90" s="189"/>
      <c r="M90" s="189"/>
      <c r="N90" s="189"/>
      <c r="O90" s="189"/>
      <c r="P90" s="189"/>
    </row>
    <row r="91" spans="1:16" ht="21.75" customHeight="1" x14ac:dyDescent="0.35">
      <c r="A91" s="218" t="s">
        <v>56</v>
      </c>
      <c r="B91" s="219"/>
      <c r="C91" s="220"/>
      <c r="D91" s="219"/>
      <c r="E91" s="221"/>
      <c r="F91" s="221"/>
      <c r="G91" s="222"/>
      <c r="H91" s="223"/>
      <c r="I91" s="224"/>
      <c r="J91" s="224"/>
      <c r="K91" s="225"/>
      <c r="L91" s="226"/>
      <c r="M91" s="226"/>
      <c r="N91" s="226"/>
      <c r="O91" s="227"/>
      <c r="P91" s="227"/>
    </row>
    <row r="92" spans="1:16" ht="21.75" customHeight="1" x14ac:dyDescent="0.35">
      <c r="A92" s="142"/>
      <c r="B92" s="143" t="s">
        <v>57</v>
      </c>
      <c r="C92" s="143"/>
      <c r="D92" s="144"/>
      <c r="E92" s="143"/>
      <c r="F92" s="143"/>
      <c r="G92" s="228"/>
      <c r="H92" s="145" t="s">
        <v>37</v>
      </c>
      <c r="I92" s="146">
        <f ca="1">IFERROR(__xludf.DUMMYFUNCTION("IMPORTRANGE(""https://docs.google.com/spreadsheets/d/1IYY_tgx_IHuhSq3AJ5eI5OnqOPBNLWSHKh2a30DoXe8/edit?usp=sharing"",""นราธิวาส!I32"")"),0)</f>
        <v>0</v>
      </c>
      <c r="J92" s="146">
        <f ca="1">IFERROR(__xludf.DUMMYFUNCTION("IMPORTRANGE(""https://docs.google.com/spreadsheets/d/1IYY_tgx_IHuhSq3AJ5eI5OnqOPBNLWSHKh2a30DoXe8/edit?usp=sharing"",""นราธิวาส!J32"")"),0)</f>
        <v>0</v>
      </c>
      <c r="K92" s="147">
        <f t="shared" ref="K92:K93" ca="1" si="51">IF(I92&gt;0,J92*100/I92,0)</f>
        <v>0</v>
      </c>
      <c r="L92" s="229"/>
      <c r="M92" s="229"/>
      <c r="N92" s="230"/>
      <c r="O92" s="147"/>
      <c r="P92" s="147"/>
    </row>
    <row r="93" spans="1:16" ht="21.75" customHeight="1" x14ac:dyDescent="0.35">
      <c r="A93" s="142"/>
      <c r="B93" s="143"/>
      <c r="C93" s="143"/>
      <c r="D93" s="144" t="s">
        <v>58</v>
      </c>
      <c r="E93" s="143"/>
      <c r="F93" s="143"/>
      <c r="G93" s="228"/>
      <c r="H93" s="145" t="s">
        <v>59</v>
      </c>
      <c r="I93" s="146">
        <f ca="1">IFERROR(__xludf.DUMMYFUNCTION("IMPORTRANGE(""https://docs.google.com/spreadsheets/d/1IYY_tgx_IHuhSq3AJ5eI5OnqOPBNLWSHKh2a30DoXe8/edit?usp=sharing"",""นราธิวาส!I33"")"),0)</f>
        <v>0</v>
      </c>
      <c r="J93" s="146">
        <f ca="1">IFERROR(__xludf.DUMMYFUNCTION("IMPORTRANGE(""https://docs.google.com/spreadsheets/d/1IYY_tgx_IHuhSq3AJ5eI5OnqOPBNLWSHKh2a30DoXe8/edit?usp=sharing"",""นราธิวาส!J33"")"),0)</f>
        <v>0</v>
      </c>
      <c r="K93" s="147">
        <f t="shared" ca="1" si="51"/>
        <v>0</v>
      </c>
      <c r="L93" s="230"/>
      <c r="M93" s="230"/>
      <c r="N93" s="230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52" t="s">
        <v>17</v>
      </c>
      <c r="E94" s="543"/>
      <c r="F94" s="543"/>
      <c r="G94" s="543"/>
      <c r="H94" s="153" t="s">
        <v>12</v>
      </c>
      <c r="I94" s="168"/>
      <c r="J94" s="168"/>
      <c r="K94" s="169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8"/>
      <c r="J95" s="168"/>
      <c r="K95" s="169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8"/>
      <c r="J96" s="168"/>
      <c r="K96" s="169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5">
      <c r="A97" s="162"/>
      <c r="B97" s="163"/>
      <c r="C97" s="163" t="s">
        <v>16</v>
      </c>
      <c r="D97" s="164" t="s">
        <v>38</v>
      </c>
      <c r="E97" s="165"/>
      <c r="F97" s="165"/>
      <c r="G97" s="166" t="s">
        <v>39</v>
      </c>
      <c r="H97" s="167" t="s">
        <v>12</v>
      </c>
      <c r="I97" s="168" t="s">
        <v>40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 x14ac:dyDescent="0.35">
      <c r="A98" s="162"/>
      <c r="B98" s="163"/>
      <c r="C98" s="163"/>
      <c r="D98" s="172"/>
      <c r="E98" s="165"/>
      <c r="F98" s="165" t="s">
        <v>40</v>
      </c>
      <c r="G98" s="166" t="s">
        <v>41</v>
      </c>
      <c r="H98" s="167" t="s">
        <v>12</v>
      </c>
      <c r="I98" s="168"/>
      <c r="J98" s="168"/>
      <c r="K98" s="169"/>
      <c r="L98" s="173">
        <f ca="1">L99+L100</f>
        <v>0</v>
      </c>
      <c r="M98" s="174">
        <f ca="1">IFERROR(__xludf.DUMMYFUNCTION("IMPORTRANGE(""https://docs.google.com/spreadsheets/d/1Yj_ptqi66GCucihVvJfMjLAmec39IyEx_6qawtMGysU/edit?usp=sharing"",""สบก!AR85"")"),0)</f>
        <v>0</v>
      </c>
      <c r="N98" s="175">
        <f ca="1">IFERROR(__xludf.DUMMYFUNCTION("IMPORTRANGE(""https://docs.google.com/spreadsheets/d/1Yj_ptqi66GCucihVvJfMjLAmec39IyEx_6qawtMGysU/edit?usp=sharing"",""สบก!AS85"")"),0)</f>
        <v>0</v>
      </c>
      <c r="O98" s="176">
        <f ca="1">IF(L98&gt;0,N98*100/L98,0)</f>
        <v>0</v>
      </c>
      <c r="P98" s="176">
        <f ca="1">IF(M98&gt;0,N98*100/M98,0)</f>
        <v>0</v>
      </c>
    </row>
    <row r="99" spans="1:16" ht="21.75" customHeight="1" x14ac:dyDescent="0.35">
      <c r="A99" s="162"/>
      <c r="B99" s="163"/>
      <c r="C99" s="163"/>
      <c r="D99" s="172"/>
      <c r="E99" s="165"/>
      <c r="F99" s="165"/>
      <c r="G99" s="177" t="s">
        <v>42</v>
      </c>
      <c r="H99" s="167" t="s">
        <v>12</v>
      </c>
      <c r="I99" s="168"/>
      <c r="J99" s="168"/>
      <c r="K99" s="169"/>
      <c r="L99" s="174">
        <f ca="1">IFERROR(__xludf.DUMMYFUNCTION("IMPORTRANGE(""https://docs.google.com/spreadsheets/d/1Yj_ptqi66GCucihVvJfMjLAmec39IyEx_6qawtMGysU/edit?usp=sharing"",""สบก!AN85"")"),0)</f>
        <v>0</v>
      </c>
      <c r="M99" s="173"/>
      <c r="N99" s="173"/>
      <c r="O99" s="176"/>
      <c r="P99" s="176"/>
    </row>
    <row r="100" spans="1:16" ht="21.75" customHeight="1" x14ac:dyDescent="0.35">
      <c r="A100" s="162"/>
      <c r="B100" s="163"/>
      <c r="C100" s="163"/>
      <c r="D100" s="172"/>
      <c r="E100" s="165"/>
      <c r="F100" s="165"/>
      <c r="G100" s="177" t="s">
        <v>43</v>
      </c>
      <c r="H100" s="167" t="s">
        <v>12</v>
      </c>
      <c r="I100" s="168"/>
      <c r="J100" s="195"/>
      <c r="K100" s="231"/>
      <c r="L100" s="174">
        <f ca="1">IFERROR(__xludf.DUMMYFUNCTION("IMPORTRANGE(""https://docs.google.com/spreadsheets/d/1Yj_ptqi66GCucihVvJfMjLAmec39IyEx_6qawtMGysU/edit?usp=sharing"",""สบก!AO85"")"),0)</f>
        <v>0</v>
      </c>
      <c r="M100" s="173"/>
      <c r="N100" s="173"/>
      <c r="O100" s="176"/>
      <c r="P100" s="176"/>
    </row>
    <row r="101" spans="1:16" ht="21.75" customHeight="1" x14ac:dyDescent="0.45">
      <c r="A101" s="178"/>
      <c r="B101" s="81"/>
      <c r="C101" s="82" t="s">
        <v>16</v>
      </c>
      <c r="D101" s="549" t="s">
        <v>23</v>
      </c>
      <c r="E101" s="545"/>
      <c r="F101" s="89"/>
      <c r="G101" s="83" t="s">
        <v>18</v>
      </c>
      <c r="H101" s="179" t="s">
        <v>12</v>
      </c>
      <c r="I101" s="195"/>
      <c r="J101" s="195"/>
      <c r="K101" s="231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80"/>
      <c r="B102" s="95"/>
      <c r="C102" s="95"/>
      <c r="D102" s="181"/>
      <c r="E102" s="96"/>
      <c r="F102" s="96"/>
      <c r="G102" s="97" t="s">
        <v>19</v>
      </c>
      <c r="H102" s="182" t="s">
        <v>12</v>
      </c>
      <c r="I102" s="195"/>
      <c r="J102" s="195"/>
      <c r="K102" s="231"/>
      <c r="L102" s="91">
        <f ca="1">IFERROR(__xludf.DUMMYFUNCTION("IMPORTRANGE(""https://docs.google.com/spreadsheets/d/1Yj_ptqi66GCucihVvJfMjLAmec39IyEx_6qawtMGysU/edit?usp=sharing"",""สบก!AP85"")"),0)</f>
        <v>0</v>
      </c>
      <c r="M102" s="101"/>
      <c r="N102" s="91">
        <f ca="1">IFERROR(__xludf.DUMMYFUNCTION("IMPORTRANGE(""https://docs.google.com/spreadsheets/d/1Yj_ptqi66GCucihVvJfMjLAmec39IyEx_6qawtMGysU/edit?usp=sharing"",""สบก!AT85"")"),0)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3"/>
      <c r="B103" s="184"/>
      <c r="C103" s="163" t="s">
        <v>16</v>
      </c>
      <c r="D103" s="185" t="s">
        <v>44</v>
      </c>
      <c r="E103" s="186"/>
      <c r="F103" s="186"/>
      <c r="G103" s="187"/>
      <c r="H103" s="188"/>
      <c r="I103" s="168"/>
      <c r="J103" s="195"/>
      <c r="K103" s="231"/>
      <c r="L103" s="176"/>
      <c r="M103" s="176"/>
      <c r="N103" s="176"/>
      <c r="O103" s="189"/>
      <c r="P103" s="189"/>
    </row>
    <row r="104" spans="1:16" ht="21.75" customHeight="1" x14ac:dyDescent="0.35">
      <c r="A104" s="183"/>
      <c r="B104" s="184"/>
      <c r="C104" s="184"/>
      <c r="D104" s="190">
        <v>1</v>
      </c>
      <c r="E104" s="191" t="s">
        <v>45</v>
      </c>
      <c r="F104" s="192"/>
      <c r="G104" s="193"/>
      <c r="H104" s="194"/>
      <c r="I104" s="195"/>
      <c r="J104" s="195">
        <f ca="1">IFERROR(__xludf.DUMMYFUNCTION("IMPORTRANGE(""https://docs.google.com/spreadsheets/d/1IYY_tgx_IHuhSq3AJ5eI5OnqOPBNLWSHKh2a30DoXe8/edit?usp=sharing"",""นราธิวาส!J39"")"),0)</f>
        <v>0</v>
      </c>
      <c r="K104" s="231"/>
      <c r="L104" s="176"/>
      <c r="M104" s="176"/>
      <c r="N104" s="176"/>
      <c r="O104" s="189"/>
      <c r="P104" s="189"/>
    </row>
    <row r="105" spans="1:16" ht="21.75" customHeight="1" x14ac:dyDescent="0.35">
      <c r="A105" s="183"/>
      <c r="B105" s="184"/>
      <c r="C105" s="184"/>
      <c r="D105" s="197">
        <v>2</v>
      </c>
      <c r="E105" s="198" t="s">
        <v>46</v>
      </c>
      <c r="F105" s="199"/>
      <c r="G105" s="200"/>
      <c r="H105" s="194"/>
      <c r="I105" s="195"/>
      <c r="J105" s="195">
        <f ca="1">IFERROR(__xludf.DUMMYFUNCTION("IMPORTRANGE(""https://docs.google.com/spreadsheets/d/1IYY_tgx_IHuhSq3AJ5eI5OnqOPBNLWSHKh2a30DoXe8/edit?usp=sharing"",""นราธิวาส!J40"")"),0)</f>
        <v>0</v>
      </c>
      <c r="K105" s="231"/>
      <c r="L105" s="176" t="s">
        <v>40</v>
      </c>
      <c r="M105" s="176"/>
      <c r="N105" s="176" t="s">
        <v>40</v>
      </c>
      <c r="O105" s="189"/>
      <c r="P105" s="189"/>
    </row>
    <row r="106" spans="1:16" ht="21.75" customHeight="1" x14ac:dyDescent="0.35">
      <c r="A106" s="183"/>
      <c r="B106" s="184"/>
      <c r="C106" s="184"/>
      <c r="D106" s="201"/>
      <c r="E106" s="202" t="s">
        <v>47</v>
      </c>
      <c r="F106" s="203"/>
      <c r="G106" s="204"/>
      <c r="H106" s="194"/>
      <c r="I106" s="195"/>
      <c r="J106" s="195">
        <f ca="1">IFERROR(__xludf.DUMMYFUNCTION("IMPORTRANGE(""https://docs.google.com/spreadsheets/d/1IYY_tgx_IHuhSq3AJ5eI5OnqOPBNLWSHKh2a30DoXe8/edit?usp=sharing"",""นราธิวาส!J41"")"),0)</f>
        <v>0</v>
      </c>
      <c r="K106" s="231"/>
      <c r="L106" s="176"/>
      <c r="M106" s="176"/>
      <c r="N106" s="176"/>
      <c r="O106" s="189"/>
      <c r="P106" s="189"/>
    </row>
    <row r="107" spans="1:16" ht="21.75" customHeight="1" x14ac:dyDescent="0.35">
      <c r="A107" s="183"/>
      <c r="B107" s="184"/>
      <c r="C107" s="184"/>
      <c r="D107" s="201"/>
      <c r="E107" s="202" t="s">
        <v>48</v>
      </c>
      <c r="F107" s="203"/>
      <c r="G107" s="204"/>
      <c r="H107" s="194"/>
      <c r="I107" s="195"/>
      <c r="J107" s="195">
        <f ca="1">IFERROR(__xludf.DUMMYFUNCTION("IMPORTRANGE(""https://docs.google.com/spreadsheets/d/1IYY_tgx_IHuhSq3AJ5eI5OnqOPBNLWSHKh2a30DoXe8/edit?usp=sharing"",""นราธิวาส!J42"")"),0)</f>
        <v>0</v>
      </c>
      <c r="K107" s="231"/>
      <c r="L107" s="176"/>
      <c r="M107" s="176"/>
      <c r="N107" s="176"/>
      <c r="O107" s="189"/>
      <c r="P107" s="189"/>
    </row>
    <row r="108" spans="1:16" ht="21.75" customHeight="1" x14ac:dyDescent="0.35">
      <c r="A108" s="183"/>
      <c r="B108" s="184"/>
      <c r="C108" s="184"/>
      <c r="D108" s="201"/>
      <c r="E108" s="203"/>
      <c r="F108" s="203" t="s">
        <v>60</v>
      </c>
      <c r="G108" s="203"/>
      <c r="H108" s="188" t="s">
        <v>61</v>
      </c>
      <c r="I108" s="210">
        <f ca="1">IFERROR(__xludf.DUMMYFUNCTION("IMPORTRANGE(""https://docs.google.com/spreadsheets/d/1IYY_tgx_IHuhSq3AJ5eI5OnqOPBNLWSHKh2a30DoXe8/edit?usp=sharing"",""นราธิวาส!I43"")"),0)</f>
        <v>0</v>
      </c>
      <c r="J108" s="211">
        <f ca="1">IFERROR(__xludf.DUMMYFUNCTION("IMPORTRANGE(""https://docs.google.com/spreadsheets/d/1IYY_tgx_IHuhSq3AJ5eI5OnqOPBNLWSHKh2a30DoXe8/edit?usp=sharing"",""นราธิวาส!J43"")"),0)</f>
        <v>0</v>
      </c>
      <c r="K108" s="231">
        <f t="shared" ref="K108:K113" ca="1" si="57">IF(I108&gt;0,J108*100/I108,0)</f>
        <v>0</v>
      </c>
      <c r="L108" s="176"/>
      <c r="M108" s="176"/>
      <c r="N108" s="176"/>
      <c r="O108" s="189"/>
      <c r="P108" s="189"/>
    </row>
    <row r="109" spans="1:16" ht="21.75" customHeight="1" x14ac:dyDescent="0.35">
      <c r="A109" s="183"/>
      <c r="B109" s="184"/>
      <c r="C109" s="184"/>
      <c r="D109" s="201"/>
      <c r="E109" s="206"/>
      <c r="F109" s="202" t="s">
        <v>62</v>
      </c>
      <c r="G109" s="203"/>
      <c r="H109" s="188" t="s">
        <v>37</v>
      </c>
      <c r="I109" s="210">
        <f ca="1">IFERROR(__xludf.DUMMYFUNCTION("IMPORTRANGE(""https://docs.google.com/spreadsheets/d/1IYY_tgx_IHuhSq3AJ5eI5OnqOPBNLWSHKh2a30DoXe8/edit?usp=sharing"",""นราธิวาส!I44"")"),0)</f>
        <v>0</v>
      </c>
      <c r="J109" s="211">
        <f ca="1">IFERROR(__xludf.DUMMYFUNCTION("IMPORTRANGE(""https://docs.google.com/spreadsheets/d/1IYY_tgx_IHuhSq3AJ5eI5OnqOPBNLWSHKh2a30DoXe8/edit?usp=sharing"",""นราธิวาส!J44"")"),0)</f>
        <v>0</v>
      </c>
      <c r="K109" s="231">
        <f t="shared" ca="1" si="57"/>
        <v>0</v>
      </c>
      <c r="L109" s="176"/>
      <c r="M109" s="176"/>
      <c r="N109" s="176"/>
      <c r="O109" s="189"/>
      <c r="P109" s="189"/>
    </row>
    <row r="110" spans="1:16" ht="21.75" customHeight="1" x14ac:dyDescent="0.35">
      <c r="A110" s="183"/>
      <c r="B110" s="184"/>
      <c r="C110" s="184"/>
      <c r="D110" s="201"/>
      <c r="E110" s="206"/>
      <c r="F110" s="203"/>
      <c r="G110" s="232" t="s">
        <v>63</v>
      </c>
      <c r="H110" s="188" t="s">
        <v>37</v>
      </c>
      <c r="I110" s="210">
        <f ca="1">IFERROR(__xludf.DUMMYFUNCTION("IMPORTRANGE(""https://docs.google.com/spreadsheets/d/1IYY_tgx_IHuhSq3AJ5eI5OnqOPBNLWSHKh2a30DoXe8/edit?usp=sharing"",""นราธิวาส!I45"")"),0)</f>
        <v>0</v>
      </c>
      <c r="J110" s="211">
        <f ca="1">IFERROR(__xludf.DUMMYFUNCTION("IMPORTRANGE(""https://docs.google.com/spreadsheets/d/1IYY_tgx_IHuhSq3AJ5eI5OnqOPBNLWSHKh2a30DoXe8/edit?usp=sharing"",""นราธิวาส!J45"")"),0)</f>
        <v>0</v>
      </c>
      <c r="K110" s="231">
        <f t="shared" ca="1" si="57"/>
        <v>0</v>
      </c>
      <c r="L110" s="176"/>
      <c r="M110" s="176"/>
      <c r="N110" s="176"/>
      <c r="O110" s="189"/>
      <c r="P110" s="189"/>
    </row>
    <row r="111" spans="1:16" ht="21.75" customHeight="1" x14ac:dyDescent="0.35">
      <c r="A111" s="183"/>
      <c r="B111" s="184"/>
      <c r="C111" s="184"/>
      <c r="D111" s="201"/>
      <c r="E111" s="206"/>
      <c r="F111" s="203"/>
      <c r="G111" s="232" t="s">
        <v>64</v>
      </c>
      <c r="H111" s="188" t="s">
        <v>37</v>
      </c>
      <c r="I111" s="210">
        <f ca="1">IFERROR(__xludf.DUMMYFUNCTION("IMPORTRANGE(""https://docs.google.com/spreadsheets/d/1IYY_tgx_IHuhSq3AJ5eI5OnqOPBNLWSHKh2a30DoXe8/edit?usp=sharing"",""นราธิวาส!I46"")"),0)</f>
        <v>0</v>
      </c>
      <c r="J111" s="211">
        <f ca="1">IFERROR(__xludf.DUMMYFUNCTION("IMPORTRANGE(""https://docs.google.com/spreadsheets/d/1IYY_tgx_IHuhSq3AJ5eI5OnqOPBNLWSHKh2a30DoXe8/edit?usp=sharing"",""นราธิวาส!J46"")"),0)</f>
        <v>0</v>
      </c>
      <c r="K111" s="231">
        <f t="shared" ca="1" si="57"/>
        <v>0</v>
      </c>
      <c r="L111" s="176"/>
      <c r="M111" s="176"/>
      <c r="N111" s="176"/>
      <c r="O111" s="189"/>
      <c r="P111" s="189"/>
    </row>
    <row r="112" spans="1:16" ht="21.75" customHeight="1" x14ac:dyDescent="0.35">
      <c r="A112" s="183"/>
      <c r="B112" s="184"/>
      <c r="C112" s="184"/>
      <c r="D112" s="201"/>
      <c r="E112" s="206"/>
      <c r="F112" s="203"/>
      <c r="G112" s="233" t="s">
        <v>65</v>
      </c>
      <c r="H112" s="188" t="s">
        <v>37</v>
      </c>
      <c r="I112" s="210">
        <f ca="1">IFERROR(__xludf.DUMMYFUNCTION("IMPORTRANGE(""https://docs.google.com/spreadsheets/d/1IYY_tgx_IHuhSq3AJ5eI5OnqOPBNLWSHKh2a30DoXe8/edit?usp=sharing"",""นราธิวาส!I47"")"),0)</f>
        <v>0</v>
      </c>
      <c r="J112" s="211">
        <f ca="1">IFERROR(__xludf.DUMMYFUNCTION("IMPORTRANGE(""https://docs.google.com/spreadsheets/d/1IYY_tgx_IHuhSq3AJ5eI5OnqOPBNLWSHKh2a30DoXe8/edit?usp=sharing"",""นราธิวาส!J47"")"),0)</f>
        <v>0</v>
      </c>
      <c r="K112" s="231">
        <f t="shared" ca="1" si="57"/>
        <v>0</v>
      </c>
      <c r="L112" s="176"/>
      <c r="M112" s="176"/>
      <c r="N112" s="176"/>
      <c r="O112" s="189"/>
      <c r="P112" s="189"/>
    </row>
    <row r="113" spans="1:16" ht="21.75" customHeight="1" x14ac:dyDescent="0.35">
      <c r="A113" s="183"/>
      <c r="B113" s="184"/>
      <c r="C113" s="184"/>
      <c r="D113" s="201"/>
      <c r="E113" s="206"/>
      <c r="F113" s="203" t="s">
        <v>66</v>
      </c>
      <c r="G113" s="203"/>
      <c r="H113" s="188" t="s">
        <v>59</v>
      </c>
      <c r="I113" s="210">
        <f ca="1">IFERROR(__xludf.DUMMYFUNCTION("IMPORTRANGE(""https://docs.google.com/spreadsheets/d/1IYY_tgx_IHuhSq3AJ5eI5OnqOPBNLWSHKh2a30DoXe8/edit?usp=sharing"",""นราธิวาส!I48"")"),0)</f>
        <v>0</v>
      </c>
      <c r="J113" s="211">
        <f ca="1">IFERROR(__xludf.DUMMYFUNCTION("IMPORTRANGE(""https://docs.google.com/spreadsheets/d/1IYY_tgx_IHuhSq3AJ5eI5OnqOPBNLWSHKh2a30DoXe8/edit?usp=sharing"",""นราธิวาส!J48"")"),0)</f>
        <v>0</v>
      </c>
      <c r="K113" s="231">
        <f t="shared" ca="1" si="57"/>
        <v>0</v>
      </c>
      <c r="L113" s="176"/>
      <c r="M113" s="176"/>
      <c r="N113" s="176"/>
      <c r="O113" s="189"/>
      <c r="P113" s="189"/>
    </row>
    <row r="114" spans="1:16" ht="21.75" customHeight="1" x14ac:dyDescent="0.35">
      <c r="A114" s="183"/>
      <c r="B114" s="184"/>
      <c r="C114" s="184"/>
      <c r="D114" s="201"/>
      <c r="E114" s="202" t="s">
        <v>54</v>
      </c>
      <c r="F114" s="203"/>
      <c r="G114" s="204"/>
      <c r="H114" s="194"/>
      <c r="I114" s="195"/>
      <c r="J114" s="195">
        <f ca="1">IFERROR(__xludf.DUMMYFUNCTION("IMPORTRANGE(""https://docs.google.com/spreadsheets/d/1IYY_tgx_IHuhSq3AJ5eI5OnqOPBNLWSHKh2a30DoXe8/edit?usp=sharing"",""นราธิวาส!J49"")"),0)</f>
        <v>0</v>
      </c>
      <c r="K114" s="231"/>
      <c r="L114" s="176"/>
      <c r="M114" s="176"/>
      <c r="N114" s="176"/>
      <c r="O114" s="189"/>
      <c r="P114" s="189"/>
    </row>
    <row r="115" spans="1:16" ht="21.75" customHeight="1" x14ac:dyDescent="0.35">
      <c r="A115" s="183"/>
      <c r="B115" s="184"/>
      <c r="C115" s="184"/>
      <c r="D115" s="213">
        <v>3</v>
      </c>
      <c r="E115" s="214" t="s">
        <v>55</v>
      </c>
      <c r="F115" s="215"/>
      <c r="G115" s="216"/>
      <c r="H115" s="194"/>
      <c r="I115" s="195"/>
      <c r="J115" s="234">
        <f ca="1">IFERROR(__xludf.DUMMYFUNCTION("IMPORTRANGE(""https://docs.google.com/spreadsheets/d/1IYY_tgx_IHuhSq3AJ5eI5OnqOPBNLWSHKh2a30DoXe8/edit?usp=sharing"",""นราธิวาส!J50"")"),0)</f>
        <v>0</v>
      </c>
      <c r="K115" s="231"/>
      <c r="L115" s="176"/>
      <c r="M115" s="176"/>
      <c r="N115" s="176"/>
      <c r="O115" s="189"/>
      <c r="P115" s="189"/>
    </row>
    <row r="116" spans="1:16" ht="21.75" customHeight="1" x14ac:dyDescent="0.35">
      <c r="A116" s="218" t="s">
        <v>67</v>
      </c>
      <c r="B116" s="235"/>
      <c r="C116" s="236"/>
      <c r="D116" s="235"/>
      <c r="E116" s="237"/>
      <c r="F116" s="237"/>
      <c r="G116" s="238"/>
      <c r="H116" s="223"/>
      <c r="I116" s="224"/>
      <c r="J116" s="224"/>
      <c r="K116" s="225"/>
      <c r="L116" s="226"/>
      <c r="M116" s="226"/>
      <c r="N116" s="226"/>
      <c r="O116" s="227"/>
      <c r="P116" s="227"/>
    </row>
    <row r="117" spans="1:16" ht="21.75" customHeight="1" x14ac:dyDescent="0.35">
      <c r="A117" s="142"/>
      <c r="B117" s="143" t="s">
        <v>68</v>
      </c>
      <c r="C117" s="239"/>
      <c r="D117" s="144"/>
      <c r="E117" s="143"/>
      <c r="F117" s="143"/>
      <c r="G117" s="228"/>
      <c r="H117" s="145" t="s">
        <v>37</v>
      </c>
      <c r="I117" s="146">
        <f ca="1">IFERROR(__xludf.DUMMYFUNCTION("IMPORTRANGE(""https://docs.google.com/spreadsheets/d/1IYY_tgx_IHuhSq3AJ5eI5OnqOPBNLWSHKh2a30DoXe8/edit?usp=sharing"",""นราธิวาส!I52"")"),0)</f>
        <v>0</v>
      </c>
      <c r="J117" s="146">
        <f ca="1">IFERROR(__xludf.DUMMYFUNCTION("IMPORTRANGE(""https://docs.google.com/spreadsheets/d/1IYY_tgx_IHuhSq3AJ5eI5OnqOPBNLWSHKh2a30DoXe8/edit?usp=sharing"",""นราธิวาส!J52"")"),0)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52" t="s">
        <v>17</v>
      </c>
      <c r="E118" s="543"/>
      <c r="F118" s="543"/>
      <c r="G118" s="543"/>
      <c r="H118" s="153" t="s">
        <v>12</v>
      </c>
      <c r="I118" s="168"/>
      <c r="J118" s="168"/>
      <c r="K118" s="169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8"/>
      <c r="J119" s="168"/>
      <c r="K119" s="169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8"/>
      <c r="J120" s="168"/>
      <c r="K120" s="169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5">
      <c r="A121" s="162"/>
      <c r="B121" s="163"/>
      <c r="C121" s="163" t="s">
        <v>16</v>
      </c>
      <c r="D121" s="164" t="s">
        <v>38</v>
      </c>
      <c r="E121" s="165"/>
      <c r="F121" s="165"/>
      <c r="G121" s="166" t="s">
        <v>39</v>
      </c>
      <c r="H121" s="167" t="s">
        <v>12</v>
      </c>
      <c r="I121" s="168" t="s">
        <v>40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 x14ac:dyDescent="0.35">
      <c r="A122" s="162"/>
      <c r="B122" s="163"/>
      <c r="C122" s="163"/>
      <c r="D122" s="172"/>
      <c r="E122" s="165"/>
      <c r="F122" s="165" t="s">
        <v>40</v>
      </c>
      <c r="G122" s="166" t="s">
        <v>41</v>
      </c>
      <c r="H122" s="167" t="s">
        <v>12</v>
      </c>
      <c r="I122" s="168"/>
      <c r="J122" s="168"/>
      <c r="K122" s="169"/>
      <c r="L122" s="173">
        <f ca="1">L123+L124</f>
        <v>0</v>
      </c>
      <c r="M122" s="174">
        <f ca="1">IFERROR(__xludf.DUMMYFUNCTION("IMPORTRANGE(""https://docs.google.com/spreadsheets/d/1Yj_ptqi66GCucihVvJfMjLAmec39IyEx_6qawtMGysU/edit?usp=sharing"",""สบก!BA85"")"),0)</f>
        <v>0</v>
      </c>
      <c r="N122" s="175">
        <f ca="1">IFERROR(__xludf.DUMMYFUNCTION("IMPORTRANGE(""https://docs.google.com/spreadsheets/d/1Yj_ptqi66GCucihVvJfMjLAmec39IyEx_6qawtMGysU/edit?usp=sharing"",""สบก!BB85"")"),0)</f>
        <v>0</v>
      </c>
      <c r="O122" s="176">
        <f ca="1">IF(L122&gt;0,N122*100/L122,0)</f>
        <v>0</v>
      </c>
      <c r="P122" s="176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2"/>
      <c r="E123" s="165"/>
      <c r="F123" s="165"/>
      <c r="G123" s="177" t="s">
        <v>42</v>
      </c>
      <c r="H123" s="167" t="s">
        <v>12</v>
      </c>
      <c r="I123" s="168"/>
      <c r="J123" s="168"/>
      <c r="K123" s="169"/>
      <c r="L123" s="174">
        <f ca="1">IFERROR(__xludf.DUMMYFUNCTION("IMPORTRANGE(""https://docs.google.com/spreadsheets/d/1Yj_ptqi66GCucihVvJfMjLAmec39IyEx_6qawtMGysU/edit?usp=sharing"",""สบก!AW85"")"),0)</f>
        <v>0</v>
      </c>
      <c r="M123" s="173"/>
      <c r="N123" s="173"/>
      <c r="O123" s="176"/>
      <c r="P123" s="176"/>
    </row>
    <row r="124" spans="1:16" ht="21.75" customHeight="1" x14ac:dyDescent="0.35">
      <c r="A124" s="162"/>
      <c r="B124" s="163"/>
      <c r="C124" s="163"/>
      <c r="D124" s="172"/>
      <c r="E124" s="165"/>
      <c r="F124" s="165"/>
      <c r="G124" s="177" t="s">
        <v>43</v>
      </c>
      <c r="H124" s="167" t="s">
        <v>12</v>
      </c>
      <c r="I124" s="168"/>
      <c r="J124" s="195"/>
      <c r="K124" s="231"/>
      <c r="L124" s="174">
        <f ca="1">IFERROR(__xludf.DUMMYFUNCTION("IMPORTRANGE(""https://docs.google.com/spreadsheets/d/1Yj_ptqi66GCucihVvJfMjLAmec39IyEx_6qawtMGysU/edit?usp=sharing"",""สบก!AX85"")"),0)</f>
        <v>0</v>
      </c>
      <c r="M124" s="173"/>
      <c r="N124" s="173"/>
      <c r="O124" s="176"/>
      <c r="P124" s="176"/>
    </row>
    <row r="125" spans="1:16" ht="21.75" customHeight="1" x14ac:dyDescent="0.45">
      <c r="A125" s="178"/>
      <c r="B125" s="81"/>
      <c r="C125" s="82" t="s">
        <v>16</v>
      </c>
      <c r="D125" s="549" t="s">
        <v>23</v>
      </c>
      <c r="E125" s="545"/>
      <c r="F125" s="89"/>
      <c r="G125" s="83" t="s">
        <v>18</v>
      </c>
      <c r="H125" s="179" t="s">
        <v>12</v>
      </c>
      <c r="I125" s="195"/>
      <c r="J125" s="195"/>
      <c r="K125" s="231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80"/>
      <c r="B126" s="95"/>
      <c r="C126" s="95"/>
      <c r="D126" s="181"/>
      <c r="E126" s="96"/>
      <c r="F126" s="96"/>
      <c r="G126" s="97" t="s">
        <v>19</v>
      </c>
      <c r="H126" s="182" t="s">
        <v>12</v>
      </c>
      <c r="I126" s="195"/>
      <c r="J126" s="195"/>
      <c r="K126" s="231"/>
      <c r="L126" s="91">
        <f ca="1">IFERROR(__xludf.DUMMYFUNCTION("IMPORTRANGE(""https://docs.google.com/spreadsheets/d/1Yj_ptqi66GCucihVvJfMjLAmec39IyEx_6qawtMGysU/edit?usp=sharing"",""สบก!AY85"")"),0)</f>
        <v>0</v>
      </c>
      <c r="M126" s="101"/>
      <c r="N126" s="91">
        <f ca="1">IFERROR(__xludf.DUMMYFUNCTION("IMPORTRANGE(""https://docs.google.com/spreadsheets/d/1Yj_ptqi66GCucihVvJfMjLAmec39IyEx_6qawtMGysU/edit?usp=sharing"",""สบก!BC85"")"),0)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3"/>
      <c r="B127" s="184"/>
      <c r="C127" s="163" t="s">
        <v>16</v>
      </c>
      <c r="D127" s="240" t="s">
        <v>247</v>
      </c>
      <c r="E127" s="186"/>
      <c r="F127" s="186"/>
      <c r="G127" s="187"/>
      <c r="H127" s="188"/>
      <c r="I127" s="168"/>
      <c r="J127" s="195"/>
      <c r="K127" s="231"/>
      <c r="L127" s="176"/>
      <c r="M127" s="176"/>
      <c r="N127" s="176"/>
      <c r="O127" s="189"/>
      <c r="P127" s="189"/>
    </row>
    <row r="128" spans="1:16" ht="21.75" customHeight="1" x14ac:dyDescent="0.35">
      <c r="A128" s="183"/>
      <c r="B128" s="184"/>
      <c r="C128" s="184"/>
      <c r="D128" s="190">
        <v>1</v>
      </c>
      <c r="E128" s="191" t="s">
        <v>45</v>
      </c>
      <c r="F128" s="192"/>
      <c r="G128" s="193"/>
      <c r="H128" s="194"/>
      <c r="I128" s="195"/>
      <c r="J128" s="211">
        <f ca="1">IFERROR(__xludf.DUMMYFUNCTION("IMPORTRANGE(""https://docs.google.com/spreadsheets/d/1IYY_tgx_IHuhSq3AJ5eI5OnqOPBNLWSHKh2a30DoXe8/edit?usp=sharing"",""นราธิวาส!J58"")"),0)</f>
        <v>0</v>
      </c>
      <c r="K128" s="231"/>
      <c r="L128" s="176"/>
      <c r="M128" s="176"/>
      <c r="N128" s="176"/>
      <c r="O128" s="189"/>
      <c r="P128" s="189"/>
    </row>
    <row r="129" spans="1:16" ht="21.75" customHeight="1" x14ac:dyDescent="0.35">
      <c r="A129" s="183"/>
      <c r="B129" s="184"/>
      <c r="C129" s="184"/>
      <c r="D129" s="197">
        <v>2</v>
      </c>
      <c r="E129" s="198" t="s">
        <v>46</v>
      </c>
      <c r="F129" s="199"/>
      <c r="G129" s="200"/>
      <c r="H129" s="194"/>
      <c r="I129" s="195"/>
      <c r="J129" s="195">
        <f ca="1">IFERROR(__xludf.DUMMYFUNCTION("IMPORTRANGE(""https://docs.google.com/spreadsheets/d/1IYY_tgx_IHuhSq3AJ5eI5OnqOPBNLWSHKh2a30DoXe8/edit?usp=sharing"",""นราธิวาส!J59"")"),0)</f>
        <v>0</v>
      </c>
      <c r="K129" s="231"/>
      <c r="L129" s="176" t="s">
        <v>40</v>
      </c>
      <c r="M129" s="176"/>
      <c r="N129" s="176" t="s">
        <v>40</v>
      </c>
      <c r="O129" s="189"/>
      <c r="P129" s="189"/>
    </row>
    <row r="130" spans="1:16" ht="21.75" customHeight="1" x14ac:dyDescent="0.35">
      <c r="A130" s="183"/>
      <c r="B130" s="184"/>
      <c r="C130" s="184"/>
      <c r="D130" s="201"/>
      <c r="E130" s="202" t="s">
        <v>47</v>
      </c>
      <c r="F130" s="203"/>
      <c r="G130" s="204"/>
      <c r="H130" s="194"/>
      <c r="I130" s="195"/>
      <c r="J130" s="195">
        <f ca="1">IFERROR(__xludf.DUMMYFUNCTION("IMPORTRANGE(""https://docs.google.com/spreadsheets/d/1IYY_tgx_IHuhSq3AJ5eI5OnqOPBNLWSHKh2a30DoXe8/edit?usp=sharing"",""นราธิวาส!J60"")"),0)</f>
        <v>0</v>
      </c>
      <c r="K130" s="231"/>
      <c r="L130" s="176"/>
      <c r="M130" s="176"/>
      <c r="N130" s="176"/>
      <c r="O130" s="189"/>
      <c r="P130" s="189"/>
    </row>
    <row r="131" spans="1:16" ht="21.75" customHeight="1" x14ac:dyDescent="0.35">
      <c r="A131" s="183"/>
      <c r="B131" s="184"/>
      <c r="C131" s="184"/>
      <c r="D131" s="201"/>
      <c r="E131" s="202" t="s">
        <v>48</v>
      </c>
      <c r="F131" s="203"/>
      <c r="G131" s="204"/>
      <c r="H131" s="194"/>
      <c r="I131" s="195"/>
      <c r="J131" s="195">
        <f ca="1">IFERROR(__xludf.DUMMYFUNCTION("IMPORTRANGE(""https://docs.google.com/spreadsheets/d/1IYY_tgx_IHuhSq3AJ5eI5OnqOPBNLWSHKh2a30DoXe8/edit?usp=sharing"",""นราธิวาส!J61"")"),0)</f>
        <v>0</v>
      </c>
      <c r="K131" s="231"/>
      <c r="L131" s="176"/>
      <c r="M131" s="176"/>
      <c r="N131" s="176"/>
      <c r="O131" s="189"/>
      <c r="P131" s="189"/>
    </row>
    <row r="132" spans="1:16" ht="21.75" customHeight="1" x14ac:dyDescent="0.35">
      <c r="A132" s="183"/>
      <c r="B132" s="184"/>
      <c r="C132" s="184"/>
      <c r="D132" s="201"/>
      <c r="E132" s="206"/>
      <c r="F132" s="202" t="s">
        <v>70</v>
      </c>
      <c r="G132" s="204"/>
      <c r="H132" s="188" t="s">
        <v>37</v>
      </c>
      <c r="I132" s="195">
        <f ca="1">IFERROR(__xludf.DUMMYFUNCTION("IMPORTRANGE(""https://docs.google.com/spreadsheets/d/1IYY_tgx_IHuhSq3AJ5eI5OnqOPBNLWSHKh2a30DoXe8/edit?usp=sharing"",""นราธิวาส!I62"")"),0)</f>
        <v>0</v>
      </c>
      <c r="J132" s="211">
        <f ca="1">IFERROR(__xludf.DUMMYFUNCTION("IMPORTRANGE(""https://docs.google.com/spreadsheets/d/1IYY_tgx_IHuhSq3AJ5eI5OnqOPBNLWSHKh2a30DoXe8/edit?usp=sharing"",""นราธิวาส!J62"")"),0)</f>
        <v>0</v>
      </c>
      <c r="K132" s="231">
        <f t="shared" ref="K132:K133" ca="1" si="63">IF(I132&gt;0,J132*100/I132,0)</f>
        <v>0</v>
      </c>
      <c r="L132" s="176"/>
      <c r="M132" s="176"/>
      <c r="N132" s="176"/>
      <c r="O132" s="189"/>
      <c r="P132" s="189"/>
    </row>
    <row r="133" spans="1:16" ht="21.75" customHeight="1" x14ac:dyDescent="0.35">
      <c r="A133" s="183"/>
      <c r="B133" s="184"/>
      <c r="C133" s="184"/>
      <c r="D133" s="201"/>
      <c r="E133" s="206"/>
      <c r="F133" s="202" t="s">
        <v>71</v>
      </c>
      <c r="G133" s="204"/>
      <c r="H133" s="188" t="s">
        <v>37</v>
      </c>
      <c r="I133" s="195">
        <f ca="1">IFERROR(__xludf.DUMMYFUNCTION("IMPORTRANGE(""https://docs.google.com/spreadsheets/d/1IYY_tgx_IHuhSq3AJ5eI5OnqOPBNLWSHKh2a30DoXe8/edit?usp=sharing"",""นราธิวาส!I63"")"),0)</f>
        <v>0</v>
      </c>
      <c r="J133" s="211">
        <f ca="1">IFERROR(__xludf.DUMMYFUNCTION("IMPORTRANGE(""https://docs.google.com/spreadsheets/d/1IYY_tgx_IHuhSq3AJ5eI5OnqOPBNLWSHKh2a30DoXe8/edit?usp=sharing"",""นราธิวาส!J63"")"),0)</f>
        <v>0</v>
      </c>
      <c r="K133" s="231">
        <f t="shared" ca="1" si="63"/>
        <v>0</v>
      </c>
      <c r="L133" s="176"/>
      <c r="M133" s="176"/>
      <c r="N133" s="176"/>
      <c r="O133" s="189"/>
      <c r="P133" s="189"/>
    </row>
    <row r="134" spans="1:16" ht="21.75" customHeight="1" x14ac:dyDescent="0.35">
      <c r="A134" s="183"/>
      <c r="B134" s="184"/>
      <c r="C134" s="184"/>
      <c r="D134" s="201"/>
      <c r="E134" s="202" t="s">
        <v>54</v>
      </c>
      <c r="F134" s="203"/>
      <c r="G134" s="204"/>
      <c r="H134" s="194"/>
      <c r="I134" s="195"/>
      <c r="J134" s="195">
        <f ca="1">IFERROR(__xludf.DUMMYFUNCTION("IMPORTRANGE(""https://docs.google.com/spreadsheets/d/1IYY_tgx_IHuhSq3AJ5eI5OnqOPBNLWSHKh2a30DoXe8/edit?usp=sharing"",""นราธิวาส!J64"")"),0)</f>
        <v>0</v>
      </c>
      <c r="K134" s="231"/>
      <c r="L134" s="176"/>
      <c r="M134" s="176"/>
      <c r="N134" s="176"/>
      <c r="O134" s="189"/>
      <c r="P134" s="189"/>
    </row>
    <row r="135" spans="1:16" ht="21.75" customHeight="1" x14ac:dyDescent="0.35">
      <c r="A135" s="241"/>
      <c r="B135" s="242"/>
      <c r="C135" s="242"/>
      <c r="D135" s="243">
        <v>3</v>
      </c>
      <c r="E135" s="244" t="s">
        <v>55</v>
      </c>
      <c r="F135" s="245"/>
      <c r="G135" s="246"/>
      <c r="H135" s="247"/>
      <c r="I135" s="248"/>
      <c r="J135" s="249">
        <f ca="1">IFERROR(__xludf.DUMMYFUNCTION("IMPORTRANGE(""https://docs.google.com/spreadsheets/d/1IYY_tgx_IHuhSq3AJ5eI5OnqOPBNLWSHKh2a30DoXe8/edit?usp=sharing"",""นราธิวาส!J65"")"),0)</f>
        <v>0</v>
      </c>
      <c r="K135" s="250"/>
      <c r="L135" s="251"/>
      <c r="M135" s="251"/>
      <c r="N135" s="251"/>
      <c r="O135" s="252"/>
      <c r="P135" s="252"/>
    </row>
    <row r="136" spans="1:16" ht="21.75" customHeight="1" x14ac:dyDescent="0.35">
      <c r="A136" s="253" t="s">
        <v>72</v>
      </c>
      <c r="B136" s="254"/>
      <c r="C136" s="254"/>
      <c r="D136" s="254"/>
      <c r="E136" s="255"/>
      <c r="F136" s="255"/>
      <c r="G136" s="256"/>
      <c r="H136" s="257"/>
      <c r="I136" s="258"/>
      <c r="J136" s="258"/>
      <c r="K136" s="259"/>
      <c r="L136" s="260"/>
      <c r="M136" s="260"/>
      <c r="N136" s="260"/>
      <c r="O136" s="260"/>
      <c r="P136" s="260"/>
    </row>
    <row r="137" spans="1:16" ht="21.75" customHeight="1" x14ac:dyDescent="0.35">
      <c r="A137" s="261" t="s">
        <v>73</v>
      </c>
      <c r="B137" s="262"/>
      <c r="C137" s="262"/>
      <c r="D137" s="263"/>
      <c r="E137" s="263"/>
      <c r="F137" s="263"/>
      <c r="G137" s="264"/>
      <c r="H137" s="265"/>
      <c r="I137" s="266"/>
      <c r="J137" s="266"/>
      <c r="K137" s="267"/>
      <c r="L137" s="267"/>
      <c r="M137" s="267"/>
      <c r="N137" s="267"/>
      <c r="O137" s="268"/>
      <c r="P137" s="268"/>
    </row>
    <row r="138" spans="1:16" ht="21.75" customHeight="1" x14ac:dyDescent="0.35">
      <c r="A138" s="269"/>
      <c r="B138" s="270" t="s">
        <v>74</v>
      </c>
      <c r="C138" s="271"/>
      <c r="D138" s="270"/>
      <c r="E138" s="270"/>
      <c r="F138" s="270"/>
      <c r="G138" s="272"/>
      <c r="H138" s="273" t="s">
        <v>37</v>
      </c>
      <c r="I138" s="274">
        <f ca="1">IFERROR(__xludf.DUMMYFUNCTION("IMPORTRANGE(""https://docs.google.com/spreadsheets/d/1IYY_tgx_IHuhSq3AJ5eI5OnqOPBNLWSHKh2a30DoXe8/edit?usp=sharing"",""นราธิวาส!I68"")"),0)</f>
        <v>0</v>
      </c>
      <c r="J138" s="274">
        <f ca="1">IFERROR(__xludf.DUMMYFUNCTION("IMPORTRANGE(""https://docs.google.com/spreadsheets/d/1IYY_tgx_IHuhSq3AJ5eI5OnqOPBNLWSHKh2a30DoXe8/edit?usp=sharing"",""นราธิวาส!J68"")"),0)</f>
        <v>0</v>
      </c>
      <c r="K138" s="275">
        <f ca="1">IF(I138&gt;0,J138*100/I138,0)</f>
        <v>0</v>
      </c>
      <c r="L138" s="276"/>
      <c r="M138" s="276"/>
      <c r="N138" s="276"/>
      <c r="O138" s="275"/>
      <c r="P138" s="275"/>
    </row>
    <row r="139" spans="1:16" ht="21.75" customHeight="1" x14ac:dyDescent="0.35">
      <c r="A139" s="269"/>
      <c r="B139" s="270" t="s">
        <v>75</v>
      </c>
      <c r="C139" s="271"/>
      <c r="D139" s="270"/>
      <c r="E139" s="270"/>
      <c r="F139" s="270"/>
      <c r="G139" s="272"/>
      <c r="H139" s="273"/>
      <c r="I139" s="274"/>
      <c r="J139" s="274"/>
      <c r="K139" s="275"/>
      <c r="L139" s="276"/>
      <c r="M139" s="276"/>
      <c r="N139" s="276"/>
      <c r="O139" s="275"/>
      <c r="P139" s="275"/>
    </row>
    <row r="140" spans="1:16" ht="21.75" customHeight="1" x14ac:dyDescent="0.45">
      <c r="A140" s="150"/>
      <c r="B140" s="151"/>
      <c r="C140" s="152" t="s">
        <v>16</v>
      </c>
      <c r="D140" s="552" t="s">
        <v>17</v>
      </c>
      <c r="E140" s="543"/>
      <c r="F140" s="543"/>
      <c r="G140" s="543"/>
      <c r="H140" s="153" t="s">
        <v>12</v>
      </c>
      <c r="I140" s="168"/>
      <c r="J140" s="168"/>
      <c r="K140" s="169"/>
      <c r="L140" s="156">
        <f t="shared" ref="L140:N140" ca="1" si="64">L141+L142</f>
        <v>43000</v>
      </c>
      <c r="M140" s="156">
        <f t="shared" ca="1" si="64"/>
        <v>39750</v>
      </c>
      <c r="N140" s="156">
        <f t="shared" ca="1" si="64"/>
        <v>38900</v>
      </c>
      <c r="O140" s="155">
        <f t="shared" ref="O140:O142" ca="1" si="65">IF(L140&gt;0,N140*100/L140,0)</f>
        <v>90.465116279069761</v>
      </c>
      <c r="P140" s="155">
        <f t="shared" ref="P140:P142" ca="1" si="66">IF(M140&gt;0,N140*100/M140,0)</f>
        <v>97.861635220125791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8"/>
      <c r="J141" s="168"/>
      <c r="K141" s="169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8"/>
      <c r="J142" s="168"/>
      <c r="K142" s="169"/>
      <c r="L142" s="161">
        <f t="shared" ref="L142:N142" ca="1" si="68">L144+L148</f>
        <v>43000</v>
      </c>
      <c r="M142" s="161">
        <f t="shared" ca="1" si="68"/>
        <v>39750</v>
      </c>
      <c r="N142" s="161">
        <f t="shared" ca="1" si="68"/>
        <v>38900</v>
      </c>
      <c r="O142" s="160">
        <f t="shared" ca="1" si="65"/>
        <v>90.465116279069761</v>
      </c>
      <c r="P142" s="160">
        <f t="shared" ca="1" si="66"/>
        <v>97.861635220125791</v>
      </c>
    </row>
    <row r="143" spans="1:16" ht="21.75" customHeight="1" x14ac:dyDescent="0.35">
      <c r="A143" s="162"/>
      <c r="B143" s="163"/>
      <c r="C143" s="163" t="s">
        <v>16</v>
      </c>
      <c r="D143" s="164" t="s">
        <v>38</v>
      </c>
      <c r="E143" s="165"/>
      <c r="F143" s="165"/>
      <c r="G143" s="166" t="s">
        <v>39</v>
      </c>
      <c r="H143" s="167" t="s">
        <v>12</v>
      </c>
      <c r="I143" s="168" t="s">
        <v>40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 x14ac:dyDescent="0.35">
      <c r="A144" s="162"/>
      <c r="B144" s="163"/>
      <c r="C144" s="163"/>
      <c r="D144" s="172"/>
      <c r="E144" s="165"/>
      <c r="F144" s="165" t="s">
        <v>40</v>
      </c>
      <c r="G144" s="166" t="s">
        <v>41</v>
      </c>
      <c r="H144" s="167" t="s">
        <v>12</v>
      </c>
      <c r="I144" s="168"/>
      <c r="J144" s="168"/>
      <c r="K144" s="169"/>
      <c r="L144" s="173">
        <f ca="1">L145+L146</f>
        <v>43000</v>
      </c>
      <c r="M144" s="174">
        <f ca="1">IFERROR(__xludf.DUMMYFUNCTION("IMPORTRANGE(""https://docs.google.com/spreadsheets/d/1Yj_ptqi66GCucihVvJfMjLAmec39IyEx_6qawtMGysU/edit?usp=sharing"",""สบก!BJ85"")"),39750)</f>
        <v>39750</v>
      </c>
      <c r="N144" s="175">
        <f ca="1">IFERROR(__xludf.DUMMYFUNCTION("IMPORTRANGE(""https://docs.google.com/spreadsheets/d/1Yj_ptqi66GCucihVvJfMjLAmec39IyEx_6qawtMGysU/edit?usp=sharing"",""สบก!BK85"")"),38900)</f>
        <v>38900</v>
      </c>
      <c r="O144" s="176">
        <f ca="1">IF(L144&gt;0,N144*100/L144,0)</f>
        <v>90.465116279069761</v>
      </c>
      <c r="P144" s="176">
        <f ca="1">IF(M144&gt;0,N144*100/M144,0)</f>
        <v>97.861635220125791</v>
      </c>
    </row>
    <row r="145" spans="1:16" ht="21.75" customHeight="1" x14ac:dyDescent="0.35">
      <c r="A145" s="162"/>
      <c r="B145" s="163"/>
      <c r="C145" s="163"/>
      <c r="D145" s="172"/>
      <c r="E145" s="165"/>
      <c r="F145" s="165"/>
      <c r="G145" s="177" t="s">
        <v>42</v>
      </c>
      <c r="H145" s="167" t="s">
        <v>12</v>
      </c>
      <c r="I145" s="168"/>
      <c r="J145" s="168"/>
      <c r="K145" s="169"/>
      <c r="L145" s="174">
        <f ca="1">IFERROR(__xludf.DUMMYFUNCTION("IMPORTRANGE(""https://docs.google.com/spreadsheets/d/1Yj_ptqi66GCucihVvJfMjLAmec39IyEx_6qawtMGysU/edit?usp=sharing"",""สบก!BF85"")"),0)</f>
        <v>0</v>
      </c>
      <c r="M145" s="173"/>
      <c r="N145" s="173"/>
      <c r="O145" s="176"/>
      <c r="P145" s="176"/>
    </row>
    <row r="146" spans="1:16" ht="21.75" customHeight="1" x14ac:dyDescent="0.35">
      <c r="A146" s="162"/>
      <c r="B146" s="163"/>
      <c r="C146" s="163"/>
      <c r="D146" s="172"/>
      <c r="E146" s="165"/>
      <c r="F146" s="165"/>
      <c r="G146" s="177" t="s">
        <v>43</v>
      </c>
      <c r="H146" s="167" t="s">
        <v>12</v>
      </c>
      <c r="I146" s="168"/>
      <c r="J146" s="168"/>
      <c r="K146" s="169"/>
      <c r="L146" s="174">
        <f ca="1">IFERROR(__xludf.DUMMYFUNCTION("IMPORTRANGE(""https://docs.google.com/spreadsheets/d/1Yj_ptqi66GCucihVvJfMjLAmec39IyEx_6qawtMGysU/edit?usp=sharing"",""สบก!BG85"")"),43000)</f>
        <v>43000</v>
      </c>
      <c r="M146" s="173"/>
      <c r="N146" s="173"/>
      <c r="O146" s="176"/>
      <c r="P146" s="176"/>
    </row>
    <row r="147" spans="1:16" ht="21.75" customHeight="1" x14ac:dyDescent="0.45">
      <c r="A147" s="178"/>
      <c r="B147" s="81"/>
      <c r="C147" s="82" t="s">
        <v>16</v>
      </c>
      <c r="D147" s="549" t="s">
        <v>23</v>
      </c>
      <c r="E147" s="545"/>
      <c r="F147" s="89"/>
      <c r="G147" s="83" t="s">
        <v>18</v>
      </c>
      <c r="H147" s="179" t="s">
        <v>12</v>
      </c>
      <c r="I147" s="195"/>
      <c r="J147" s="195"/>
      <c r="K147" s="231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80"/>
      <c r="B148" s="95"/>
      <c r="C148" s="95"/>
      <c r="D148" s="181"/>
      <c r="E148" s="96"/>
      <c r="F148" s="96"/>
      <c r="G148" s="97" t="s">
        <v>19</v>
      </c>
      <c r="H148" s="182" t="s">
        <v>12</v>
      </c>
      <c r="I148" s="195"/>
      <c r="J148" s="195"/>
      <c r="K148" s="231"/>
      <c r="L148" s="91">
        <f ca="1">IFERROR(__xludf.DUMMYFUNCTION("IMPORTRANGE(""https://docs.google.com/spreadsheets/d/1Yj_ptqi66GCucihVvJfMjLAmec39IyEx_6qawtMGysU/edit?usp=sharing"",""สบก!BH85"")"),0)</f>
        <v>0</v>
      </c>
      <c r="M148" s="101"/>
      <c r="N148" s="91">
        <f ca="1">IFERROR(__xludf.DUMMYFUNCTION("IMPORTRANGE(""https://docs.google.com/spreadsheets/d/1Yj_ptqi66GCucihVvJfMjLAmec39IyEx_6qawtMGysU/edit?usp=sharing"",""สบก!BL85"")"),0)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7"/>
      <c r="B149" s="278"/>
      <c r="C149" s="279" t="s">
        <v>76</v>
      </c>
      <c r="D149" s="279"/>
      <c r="E149" s="279"/>
      <c r="F149" s="279"/>
      <c r="G149" s="280"/>
      <c r="H149" s="281" t="s">
        <v>77</v>
      </c>
      <c r="I149" s="282">
        <f ca="1">IFERROR(__xludf.DUMMYFUNCTION("IMPORTRANGE(""https://docs.google.com/spreadsheets/d/1IYY_tgx_IHuhSq3AJ5eI5OnqOPBNLWSHKh2a30DoXe8/edit?usp=sharing"",""นราธิวาส!I74"")"),4)</f>
        <v>4</v>
      </c>
      <c r="J149" s="282">
        <f ca="1">IFERROR(__xludf.DUMMYFUNCTION("IMPORTRANGE(""https://docs.google.com/spreadsheets/d/1IYY_tgx_IHuhSq3AJ5eI5OnqOPBNLWSHKh2a30DoXe8/edit?usp=sharing"",""นราธิวาส!J74"")"),2)</f>
        <v>2</v>
      </c>
      <c r="K149" s="283">
        <f ca="1">IF(I149&gt;0,J149*100/I149,0)</f>
        <v>50</v>
      </c>
      <c r="L149" s="284"/>
      <c r="M149" s="284"/>
      <c r="N149" s="284"/>
      <c r="O149" s="284"/>
      <c r="P149" s="284"/>
    </row>
    <row r="150" spans="1:16" ht="21.75" customHeight="1" x14ac:dyDescent="0.35">
      <c r="A150" s="162"/>
      <c r="B150" s="163"/>
      <c r="C150" s="163" t="s">
        <v>16</v>
      </c>
      <c r="D150" s="164" t="s">
        <v>38</v>
      </c>
      <c r="E150" s="165"/>
      <c r="F150" s="165"/>
      <c r="G150" s="166" t="s">
        <v>39</v>
      </c>
      <c r="H150" s="167" t="s">
        <v>12</v>
      </c>
      <c r="I150" s="168" t="s">
        <v>40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 x14ac:dyDescent="0.35">
      <c r="A151" s="162"/>
      <c r="B151" s="163"/>
      <c r="C151" s="163"/>
      <c r="D151" s="172"/>
      <c r="E151" s="165"/>
      <c r="F151" s="165" t="s">
        <v>40</v>
      </c>
      <c r="G151" s="166" t="s">
        <v>41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 x14ac:dyDescent="0.35">
      <c r="A152" s="162"/>
      <c r="B152" s="163"/>
      <c r="C152" s="163"/>
      <c r="D152" s="172"/>
      <c r="E152" s="165"/>
      <c r="F152" s="165"/>
      <c r="G152" s="177" t="s">
        <v>43</v>
      </c>
      <c r="H152" s="167" t="s">
        <v>12</v>
      </c>
      <c r="I152" s="168"/>
      <c r="J152" s="168"/>
      <c r="K152" s="169"/>
      <c r="L152" s="176"/>
      <c r="M152" s="176"/>
      <c r="N152" s="173"/>
      <c r="O152" s="176"/>
      <c r="P152" s="176"/>
    </row>
    <row r="153" spans="1:16" ht="21.75" customHeight="1" x14ac:dyDescent="0.35">
      <c r="A153" s="183"/>
      <c r="B153" s="184"/>
      <c r="C153" s="163" t="s">
        <v>16</v>
      </c>
      <c r="D153" s="185" t="s">
        <v>44</v>
      </c>
      <c r="E153" s="186"/>
      <c r="F153" s="186"/>
      <c r="G153" s="187"/>
      <c r="H153" s="188"/>
      <c r="I153" s="168"/>
      <c r="J153" s="168"/>
      <c r="K153" s="169"/>
      <c r="L153" s="189"/>
      <c r="M153" s="189"/>
      <c r="N153" s="189"/>
      <c r="O153" s="189"/>
      <c r="P153" s="189"/>
    </row>
    <row r="154" spans="1:16" ht="21.75" customHeight="1" x14ac:dyDescent="0.35">
      <c r="A154" s="183"/>
      <c r="B154" s="184"/>
      <c r="C154" s="184"/>
      <c r="D154" s="190">
        <v>1</v>
      </c>
      <c r="E154" s="191" t="s">
        <v>45</v>
      </c>
      <c r="F154" s="192"/>
      <c r="G154" s="193"/>
      <c r="H154" s="194"/>
      <c r="I154" s="195"/>
      <c r="J154" s="196">
        <f ca="1">IFERROR(__xludf.DUMMYFUNCTION("IMPORTRANGE(""https://docs.google.com/spreadsheets/d/1IYY_tgx_IHuhSq3AJ5eI5OnqOPBNLWSHKh2a30DoXe8/edit?usp=sharing"",""นราธิวาส!J79"")"),0)</f>
        <v>0</v>
      </c>
      <c r="K154" s="169"/>
      <c r="L154" s="189"/>
      <c r="M154" s="189"/>
      <c r="N154" s="189"/>
      <c r="O154" s="189"/>
      <c r="P154" s="189"/>
    </row>
    <row r="155" spans="1:16" ht="21.75" customHeight="1" x14ac:dyDescent="0.35">
      <c r="A155" s="183"/>
      <c r="B155" s="184"/>
      <c r="C155" s="184"/>
      <c r="D155" s="197">
        <v>2</v>
      </c>
      <c r="E155" s="198" t="s">
        <v>46</v>
      </c>
      <c r="F155" s="199"/>
      <c r="G155" s="200"/>
      <c r="H155" s="194"/>
      <c r="I155" s="195"/>
      <c r="J155" s="205">
        <f ca="1">IFERROR(__xludf.DUMMYFUNCTION("IMPORTRANGE(""https://docs.google.com/spreadsheets/d/1IYY_tgx_IHuhSq3AJ5eI5OnqOPBNLWSHKh2a30DoXe8/edit?usp=sharing"",""นราธิวาส!J80"")"),1)</f>
        <v>1</v>
      </c>
      <c r="K155" s="169"/>
      <c r="L155" s="189"/>
      <c r="M155" s="189"/>
      <c r="N155" s="189"/>
      <c r="O155" s="189"/>
      <c r="P155" s="189"/>
    </row>
    <row r="156" spans="1:16" ht="21.75" customHeight="1" x14ac:dyDescent="0.35">
      <c r="A156" s="183"/>
      <c r="B156" s="184"/>
      <c r="C156" s="184"/>
      <c r="D156" s="201"/>
      <c r="E156" s="202" t="s">
        <v>47</v>
      </c>
      <c r="F156" s="203"/>
      <c r="G156" s="204"/>
      <c r="H156" s="194"/>
      <c r="I156" s="195"/>
      <c r="J156" s="205">
        <f ca="1">IFERROR(__xludf.DUMMYFUNCTION("IMPORTRANGE(""https://docs.google.com/spreadsheets/d/1IYY_tgx_IHuhSq3AJ5eI5OnqOPBNLWSHKh2a30DoXe8/edit?usp=sharing"",""นราธิวาส!J81"")"),1)</f>
        <v>1</v>
      </c>
      <c r="K156" s="169"/>
      <c r="L156" s="189"/>
      <c r="M156" s="189"/>
      <c r="N156" s="189"/>
      <c r="O156" s="189"/>
      <c r="P156" s="189"/>
    </row>
    <row r="157" spans="1:16" ht="21.75" customHeight="1" x14ac:dyDescent="0.35">
      <c r="A157" s="183"/>
      <c r="B157" s="184"/>
      <c r="C157" s="184"/>
      <c r="D157" s="201"/>
      <c r="E157" s="202" t="s">
        <v>48</v>
      </c>
      <c r="F157" s="203"/>
      <c r="G157" s="204"/>
      <c r="H157" s="194"/>
      <c r="I157" s="195"/>
      <c r="J157" s="205">
        <f ca="1">IFERROR(__xludf.DUMMYFUNCTION("IMPORTRANGE(""https://docs.google.com/spreadsheets/d/1IYY_tgx_IHuhSq3AJ5eI5OnqOPBNLWSHKh2a30DoXe8/edit?usp=sharing"",""นราธิวาส!J82"")"),1)</f>
        <v>1</v>
      </c>
      <c r="K157" s="169"/>
      <c r="L157" s="189"/>
      <c r="M157" s="189"/>
      <c r="N157" s="189"/>
      <c r="O157" s="189"/>
      <c r="P157" s="189"/>
    </row>
    <row r="158" spans="1:16" ht="21.75" customHeight="1" x14ac:dyDescent="0.35">
      <c r="A158" s="183"/>
      <c r="B158" s="184"/>
      <c r="C158" s="184"/>
      <c r="D158" s="201"/>
      <c r="E158" s="206"/>
      <c r="F158" s="202" t="s">
        <v>78</v>
      </c>
      <c r="G158" s="204"/>
      <c r="H158" s="188" t="s">
        <v>77</v>
      </c>
      <c r="I158" s="195">
        <f ca="1">IFERROR(__xludf.DUMMYFUNCTION("IMPORTRANGE(""https://docs.google.com/spreadsheets/d/1IYY_tgx_IHuhSq3AJ5eI5OnqOPBNLWSHKh2a30DoXe8/edit?usp=sharing"",""นราธิวาส!I83"")"),4)</f>
        <v>4</v>
      </c>
      <c r="J158" s="196">
        <f ca="1">IFERROR(__xludf.DUMMYFUNCTION("IMPORTRANGE(""https://docs.google.com/spreadsheets/d/1IYY_tgx_IHuhSq3AJ5eI5OnqOPBNLWSHKh2a30DoXe8/edit?usp=sharing"",""นราธิวาส!J83"")"),2)</f>
        <v>2</v>
      </c>
      <c r="K158" s="169">
        <f ca="1">IF(I158&gt;0,J158*100/I158,0)</f>
        <v>50</v>
      </c>
      <c r="L158" s="189"/>
      <c r="M158" s="189"/>
      <c r="N158" s="189"/>
      <c r="O158" s="189"/>
      <c r="P158" s="189"/>
    </row>
    <row r="159" spans="1:16" ht="21.75" customHeight="1" x14ac:dyDescent="0.35">
      <c r="A159" s="183"/>
      <c r="B159" s="184"/>
      <c r="C159" s="184"/>
      <c r="D159" s="201"/>
      <c r="E159" s="203"/>
      <c r="F159" s="285" t="s">
        <v>79</v>
      </c>
      <c r="G159" s="204"/>
      <c r="H159" s="286" t="s">
        <v>37</v>
      </c>
      <c r="I159" s="195"/>
      <c r="J159" s="211">
        <f ca="1">IFERROR(__xludf.DUMMYFUNCTION("IMPORTRANGE(""https://docs.google.com/spreadsheets/d/1IYY_tgx_IHuhSq3AJ5eI5OnqOPBNLWSHKh2a30DoXe8/edit?usp=sharing"",""นราธิวาส!J84"")"),91)</f>
        <v>91</v>
      </c>
      <c r="K159" s="169"/>
      <c r="L159" s="189"/>
      <c r="M159" s="189"/>
      <c r="N159" s="189"/>
      <c r="O159" s="189"/>
      <c r="P159" s="189"/>
    </row>
    <row r="160" spans="1:16" ht="21.75" customHeight="1" x14ac:dyDescent="0.45">
      <c r="A160" s="183"/>
      <c r="B160" s="184"/>
      <c r="C160" s="184"/>
      <c r="D160" s="201"/>
      <c r="E160" s="203"/>
      <c r="F160" s="203"/>
      <c r="G160" s="287" t="s">
        <v>80</v>
      </c>
      <c r="H160" s="286" t="s">
        <v>37</v>
      </c>
      <c r="I160" s="195"/>
      <c r="J160" s="288">
        <f ca="1">IFERROR(__xludf.DUMMYFUNCTION("IMPORTRANGE(""https://docs.google.com/spreadsheets/d/1IYY_tgx_IHuhSq3AJ5eI5OnqOPBNLWSHKh2a30DoXe8/edit?usp=sharing"",""นราธิวาส!J85"")"),91)</f>
        <v>91</v>
      </c>
      <c r="K160" s="169"/>
      <c r="L160" s="189"/>
      <c r="M160" s="189"/>
      <c r="N160" s="189"/>
      <c r="O160" s="189"/>
      <c r="P160" s="189"/>
    </row>
    <row r="161" spans="1:16" ht="21.75" customHeight="1" x14ac:dyDescent="0.45">
      <c r="A161" s="183"/>
      <c r="B161" s="184"/>
      <c r="C161" s="184"/>
      <c r="D161" s="201"/>
      <c r="E161" s="203"/>
      <c r="F161" s="203"/>
      <c r="G161" s="287" t="s">
        <v>81</v>
      </c>
      <c r="H161" s="286" t="s">
        <v>37</v>
      </c>
      <c r="I161" s="195"/>
      <c r="J161" s="288">
        <f ca="1">IFERROR(__xludf.DUMMYFUNCTION("IMPORTRANGE(""https://docs.google.com/spreadsheets/d/1IYY_tgx_IHuhSq3AJ5eI5OnqOPBNLWSHKh2a30DoXe8/edit?usp=sharing"",""นราธิวาส!J86"")"),0)</f>
        <v>0</v>
      </c>
      <c r="K161" s="169"/>
      <c r="L161" s="189"/>
      <c r="M161" s="189"/>
      <c r="N161" s="189"/>
      <c r="O161" s="189"/>
      <c r="P161" s="189"/>
    </row>
    <row r="162" spans="1:16" ht="21.75" customHeight="1" x14ac:dyDescent="0.35">
      <c r="A162" s="183"/>
      <c r="B162" s="184"/>
      <c r="C162" s="184"/>
      <c r="D162" s="201"/>
      <c r="E162" s="202" t="s">
        <v>54</v>
      </c>
      <c r="F162" s="203"/>
      <c r="G162" s="204"/>
      <c r="H162" s="194"/>
      <c r="I162" s="195"/>
      <c r="J162" s="205">
        <f ca="1">IFERROR(__xludf.DUMMYFUNCTION("IMPORTRANGE(""https://docs.google.com/spreadsheets/d/1IYY_tgx_IHuhSq3AJ5eI5OnqOPBNLWSHKh2a30DoXe8/edit?usp=sharing"",""นราธิวาส!J87"")"),0)</f>
        <v>0</v>
      </c>
      <c r="K162" s="169"/>
      <c r="L162" s="189"/>
      <c r="M162" s="189"/>
      <c r="N162" s="189"/>
      <c r="O162" s="189"/>
      <c r="P162" s="189"/>
    </row>
    <row r="163" spans="1:16" ht="21.75" customHeight="1" x14ac:dyDescent="0.35">
      <c r="A163" s="183"/>
      <c r="B163" s="184"/>
      <c r="C163" s="184"/>
      <c r="D163" s="213">
        <v>3</v>
      </c>
      <c r="E163" s="214" t="s">
        <v>55</v>
      </c>
      <c r="F163" s="215"/>
      <c r="G163" s="216"/>
      <c r="H163" s="194"/>
      <c r="I163" s="195"/>
      <c r="J163" s="217">
        <f ca="1">IFERROR(__xludf.DUMMYFUNCTION("IMPORTRANGE(""https://docs.google.com/spreadsheets/d/1IYY_tgx_IHuhSq3AJ5eI5OnqOPBNLWSHKh2a30DoXe8/edit?usp=sharing"",""นราธิวาส!J88"")"),0)</f>
        <v>0</v>
      </c>
      <c r="K163" s="169"/>
      <c r="L163" s="189"/>
      <c r="M163" s="189"/>
      <c r="N163" s="189"/>
      <c r="O163" s="189"/>
      <c r="P163" s="189"/>
    </row>
    <row r="164" spans="1:16" ht="21.75" customHeight="1" x14ac:dyDescent="0.35">
      <c r="A164" s="277"/>
      <c r="B164" s="278"/>
      <c r="C164" s="279" t="s">
        <v>82</v>
      </c>
      <c r="D164" s="279"/>
      <c r="E164" s="279"/>
      <c r="F164" s="279"/>
      <c r="G164" s="280"/>
      <c r="H164" s="289" t="s">
        <v>83</v>
      </c>
      <c r="I164" s="290">
        <f ca="1">IFERROR(__xludf.DUMMYFUNCTION("IMPORTRANGE(""https://docs.google.com/spreadsheets/d/1IYY_tgx_IHuhSq3AJ5eI5OnqOPBNLWSHKh2a30DoXe8/edit?usp=sharing"",""นราธิวาส!I89"")"),2)</f>
        <v>2</v>
      </c>
      <c r="J164" s="290">
        <f ca="1">IFERROR(__xludf.DUMMYFUNCTION("IMPORTRANGE(""https://docs.google.com/spreadsheets/d/1IYY_tgx_IHuhSq3AJ5eI5OnqOPBNLWSHKh2a30DoXe8/edit?usp=sharing"",""นราธิวาส!J89"")"),2)</f>
        <v>2</v>
      </c>
      <c r="K164" s="291">
        <f ca="1">IF(I164&gt;0,J164*100/I164,0)</f>
        <v>100</v>
      </c>
      <c r="L164" s="284"/>
      <c r="M164" s="284"/>
      <c r="N164" s="284"/>
      <c r="O164" s="284"/>
      <c r="P164" s="284"/>
    </row>
    <row r="165" spans="1:16" ht="21.75" customHeight="1" x14ac:dyDescent="0.35">
      <c r="A165" s="162"/>
      <c r="B165" s="163"/>
      <c r="C165" s="163" t="s">
        <v>16</v>
      </c>
      <c r="D165" s="164" t="s">
        <v>38</v>
      </c>
      <c r="E165" s="165"/>
      <c r="F165" s="165"/>
      <c r="G165" s="166" t="s">
        <v>39</v>
      </c>
      <c r="H165" s="167" t="s">
        <v>12</v>
      </c>
      <c r="I165" s="168" t="s">
        <v>40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 x14ac:dyDescent="0.35">
      <c r="A166" s="162"/>
      <c r="B166" s="163"/>
      <c r="C166" s="163"/>
      <c r="D166" s="172"/>
      <c r="E166" s="165"/>
      <c r="F166" s="165" t="s">
        <v>40</v>
      </c>
      <c r="G166" s="166" t="s">
        <v>41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 x14ac:dyDescent="0.35">
      <c r="A167" s="162"/>
      <c r="B167" s="163"/>
      <c r="C167" s="163"/>
      <c r="D167" s="172"/>
      <c r="E167" s="165"/>
      <c r="F167" s="165"/>
      <c r="G167" s="177" t="s">
        <v>43</v>
      </c>
      <c r="H167" s="167" t="s">
        <v>12</v>
      </c>
      <c r="I167" s="168"/>
      <c r="J167" s="168"/>
      <c r="K167" s="169"/>
      <c r="L167" s="176"/>
      <c r="M167" s="176"/>
      <c r="N167" s="173"/>
      <c r="O167" s="176"/>
      <c r="P167" s="176"/>
    </row>
    <row r="168" spans="1:16" ht="21.75" customHeight="1" x14ac:dyDescent="0.35">
      <c r="A168" s="183"/>
      <c r="B168" s="184"/>
      <c r="C168" s="163" t="s">
        <v>16</v>
      </c>
      <c r="D168" s="185" t="s">
        <v>44</v>
      </c>
      <c r="E168" s="186"/>
      <c r="F168" s="186"/>
      <c r="G168" s="187"/>
      <c r="H168" s="188"/>
      <c r="I168" s="168"/>
      <c r="J168" s="168"/>
      <c r="K168" s="169"/>
      <c r="L168" s="189"/>
      <c r="M168" s="189"/>
      <c r="N168" s="189"/>
      <c r="O168" s="189"/>
      <c r="P168" s="189"/>
    </row>
    <row r="169" spans="1:16" ht="21.75" customHeight="1" x14ac:dyDescent="0.35">
      <c r="A169" s="183"/>
      <c r="B169" s="184"/>
      <c r="C169" s="184"/>
      <c r="D169" s="190">
        <v>1</v>
      </c>
      <c r="E169" s="191" t="s">
        <v>45</v>
      </c>
      <c r="F169" s="192"/>
      <c r="G169" s="193"/>
      <c r="H169" s="194"/>
      <c r="I169" s="195"/>
      <c r="J169" s="196">
        <f ca="1">IFERROR(__xludf.DUMMYFUNCTION("IMPORTRANGE(""https://docs.google.com/spreadsheets/d/1IYY_tgx_IHuhSq3AJ5eI5OnqOPBNLWSHKh2a30DoXe8/edit?usp=sharing"",""นราธิวาส!J94"")"),0)</f>
        <v>0</v>
      </c>
      <c r="K169" s="169"/>
      <c r="L169" s="189"/>
      <c r="M169" s="189"/>
      <c r="N169" s="189"/>
      <c r="O169" s="189"/>
      <c r="P169" s="189"/>
    </row>
    <row r="170" spans="1:16" ht="21.75" customHeight="1" x14ac:dyDescent="0.35">
      <c r="A170" s="183"/>
      <c r="B170" s="184"/>
      <c r="C170" s="184"/>
      <c r="D170" s="197">
        <v>2</v>
      </c>
      <c r="E170" s="198" t="s">
        <v>46</v>
      </c>
      <c r="F170" s="199"/>
      <c r="G170" s="200"/>
      <c r="H170" s="194"/>
      <c r="I170" s="195"/>
      <c r="J170" s="205">
        <f ca="1">IFERROR(__xludf.DUMMYFUNCTION("IMPORTRANGE(""https://docs.google.com/spreadsheets/d/1IYY_tgx_IHuhSq3AJ5eI5OnqOPBNLWSHKh2a30DoXe8/edit?usp=sharing"",""นราธิวาส!J95"")"),1)</f>
        <v>1</v>
      </c>
      <c r="K170" s="169"/>
      <c r="L170" s="189"/>
      <c r="M170" s="189"/>
      <c r="N170" s="189"/>
      <c r="O170" s="189"/>
      <c r="P170" s="189"/>
    </row>
    <row r="171" spans="1:16" ht="21.75" customHeight="1" x14ac:dyDescent="0.35">
      <c r="A171" s="183"/>
      <c r="B171" s="184"/>
      <c r="C171" s="184"/>
      <c r="D171" s="201"/>
      <c r="E171" s="202" t="s">
        <v>47</v>
      </c>
      <c r="F171" s="203"/>
      <c r="G171" s="204"/>
      <c r="H171" s="194"/>
      <c r="I171" s="195"/>
      <c r="J171" s="205">
        <f ca="1">IFERROR(__xludf.DUMMYFUNCTION("IMPORTRANGE(""https://docs.google.com/spreadsheets/d/1IYY_tgx_IHuhSq3AJ5eI5OnqOPBNLWSHKh2a30DoXe8/edit?usp=sharing"",""นราธิวาส!J96"")"),1)</f>
        <v>1</v>
      </c>
      <c r="K171" s="169"/>
      <c r="L171" s="189"/>
      <c r="M171" s="189"/>
      <c r="N171" s="189"/>
      <c r="O171" s="189"/>
      <c r="P171" s="189"/>
    </row>
    <row r="172" spans="1:16" ht="21.75" customHeight="1" x14ac:dyDescent="0.35">
      <c r="A172" s="183"/>
      <c r="B172" s="184"/>
      <c r="C172" s="184"/>
      <c r="D172" s="201"/>
      <c r="E172" s="202" t="s">
        <v>48</v>
      </c>
      <c r="F172" s="203"/>
      <c r="G172" s="204"/>
      <c r="H172" s="194"/>
      <c r="I172" s="195"/>
      <c r="J172" s="205">
        <f ca="1">IFERROR(__xludf.DUMMYFUNCTION("IMPORTRANGE(""https://docs.google.com/spreadsheets/d/1IYY_tgx_IHuhSq3AJ5eI5OnqOPBNLWSHKh2a30DoXe8/edit?usp=sharing"",""นราธิวาส!J97"")"),1)</f>
        <v>1</v>
      </c>
      <c r="K172" s="169"/>
      <c r="L172" s="189"/>
      <c r="M172" s="189"/>
      <c r="N172" s="189"/>
      <c r="O172" s="189"/>
      <c r="P172" s="189"/>
    </row>
    <row r="173" spans="1:16" ht="21.75" customHeight="1" x14ac:dyDescent="0.35">
      <c r="A173" s="183"/>
      <c r="B173" s="184"/>
      <c r="C173" s="184"/>
      <c r="D173" s="201"/>
      <c r="E173" s="206"/>
      <c r="F173" s="212" t="s">
        <v>84</v>
      </c>
      <c r="G173" s="204"/>
      <c r="H173" s="188" t="s">
        <v>83</v>
      </c>
      <c r="I173" s="195">
        <f ca="1">IFERROR(__xludf.DUMMYFUNCTION("IMPORTRANGE(""https://docs.google.com/spreadsheets/d/1IYY_tgx_IHuhSq3AJ5eI5OnqOPBNLWSHKh2a30DoXe8/edit?usp=sharing"",""นราธิวาส!I98"")"),2)</f>
        <v>2</v>
      </c>
      <c r="J173" s="196">
        <f ca="1">IFERROR(__xludf.DUMMYFUNCTION("IMPORTRANGE(""https://docs.google.com/spreadsheets/d/1IYY_tgx_IHuhSq3AJ5eI5OnqOPBNLWSHKh2a30DoXe8/edit?usp=sharing"",""นราธิวาส!J98"")"),2)</f>
        <v>2</v>
      </c>
      <c r="K173" s="169">
        <f ca="1">IF(I173&gt;0,J173*100/I173,0)</f>
        <v>100</v>
      </c>
      <c r="L173" s="176"/>
      <c r="M173" s="176"/>
      <c r="N173" s="173"/>
      <c r="O173" s="176"/>
      <c r="P173" s="176"/>
    </row>
    <row r="174" spans="1:16" ht="21.75" customHeight="1" x14ac:dyDescent="0.35">
      <c r="A174" s="183"/>
      <c r="B174" s="184"/>
      <c r="C174" s="184"/>
      <c r="D174" s="201"/>
      <c r="E174" s="202" t="s">
        <v>54</v>
      </c>
      <c r="F174" s="203"/>
      <c r="G174" s="204"/>
      <c r="H174" s="194"/>
      <c r="I174" s="195"/>
      <c r="J174" s="205">
        <f ca="1">IFERROR(__xludf.DUMMYFUNCTION("IMPORTRANGE(""https://docs.google.com/spreadsheets/d/1IYY_tgx_IHuhSq3AJ5eI5OnqOPBNLWSHKh2a30DoXe8/edit?usp=sharing"",""นราธิวาส!J99"")"),0)</f>
        <v>0</v>
      </c>
      <c r="K174" s="169"/>
      <c r="L174" s="189"/>
      <c r="M174" s="189"/>
      <c r="N174" s="189"/>
      <c r="O174" s="189"/>
      <c r="P174" s="189"/>
    </row>
    <row r="175" spans="1:16" ht="21.75" customHeight="1" x14ac:dyDescent="0.35">
      <c r="A175" s="183"/>
      <c r="B175" s="184"/>
      <c r="C175" s="184"/>
      <c r="D175" s="213">
        <v>3</v>
      </c>
      <c r="E175" s="214" t="s">
        <v>55</v>
      </c>
      <c r="F175" s="215"/>
      <c r="G175" s="216"/>
      <c r="H175" s="194"/>
      <c r="I175" s="195"/>
      <c r="J175" s="217">
        <f ca="1">IFERROR(__xludf.DUMMYFUNCTION("IMPORTRANGE(""https://docs.google.com/spreadsheets/d/1IYY_tgx_IHuhSq3AJ5eI5OnqOPBNLWSHKh2a30DoXe8/edit?usp=sharing"",""นราธิวาส!J100"")"),0)</f>
        <v>0</v>
      </c>
      <c r="K175" s="169"/>
      <c r="L175" s="189"/>
      <c r="M175" s="189"/>
      <c r="N175" s="189"/>
      <c r="O175" s="189"/>
      <c r="P175" s="189"/>
    </row>
    <row r="176" spans="1:16" ht="21.75" customHeight="1" x14ac:dyDescent="0.35">
      <c r="A176" s="277"/>
      <c r="B176" s="278"/>
      <c r="C176" s="279" t="s">
        <v>85</v>
      </c>
      <c r="D176" s="279"/>
      <c r="E176" s="279"/>
      <c r="F176" s="279"/>
      <c r="G176" s="280"/>
      <c r="H176" s="289" t="s">
        <v>83</v>
      </c>
      <c r="I176" s="290">
        <f ca="1">IFERROR(__xludf.DUMMYFUNCTION("IMPORTRANGE(""https://docs.google.com/spreadsheets/d/1IYY_tgx_IHuhSq3AJ5eI5OnqOPBNLWSHKh2a30DoXe8/edit?usp=sharing"",""นราธิวาส!I101"")"),0)</f>
        <v>0</v>
      </c>
      <c r="J176" s="290">
        <f ca="1">IFERROR(__xludf.DUMMYFUNCTION("IMPORTRANGE(""https://docs.google.com/spreadsheets/d/1IYY_tgx_IHuhSq3AJ5eI5OnqOPBNLWSHKh2a30DoXe8/edit?usp=sharing"",""นราธิวาส!J101"")"),0)</f>
        <v>0</v>
      </c>
      <c r="K176" s="291">
        <f ca="1">IF(I176&gt;0,J176*100/I176,0)</f>
        <v>0</v>
      </c>
      <c r="L176" s="284"/>
      <c r="M176" s="284"/>
      <c r="N176" s="284"/>
      <c r="O176" s="284"/>
      <c r="P176" s="284"/>
    </row>
    <row r="177" spans="1:16" ht="21.75" customHeight="1" x14ac:dyDescent="0.35">
      <c r="A177" s="162"/>
      <c r="B177" s="163"/>
      <c r="C177" s="163" t="s">
        <v>16</v>
      </c>
      <c r="D177" s="164" t="s">
        <v>38</v>
      </c>
      <c r="E177" s="165"/>
      <c r="F177" s="165"/>
      <c r="G177" s="166" t="s">
        <v>39</v>
      </c>
      <c r="H177" s="167" t="s">
        <v>12</v>
      </c>
      <c r="I177" s="168" t="s">
        <v>40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 x14ac:dyDescent="0.35">
      <c r="A178" s="162"/>
      <c r="B178" s="163"/>
      <c r="C178" s="163"/>
      <c r="D178" s="172"/>
      <c r="E178" s="165"/>
      <c r="F178" s="165" t="s">
        <v>40</v>
      </c>
      <c r="G178" s="166" t="s">
        <v>41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 x14ac:dyDescent="0.35">
      <c r="A179" s="162"/>
      <c r="B179" s="163"/>
      <c r="C179" s="163"/>
      <c r="D179" s="172"/>
      <c r="E179" s="165"/>
      <c r="F179" s="165"/>
      <c r="G179" s="177" t="s">
        <v>43</v>
      </c>
      <c r="H179" s="167" t="s">
        <v>12</v>
      </c>
      <c r="I179" s="168"/>
      <c r="J179" s="195"/>
      <c r="K179" s="231"/>
      <c r="L179" s="176"/>
      <c r="M179" s="176"/>
      <c r="N179" s="173"/>
      <c r="O179" s="176"/>
      <c r="P179" s="176"/>
    </row>
    <row r="180" spans="1:16" ht="21.75" customHeight="1" x14ac:dyDescent="0.35">
      <c r="A180" s="183"/>
      <c r="B180" s="184"/>
      <c r="C180" s="163" t="s">
        <v>16</v>
      </c>
      <c r="D180" s="185" t="s">
        <v>44</v>
      </c>
      <c r="E180" s="186"/>
      <c r="F180" s="186"/>
      <c r="G180" s="187"/>
      <c r="H180" s="188"/>
      <c r="I180" s="168"/>
      <c r="J180" s="195"/>
      <c r="K180" s="231"/>
      <c r="L180" s="176"/>
      <c r="M180" s="176"/>
      <c r="N180" s="176"/>
      <c r="O180" s="189"/>
      <c r="P180" s="189"/>
    </row>
    <row r="181" spans="1:16" ht="21.75" customHeight="1" x14ac:dyDescent="0.35">
      <c r="A181" s="183"/>
      <c r="B181" s="184"/>
      <c r="C181" s="184"/>
      <c r="D181" s="190">
        <v>1</v>
      </c>
      <c r="E181" s="191" t="s">
        <v>45</v>
      </c>
      <c r="F181" s="192"/>
      <c r="G181" s="193"/>
      <c r="H181" s="194"/>
      <c r="I181" s="195"/>
      <c r="J181" s="195">
        <f ca="1">IFERROR(__xludf.DUMMYFUNCTION("IMPORTRANGE(""https://docs.google.com/spreadsheets/d/1IYY_tgx_IHuhSq3AJ5eI5OnqOPBNLWSHKh2a30DoXe8/edit?usp=sharing"",""นราธิวาส!J106"")"),0)</f>
        <v>0</v>
      </c>
      <c r="K181" s="231"/>
      <c r="L181" s="176"/>
      <c r="M181" s="176"/>
      <c r="N181" s="176"/>
      <c r="O181" s="189"/>
      <c r="P181" s="189"/>
    </row>
    <row r="182" spans="1:16" ht="21.75" customHeight="1" x14ac:dyDescent="0.35">
      <c r="A182" s="183"/>
      <c r="B182" s="184"/>
      <c r="C182" s="184"/>
      <c r="D182" s="197">
        <v>2</v>
      </c>
      <c r="E182" s="198" t="s">
        <v>46</v>
      </c>
      <c r="F182" s="199"/>
      <c r="G182" s="200"/>
      <c r="H182" s="194"/>
      <c r="I182" s="195"/>
      <c r="J182" s="195">
        <f ca="1">IFERROR(__xludf.DUMMYFUNCTION("IMPORTRANGE(""https://docs.google.com/spreadsheets/d/1IYY_tgx_IHuhSq3AJ5eI5OnqOPBNLWSHKh2a30DoXe8/edit?usp=sharing"",""นราธิวาส!J107"")"),0)</f>
        <v>0</v>
      </c>
      <c r="K182" s="231"/>
      <c r="L182" s="176"/>
      <c r="M182" s="176"/>
      <c r="N182" s="176"/>
      <c r="O182" s="189"/>
      <c r="P182" s="189"/>
    </row>
    <row r="183" spans="1:16" ht="21.75" customHeight="1" x14ac:dyDescent="0.35">
      <c r="A183" s="183"/>
      <c r="B183" s="184"/>
      <c r="C183" s="184"/>
      <c r="D183" s="201"/>
      <c r="E183" s="202" t="s">
        <v>47</v>
      </c>
      <c r="F183" s="203"/>
      <c r="G183" s="204"/>
      <c r="H183" s="194"/>
      <c r="I183" s="195"/>
      <c r="J183" s="195">
        <f ca="1">IFERROR(__xludf.DUMMYFUNCTION("IMPORTRANGE(""https://docs.google.com/spreadsheets/d/1IYY_tgx_IHuhSq3AJ5eI5OnqOPBNLWSHKh2a30DoXe8/edit?usp=sharing"",""นราธิวาส!J108"")"),0)</f>
        <v>0</v>
      </c>
      <c r="K183" s="231"/>
      <c r="L183" s="176"/>
      <c r="M183" s="176"/>
      <c r="N183" s="176"/>
      <c r="O183" s="189"/>
      <c r="P183" s="189"/>
    </row>
    <row r="184" spans="1:16" ht="21.75" customHeight="1" x14ac:dyDescent="0.35">
      <c r="A184" s="183"/>
      <c r="B184" s="184"/>
      <c r="C184" s="184"/>
      <c r="D184" s="201"/>
      <c r="E184" s="202" t="s">
        <v>48</v>
      </c>
      <c r="F184" s="203"/>
      <c r="G184" s="204"/>
      <c r="H184" s="194"/>
      <c r="I184" s="195"/>
      <c r="J184" s="195">
        <f ca="1">IFERROR(__xludf.DUMMYFUNCTION("IMPORTRANGE(""https://docs.google.com/spreadsheets/d/1IYY_tgx_IHuhSq3AJ5eI5OnqOPBNLWSHKh2a30DoXe8/edit?usp=sharing"",""นราธิวาส!J109"")"),0)</f>
        <v>0</v>
      </c>
      <c r="K184" s="231"/>
      <c r="L184" s="176"/>
      <c r="M184" s="176"/>
      <c r="N184" s="176"/>
      <c r="O184" s="189"/>
      <c r="P184" s="189"/>
    </row>
    <row r="185" spans="1:16" ht="21.75" customHeight="1" x14ac:dyDescent="0.35">
      <c r="A185" s="183"/>
      <c r="B185" s="184"/>
      <c r="C185" s="184"/>
      <c r="D185" s="201"/>
      <c r="E185" s="206"/>
      <c r="F185" s="202" t="s">
        <v>86</v>
      </c>
      <c r="G185" s="204"/>
      <c r="H185" s="188" t="s">
        <v>83</v>
      </c>
      <c r="I185" s="195">
        <f ca="1">IFERROR(__xludf.DUMMYFUNCTION("IMPORTRANGE(""https://docs.google.com/spreadsheets/d/1IYY_tgx_IHuhSq3AJ5eI5OnqOPBNLWSHKh2a30DoXe8/edit?usp=sharing"",""นราธิวาส!I110"")"),0)</f>
        <v>0</v>
      </c>
      <c r="J185" s="211">
        <f ca="1">IFERROR(__xludf.DUMMYFUNCTION("IMPORTRANGE(""https://docs.google.com/spreadsheets/d/1IYY_tgx_IHuhSq3AJ5eI5OnqOPBNLWSHKh2a30DoXe8/edit?usp=sharing"",""นราธิวาส!J110"")"),0)</f>
        <v>0</v>
      </c>
      <c r="K185" s="231">
        <f t="shared" ref="K185:K186" ca="1" si="69">IF(I185&gt;0,J185*100/I185,0)</f>
        <v>0</v>
      </c>
      <c r="L185" s="176"/>
      <c r="M185" s="176"/>
      <c r="N185" s="173"/>
      <c r="O185" s="176"/>
      <c r="P185" s="176"/>
    </row>
    <row r="186" spans="1:16" ht="21.75" customHeight="1" x14ac:dyDescent="0.35">
      <c r="A186" s="183"/>
      <c r="B186" s="184"/>
      <c r="C186" s="184"/>
      <c r="D186" s="201"/>
      <c r="E186" s="206"/>
      <c r="F186" s="202" t="s">
        <v>87</v>
      </c>
      <c r="G186" s="204"/>
      <c r="H186" s="188" t="s">
        <v>83</v>
      </c>
      <c r="I186" s="195">
        <f ca="1">IFERROR(__xludf.DUMMYFUNCTION("IMPORTRANGE(""https://docs.google.com/spreadsheets/d/1IYY_tgx_IHuhSq3AJ5eI5OnqOPBNLWSHKh2a30DoXe8/edit?usp=sharing"",""นราธิวาส!I111"")"),0)</f>
        <v>0</v>
      </c>
      <c r="J186" s="211">
        <f ca="1">IFERROR(__xludf.DUMMYFUNCTION("IMPORTRANGE(""https://docs.google.com/spreadsheets/d/1IYY_tgx_IHuhSq3AJ5eI5OnqOPBNLWSHKh2a30DoXe8/edit?usp=sharing"",""นราธิวาส!J111"")"),0)</f>
        <v>0</v>
      </c>
      <c r="K186" s="231">
        <f t="shared" ca="1" si="69"/>
        <v>0</v>
      </c>
      <c r="L186" s="176"/>
      <c r="M186" s="176"/>
      <c r="N186" s="173"/>
      <c r="O186" s="176"/>
      <c r="P186" s="176"/>
    </row>
    <row r="187" spans="1:16" ht="21.75" customHeight="1" x14ac:dyDescent="0.35">
      <c r="A187" s="183"/>
      <c r="B187" s="184"/>
      <c r="C187" s="184"/>
      <c r="D187" s="201"/>
      <c r="E187" s="202" t="s">
        <v>54</v>
      </c>
      <c r="F187" s="203"/>
      <c r="G187" s="204"/>
      <c r="H187" s="194"/>
      <c r="I187" s="195"/>
      <c r="J187" s="195">
        <f ca="1">IFERROR(__xludf.DUMMYFUNCTION("IMPORTRANGE(""https://docs.google.com/spreadsheets/d/1IYY_tgx_IHuhSq3AJ5eI5OnqOPBNLWSHKh2a30DoXe8/edit?usp=sharing"",""นราธิวาส!J112"")"),0)</f>
        <v>0</v>
      </c>
      <c r="K187" s="231"/>
      <c r="L187" s="176"/>
      <c r="M187" s="176"/>
      <c r="N187" s="176"/>
      <c r="O187" s="189"/>
      <c r="P187" s="189"/>
    </row>
    <row r="188" spans="1:16" ht="21.75" customHeight="1" x14ac:dyDescent="0.35">
      <c r="A188" s="183"/>
      <c r="B188" s="184"/>
      <c r="C188" s="184"/>
      <c r="D188" s="213">
        <v>3</v>
      </c>
      <c r="E188" s="214" t="s">
        <v>55</v>
      </c>
      <c r="F188" s="215"/>
      <c r="G188" s="216"/>
      <c r="H188" s="194"/>
      <c r="I188" s="195"/>
      <c r="J188" s="234">
        <f ca="1">IFERROR(__xludf.DUMMYFUNCTION("IMPORTRANGE(""https://docs.google.com/spreadsheets/d/1IYY_tgx_IHuhSq3AJ5eI5OnqOPBNLWSHKh2a30DoXe8/edit?usp=sharing"",""นราธิวาส!J113"")"),0)</f>
        <v>0</v>
      </c>
      <c r="K188" s="231"/>
      <c r="L188" s="176"/>
      <c r="M188" s="176"/>
      <c r="N188" s="176"/>
      <c r="O188" s="189"/>
      <c r="P188" s="189"/>
    </row>
    <row r="189" spans="1:16" ht="21.75" customHeight="1" x14ac:dyDescent="0.35">
      <c r="A189" s="277"/>
      <c r="B189" s="278"/>
      <c r="C189" s="279" t="s">
        <v>88</v>
      </c>
      <c r="D189" s="279"/>
      <c r="E189" s="279"/>
      <c r="F189" s="279"/>
      <c r="G189" s="280"/>
      <c r="H189" s="292" t="s">
        <v>89</v>
      </c>
      <c r="I189" s="290">
        <f ca="1">IFERROR(__xludf.DUMMYFUNCTION("IMPORTRANGE(""https://docs.google.com/spreadsheets/d/1IYY_tgx_IHuhSq3AJ5eI5OnqOPBNLWSHKh2a30DoXe8/edit?usp=sharing"",""นราธิวาส!I114"")"),10000)</f>
        <v>10000</v>
      </c>
      <c r="J189" s="290">
        <f ca="1">IFERROR(__xludf.DUMMYFUNCTION("IMPORTRANGE(""https://docs.google.com/spreadsheets/d/1IYY_tgx_IHuhSq3AJ5eI5OnqOPBNLWSHKh2a30DoXe8/edit?usp=sharing"",""นราธิวาส!J114"")"),0)</f>
        <v>0</v>
      </c>
      <c r="K189" s="291">
        <f ca="1">IF(I189&gt;0,J189*100/I189,0)</f>
        <v>0</v>
      </c>
      <c r="L189" s="284"/>
      <c r="M189" s="284"/>
      <c r="N189" s="284"/>
      <c r="O189" s="284"/>
      <c r="P189" s="284"/>
    </row>
    <row r="190" spans="1:16" ht="21.75" customHeight="1" x14ac:dyDescent="0.35">
      <c r="A190" s="162"/>
      <c r="B190" s="163"/>
      <c r="C190" s="163" t="s">
        <v>16</v>
      </c>
      <c r="D190" s="164" t="s">
        <v>38</v>
      </c>
      <c r="E190" s="165"/>
      <c r="F190" s="165"/>
      <c r="G190" s="166" t="s">
        <v>39</v>
      </c>
      <c r="H190" s="167" t="s">
        <v>12</v>
      </c>
      <c r="I190" s="168" t="s">
        <v>40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 x14ac:dyDescent="0.35">
      <c r="A191" s="162"/>
      <c r="B191" s="163"/>
      <c r="C191" s="163"/>
      <c r="D191" s="172"/>
      <c r="E191" s="165"/>
      <c r="F191" s="165" t="s">
        <v>40</v>
      </c>
      <c r="G191" s="166" t="s">
        <v>41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 x14ac:dyDescent="0.35">
      <c r="A192" s="162"/>
      <c r="B192" s="163"/>
      <c r="C192" s="163"/>
      <c r="D192" s="172"/>
      <c r="E192" s="165"/>
      <c r="F192" s="165"/>
      <c r="G192" s="177" t="s">
        <v>43</v>
      </c>
      <c r="H192" s="167" t="s">
        <v>12</v>
      </c>
      <c r="I192" s="168"/>
      <c r="J192" s="168"/>
      <c r="K192" s="169"/>
      <c r="L192" s="176"/>
      <c r="M192" s="176"/>
      <c r="N192" s="173"/>
      <c r="O192" s="176"/>
      <c r="P192" s="176"/>
    </row>
    <row r="193" spans="1:16" ht="21.75" customHeight="1" x14ac:dyDescent="0.35">
      <c r="A193" s="183"/>
      <c r="B193" s="184"/>
      <c r="C193" s="163" t="s">
        <v>16</v>
      </c>
      <c r="D193" s="185" t="s">
        <v>44</v>
      </c>
      <c r="E193" s="186"/>
      <c r="F193" s="186"/>
      <c r="G193" s="187"/>
      <c r="H193" s="188"/>
      <c r="I193" s="168"/>
      <c r="J193" s="168"/>
      <c r="K193" s="169"/>
      <c r="L193" s="189"/>
      <c r="M193" s="189"/>
      <c r="N193" s="189"/>
      <c r="O193" s="189"/>
      <c r="P193" s="189"/>
    </row>
    <row r="194" spans="1:16" ht="21.75" customHeight="1" x14ac:dyDescent="0.35">
      <c r="A194" s="183"/>
      <c r="B194" s="184"/>
      <c r="C194" s="184"/>
      <c r="D194" s="190">
        <v>1</v>
      </c>
      <c r="E194" s="191" t="s">
        <v>45</v>
      </c>
      <c r="F194" s="192"/>
      <c r="G194" s="193"/>
      <c r="H194" s="194"/>
      <c r="I194" s="195"/>
      <c r="J194" s="205">
        <f ca="1">IFERROR(__xludf.DUMMYFUNCTION("IMPORTRANGE(""https://docs.google.com/spreadsheets/d/1IYY_tgx_IHuhSq3AJ5eI5OnqOPBNLWSHKh2a30DoXe8/edit?usp=sharing"",""นราธิวาส!J119"")"),1)</f>
        <v>1</v>
      </c>
      <c r="K194" s="169"/>
      <c r="L194" s="189"/>
      <c r="M194" s="189"/>
      <c r="N194" s="189"/>
      <c r="O194" s="189"/>
      <c r="P194" s="189"/>
    </row>
    <row r="195" spans="1:16" ht="21.75" customHeight="1" x14ac:dyDescent="0.35">
      <c r="A195" s="183"/>
      <c r="B195" s="184"/>
      <c r="C195" s="184"/>
      <c r="D195" s="197">
        <v>2</v>
      </c>
      <c r="E195" s="198" t="s">
        <v>46</v>
      </c>
      <c r="F195" s="199"/>
      <c r="G195" s="200"/>
      <c r="H195" s="194"/>
      <c r="I195" s="195"/>
      <c r="J195" s="196">
        <f ca="1">IFERROR(__xludf.DUMMYFUNCTION("IMPORTRANGE(""https://docs.google.com/spreadsheets/d/1IYY_tgx_IHuhSq3AJ5eI5OnqOPBNLWSHKh2a30DoXe8/edit?usp=sharing"",""นราธิวาส!J120"")"),0)</f>
        <v>0</v>
      </c>
      <c r="K195" s="169"/>
      <c r="L195" s="189"/>
      <c r="M195" s="189"/>
      <c r="N195" s="189"/>
      <c r="O195" s="189"/>
      <c r="P195" s="189"/>
    </row>
    <row r="196" spans="1:16" ht="21.75" customHeight="1" x14ac:dyDescent="0.35">
      <c r="A196" s="183"/>
      <c r="B196" s="184"/>
      <c r="C196" s="184"/>
      <c r="D196" s="201"/>
      <c r="E196" s="202" t="s">
        <v>47</v>
      </c>
      <c r="F196" s="203"/>
      <c r="G196" s="204"/>
      <c r="H196" s="194"/>
      <c r="I196" s="195"/>
      <c r="J196" s="196">
        <f ca="1">IFERROR(__xludf.DUMMYFUNCTION("IMPORTRANGE(""https://docs.google.com/spreadsheets/d/1IYY_tgx_IHuhSq3AJ5eI5OnqOPBNLWSHKh2a30DoXe8/edit?usp=sharing"",""นราธิวาส!J121"")"),0)</f>
        <v>0</v>
      </c>
      <c r="K196" s="169"/>
      <c r="L196" s="189"/>
      <c r="M196" s="189"/>
      <c r="N196" s="189"/>
      <c r="O196" s="189"/>
      <c r="P196" s="189"/>
    </row>
    <row r="197" spans="1:16" ht="21.75" customHeight="1" x14ac:dyDescent="0.35">
      <c r="A197" s="183"/>
      <c r="B197" s="184"/>
      <c r="C197" s="184"/>
      <c r="D197" s="201"/>
      <c r="E197" s="202" t="s">
        <v>48</v>
      </c>
      <c r="F197" s="203"/>
      <c r="G197" s="204"/>
      <c r="H197" s="194"/>
      <c r="I197" s="195"/>
      <c r="J197" s="205">
        <f ca="1">IFERROR(__xludf.DUMMYFUNCTION("IMPORTRANGE(""https://docs.google.com/spreadsheets/d/1IYY_tgx_IHuhSq3AJ5eI5OnqOPBNLWSHKh2a30DoXe8/edit?usp=sharing"",""นราธิวาส!J122"")"),0)</f>
        <v>0</v>
      </c>
      <c r="K197" s="169"/>
      <c r="L197" s="189"/>
      <c r="M197" s="189"/>
      <c r="N197" s="189"/>
      <c r="O197" s="189"/>
      <c r="P197" s="189"/>
    </row>
    <row r="198" spans="1:16" ht="21.75" customHeight="1" x14ac:dyDescent="0.35">
      <c r="A198" s="183"/>
      <c r="B198" s="184"/>
      <c r="C198" s="184"/>
      <c r="D198" s="201"/>
      <c r="E198" s="203"/>
      <c r="F198" s="203" t="s">
        <v>90</v>
      </c>
      <c r="G198" s="204"/>
      <c r="H198" s="188"/>
      <c r="I198" s="195"/>
      <c r="J198" s="195"/>
      <c r="K198" s="169"/>
      <c r="L198" s="189"/>
      <c r="M198" s="189"/>
      <c r="N198" s="189"/>
      <c r="O198" s="189"/>
      <c r="P198" s="189"/>
    </row>
    <row r="199" spans="1:16" ht="21.75" customHeight="1" x14ac:dyDescent="0.35">
      <c r="A199" s="183"/>
      <c r="B199" s="184"/>
      <c r="C199" s="184"/>
      <c r="D199" s="201"/>
      <c r="E199" s="206"/>
      <c r="F199" s="203"/>
      <c r="G199" s="202" t="s">
        <v>91</v>
      </c>
      <c r="H199" s="188" t="s">
        <v>89</v>
      </c>
      <c r="I199" s="195">
        <f ca="1">IFERROR(__xludf.DUMMYFUNCTION("IMPORTRANGE(""https://docs.google.com/spreadsheets/d/1IYY_tgx_IHuhSq3AJ5eI5OnqOPBNLWSHKh2a30DoXe8/edit?usp=sharing"",""นราธิวาส!I124"")"),10000)</f>
        <v>10000</v>
      </c>
      <c r="J199" s="196">
        <f ca="1">IFERROR(__xludf.DUMMYFUNCTION("IMPORTRANGE(""https://docs.google.com/spreadsheets/d/1IYY_tgx_IHuhSq3AJ5eI5OnqOPBNLWSHKh2a30DoXe8/edit?usp=sharing"",""นราธิวาส!J124"")"),0)</f>
        <v>0</v>
      </c>
      <c r="K199" s="169">
        <f t="shared" ref="K199:K201" ca="1" si="70">IF(I199&gt;0,J199*100/I199,0)</f>
        <v>0</v>
      </c>
      <c r="L199" s="189"/>
      <c r="M199" s="189"/>
      <c r="N199" s="189"/>
      <c r="O199" s="189"/>
      <c r="P199" s="189"/>
    </row>
    <row r="200" spans="1:16" ht="21.75" customHeight="1" x14ac:dyDescent="0.35">
      <c r="A200" s="183"/>
      <c r="B200" s="184"/>
      <c r="C200" s="184"/>
      <c r="D200" s="201"/>
      <c r="E200" s="206"/>
      <c r="F200" s="203"/>
      <c r="G200" s="202" t="s">
        <v>92</v>
      </c>
      <c r="H200" s="188" t="s">
        <v>89</v>
      </c>
      <c r="I200" s="195">
        <f ca="1">IFERROR(__xludf.DUMMYFUNCTION("IMPORTRANGE(""https://docs.google.com/spreadsheets/d/1IYY_tgx_IHuhSq3AJ5eI5OnqOPBNLWSHKh2a30DoXe8/edit?usp=sharing"",""นราธิวาส!I125"")"),10000)</f>
        <v>10000</v>
      </c>
      <c r="J200" s="196">
        <f ca="1">IFERROR(__xludf.DUMMYFUNCTION("IMPORTRANGE(""https://docs.google.com/spreadsheets/d/1IYY_tgx_IHuhSq3AJ5eI5OnqOPBNLWSHKh2a30DoXe8/edit?usp=sharing"",""นราธิวาส!J125"")"),0)</f>
        <v>0</v>
      </c>
      <c r="K200" s="169">
        <f t="shared" ca="1" si="70"/>
        <v>0</v>
      </c>
      <c r="L200" s="176"/>
      <c r="M200" s="176"/>
      <c r="N200" s="173"/>
      <c r="O200" s="176"/>
      <c r="P200" s="176"/>
    </row>
    <row r="201" spans="1:16" ht="21.75" customHeight="1" x14ac:dyDescent="0.35">
      <c r="A201" s="183"/>
      <c r="B201" s="184"/>
      <c r="C201" s="184"/>
      <c r="D201" s="201"/>
      <c r="E201" s="206"/>
      <c r="F201" s="203" t="s">
        <v>93</v>
      </c>
      <c r="G201" s="204"/>
      <c r="H201" s="188" t="s">
        <v>37</v>
      </c>
      <c r="I201" s="195">
        <f ca="1">IFERROR(__xludf.DUMMYFUNCTION("IMPORTRANGE(""https://docs.google.com/spreadsheets/d/1IYY_tgx_IHuhSq3AJ5eI5OnqOPBNLWSHKh2a30DoXe8/edit?usp=sharing"",""นราธิวาส!I126"")"),0)</f>
        <v>0</v>
      </c>
      <c r="J201" s="196">
        <f ca="1">IFERROR(__xludf.DUMMYFUNCTION("IMPORTRANGE(""https://docs.google.com/spreadsheets/d/1IYY_tgx_IHuhSq3AJ5eI5OnqOPBNLWSHKh2a30DoXe8/edit?usp=sharing"",""นราธิวาส!J126"")"),0)</f>
        <v>0</v>
      </c>
      <c r="K201" s="169">
        <f t="shared" ca="1" si="70"/>
        <v>0</v>
      </c>
      <c r="L201" s="176"/>
      <c r="M201" s="176"/>
      <c r="N201" s="173"/>
      <c r="O201" s="176"/>
      <c r="P201" s="176"/>
    </row>
    <row r="202" spans="1:16" ht="21.75" customHeight="1" x14ac:dyDescent="0.35">
      <c r="A202" s="183"/>
      <c r="B202" s="184"/>
      <c r="C202" s="184"/>
      <c r="D202" s="201"/>
      <c r="E202" s="202" t="s">
        <v>54</v>
      </c>
      <c r="F202" s="203"/>
      <c r="G202" s="204"/>
      <c r="H202" s="194"/>
      <c r="I202" s="195"/>
      <c r="J202" s="205">
        <f ca="1">IFERROR(__xludf.DUMMYFUNCTION("IMPORTRANGE(""https://docs.google.com/spreadsheets/d/1IYY_tgx_IHuhSq3AJ5eI5OnqOPBNLWSHKh2a30DoXe8/edit?usp=sharing"",""นราธิวาส!J127"")"),0)</f>
        <v>0</v>
      </c>
      <c r="K202" s="169"/>
      <c r="L202" s="189"/>
      <c r="M202" s="189"/>
      <c r="N202" s="189"/>
      <c r="O202" s="189"/>
      <c r="P202" s="189"/>
    </row>
    <row r="203" spans="1:16" ht="21.75" customHeight="1" x14ac:dyDescent="0.35">
      <c r="A203" s="241"/>
      <c r="B203" s="242"/>
      <c r="C203" s="242"/>
      <c r="D203" s="243">
        <v>3</v>
      </c>
      <c r="E203" s="244" t="s">
        <v>55</v>
      </c>
      <c r="F203" s="245"/>
      <c r="G203" s="246"/>
      <c r="H203" s="247"/>
      <c r="I203" s="248"/>
      <c r="J203" s="293">
        <f ca="1">IFERROR(__xludf.DUMMYFUNCTION("IMPORTRANGE(""https://docs.google.com/spreadsheets/d/1IYY_tgx_IHuhSq3AJ5eI5OnqOPBNLWSHKh2a30DoXe8/edit?usp=sharing"",""นราธิวาส!J128"")"),0)</f>
        <v>0</v>
      </c>
      <c r="K203" s="294"/>
      <c r="L203" s="252"/>
      <c r="M203" s="252"/>
      <c r="N203" s="252"/>
      <c r="O203" s="252"/>
      <c r="P203" s="252"/>
    </row>
    <row r="204" spans="1:16" ht="21.75" customHeight="1" x14ac:dyDescent="0.35">
      <c r="A204" s="277"/>
      <c r="B204" s="278"/>
      <c r="C204" s="295" t="s">
        <v>94</v>
      </c>
      <c r="D204" s="279"/>
      <c r="E204" s="279"/>
      <c r="F204" s="279"/>
      <c r="G204" s="280"/>
      <c r="H204" s="292" t="s">
        <v>37</v>
      </c>
      <c r="I204" s="290">
        <f ca="1">IFERROR(__xludf.DUMMYFUNCTION("IMPORTRANGE(""https://docs.google.com/spreadsheets/d/1IYY_tgx_IHuhSq3AJ5eI5OnqOPBNLWSHKh2a30DoXe8/edit?usp=sharing"",""นราธิวาส!I129"")"),0)</f>
        <v>0</v>
      </c>
      <c r="J204" s="290">
        <f ca="1">IFERROR(__xludf.DUMMYFUNCTION("IMPORTRANGE(""https://docs.google.com/spreadsheets/d/1IYY_tgx_IHuhSq3AJ5eI5OnqOPBNLWSHKh2a30DoXe8/edit?usp=sharing"",""นราธิวาส!J129"")"),0)</f>
        <v>0</v>
      </c>
      <c r="K204" s="291">
        <f ca="1">IF(I204&gt;0,J204*100/I204,0)</f>
        <v>0</v>
      </c>
      <c r="L204" s="284"/>
      <c r="M204" s="284"/>
      <c r="N204" s="284"/>
      <c r="O204" s="284"/>
      <c r="P204" s="284"/>
    </row>
    <row r="205" spans="1:16" ht="21.75" customHeight="1" x14ac:dyDescent="0.35">
      <c r="A205" s="162"/>
      <c r="B205" s="163"/>
      <c r="C205" s="163" t="s">
        <v>16</v>
      </c>
      <c r="D205" s="164" t="s">
        <v>38</v>
      </c>
      <c r="E205" s="165"/>
      <c r="F205" s="165"/>
      <c r="G205" s="166" t="s">
        <v>39</v>
      </c>
      <c r="H205" s="167" t="s">
        <v>12</v>
      </c>
      <c r="I205" s="168" t="s">
        <v>40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 x14ac:dyDescent="0.35">
      <c r="A206" s="162"/>
      <c r="B206" s="163"/>
      <c r="C206" s="163"/>
      <c r="D206" s="172"/>
      <c r="E206" s="165"/>
      <c r="F206" s="165" t="s">
        <v>40</v>
      </c>
      <c r="G206" s="166" t="s">
        <v>41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 x14ac:dyDescent="0.35">
      <c r="A207" s="162"/>
      <c r="B207" s="163"/>
      <c r="C207" s="163"/>
      <c r="D207" s="172"/>
      <c r="E207" s="165"/>
      <c r="F207" s="165"/>
      <c r="G207" s="177" t="s">
        <v>43</v>
      </c>
      <c r="H207" s="167" t="s">
        <v>12</v>
      </c>
      <c r="I207" s="168"/>
      <c r="J207" s="195"/>
      <c r="K207" s="231"/>
      <c r="L207" s="176"/>
      <c r="M207" s="176"/>
      <c r="N207" s="173"/>
      <c r="O207" s="176"/>
      <c r="P207" s="176"/>
    </row>
    <row r="208" spans="1:16" ht="21.75" customHeight="1" x14ac:dyDescent="0.35">
      <c r="A208" s="183"/>
      <c r="B208" s="184"/>
      <c r="C208" s="163" t="s">
        <v>16</v>
      </c>
      <c r="D208" s="185" t="s">
        <v>44</v>
      </c>
      <c r="E208" s="186"/>
      <c r="F208" s="186"/>
      <c r="G208" s="187"/>
      <c r="H208" s="188"/>
      <c r="I208" s="168"/>
      <c r="J208" s="195"/>
      <c r="K208" s="231"/>
      <c r="L208" s="176"/>
      <c r="M208" s="176"/>
      <c r="N208" s="176"/>
      <c r="O208" s="189"/>
      <c r="P208" s="189"/>
    </row>
    <row r="209" spans="1:16" ht="21.75" customHeight="1" x14ac:dyDescent="0.35">
      <c r="A209" s="183"/>
      <c r="B209" s="184"/>
      <c r="C209" s="184"/>
      <c r="D209" s="190">
        <v>1</v>
      </c>
      <c r="E209" s="191" t="s">
        <v>45</v>
      </c>
      <c r="F209" s="192"/>
      <c r="G209" s="193"/>
      <c r="H209" s="194"/>
      <c r="I209" s="195"/>
      <c r="J209" s="195">
        <f ca="1">IFERROR(__xludf.DUMMYFUNCTION("IMPORTRANGE(""https://docs.google.com/spreadsheets/d/1IYY_tgx_IHuhSq3AJ5eI5OnqOPBNLWSHKh2a30DoXe8/edit?usp=sharing"",""นราธิวาส!J134"")"),0)</f>
        <v>0</v>
      </c>
      <c r="K209" s="231"/>
      <c r="L209" s="176"/>
      <c r="M209" s="176"/>
      <c r="N209" s="176"/>
      <c r="O209" s="189"/>
      <c r="P209" s="189"/>
    </row>
    <row r="210" spans="1:16" ht="21.75" customHeight="1" x14ac:dyDescent="0.35">
      <c r="A210" s="183"/>
      <c r="B210" s="184"/>
      <c r="C210" s="184"/>
      <c r="D210" s="197">
        <v>2</v>
      </c>
      <c r="E210" s="198" t="s">
        <v>46</v>
      </c>
      <c r="F210" s="199"/>
      <c r="G210" s="200"/>
      <c r="H210" s="194"/>
      <c r="I210" s="195"/>
      <c r="J210" s="195">
        <f ca="1">IFERROR(__xludf.DUMMYFUNCTION("IMPORTRANGE(""https://docs.google.com/spreadsheets/d/1IYY_tgx_IHuhSq3AJ5eI5OnqOPBNLWSHKh2a30DoXe8/edit?usp=sharing"",""นราธิวาส!J135"")"),0)</f>
        <v>0</v>
      </c>
      <c r="K210" s="231"/>
      <c r="L210" s="176"/>
      <c r="M210" s="176"/>
      <c r="N210" s="176"/>
      <c r="O210" s="189"/>
      <c r="P210" s="189"/>
    </row>
    <row r="211" spans="1:16" ht="21.75" customHeight="1" x14ac:dyDescent="0.35">
      <c r="A211" s="183"/>
      <c r="B211" s="184"/>
      <c r="C211" s="184"/>
      <c r="D211" s="201"/>
      <c r="E211" s="202" t="s">
        <v>47</v>
      </c>
      <c r="F211" s="203"/>
      <c r="G211" s="204"/>
      <c r="H211" s="194"/>
      <c r="I211" s="195"/>
      <c r="J211" s="195">
        <f ca="1">IFERROR(__xludf.DUMMYFUNCTION("IMPORTRANGE(""https://docs.google.com/spreadsheets/d/1IYY_tgx_IHuhSq3AJ5eI5OnqOPBNLWSHKh2a30DoXe8/edit?usp=sharing"",""นราธิวาส!J136"")"),0)</f>
        <v>0</v>
      </c>
      <c r="K211" s="231"/>
      <c r="L211" s="176"/>
      <c r="M211" s="176"/>
      <c r="N211" s="176"/>
      <c r="O211" s="189"/>
      <c r="P211" s="189"/>
    </row>
    <row r="212" spans="1:16" ht="21.75" customHeight="1" x14ac:dyDescent="0.35">
      <c r="A212" s="183"/>
      <c r="B212" s="184"/>
      <c r="C212" s="184"/>
      <c r="D212" s="201"/>
      <c r="E212" s="202" t="s">
        <v>48</v>
      </c>
      <c r="F212" s="203"/>
      <c r="G212" s="204"/>
      <c r="H212" s="194"/>
      <c r="I212" s="195"/>
      <c r="J212" s="195">
        <f ca="1">IFERROR(__xludf.DUMMYFUNCTION("IMPORTRANGE(""https://docs.google.com/spreadsheets/d/1IYY_tgx_IHuhSq3AJ5eI5OnqOPBNLWSHKh2a30DoXe8/edit?usp=sharing"",""นราธิวาส!J137"")"),0)</f>
        <v>0</v>
      </c>
      <c r="K212" s="231"/>
      <c r="L212" s="176"/>
      <c r="M212" s="176"/>
      <c r="N212" s="176"/>
      <c r="O212" s="189"/>
      <c r="P212" s="189"/>
    </row>
    <row r="213" spans="1:16" ht="21.75" customHeight="1" x14ac:dyDescent="0.35">
      <c r="A213" s="183"/>
      <c r="B213" s="184"/>
      <c r="C213" s="184"/>
      <c r="D213" s="201"/>
      <c r="E213" s="206"/>
      <c r="F213" s="203" t="s">
        <v>95</v>
      </c>
      <c r="G213" s="204"/>
      <c r="H213" s="188" t="s">
        <v>37</v>
      </c>
      <c r="I213" s="195">
        <f ca="1">IFERROR(__xludf.DUMMYFUNCTION("IMPORTRANGE(""https://docs.google.com/spreadsheets/d/1IYY_tgx_IHuhSq3AJ5eI5OnqOPBNLWSHKh2a30DoXe8/edit?usp=sharing"",""นราธิวาส!I138"")"),0)</f>
        <v>0</v>
      </c>
      <c r="J213" s="211">
        <f ca="1">IFERROR(__xludf.DUMMYFUNCTION("IMPORTRANGE(""https://docs.google.com/spreadsheets/d/1IYY_tgx_IHuhSq3AJ5eI5OnqOPBNLWSHKh2a30DoXe8/edit?usp=sharing"",""นราธิวาส!J138"")"),0)</f>
        <v>0</v>
      </c>
      <c r="K213" s="231">
        <f ca="1">IF(I213&gt;0,J213*100/I213,0)</f>
        <v>0</v>
      </c>
      <c r="L213" s="176"/>
      <c r="M213" s="176"/>
      <c r="N213" s="173"/>
      <c r="O213" s="176"/>
      <c r="P213" s="176"/>
    </row>
    <row r="214" spans="1:16" ht="21.75" customHeight="1" x14ac:dyDescent="0.35">
      <c r="A214" s="183"/>
      <c r="B214" s="184"/>
      <c r="C214" s="184"/>
      <c r="D214" s="201"/>
      <c r="E214" s="206"/>
      <c r="F214" s="202" t="s">
        <v>53</v>
      </c>
      <c r="G214" s="204"/>
      <c r="H214" s="188"/>
      <c r="I214" s="195"/>
      <c r="J214" s="195"/>
      <c r="K214" s="231"/>
      <c r="L214" s="176"/>
      <c r="M214" s="176"/>
      <c r="N214" s="176"/>
      <c r="O214" s="189"/>
      <c r="P214" s="189"/>
    </row>
    <row r="215" spans="1:16" ht="21.75" customHeight="1" x14ac:dyDescent="0.35">
      <c r="A215" s="183"/>
      <c r="B215" s="184"/>
      <c r="C215" s="184"/>
      <c r="D215" s="201"/>
      <c r="E215" s="206"/>
      <c r="F215" s="203"/>
      <c r="G215" s="233" t="s">
        <v>96</v>
      </c>
      <c r="H215" s="188" t="s">
        <v>37</v>
      </c>
      <c r="I215" s="195">
        <f ca="1">IFERROR(__xludf.DUMMYFUNCTION("IMPORTRANGE(""https://docs.google.com/spreadsheets/d/1IYY_tgx_IHuhSq3AJ5eI5OnqOPBNLWSHKh2a30DoXe8/edit?usp=sharing"",""นราธิวาส!I140"")"),0)</f>
        <v>0</v>
      </c>
      <c r="J215" s="211">
        <f ca="1">IFERROR(__xludf.DUMMYFUNCTION("IMPORTRANGE(""https://docs.google.com/spreadsheets/d/1IYY_tgx_IHuhSq3AJ5eI5OnqOPBNLWSHKh2a30DoXe8/edit?usp=sharing"",""นราธิวาส!J140"")"),0)</f>
        <v>0</v>
      </c>
      <c r="K215" s="231">
        <f t="shared" ref="K215:K216" ca="1" si="71">IF(I215&gt;0,J215*100/I215,0)</f>
        <v>0</v>
      </c>
      <c r="L215" s="176"/>
      <c r="M215" s="176"/>
      <c r="N215" s="173"/>
      <c r="O215" s="176"/>
      <c r="P215" s="176"/>
    </row>
    <row r="216" spans="1:16" ht="21.75" customHeight="1" x14ac:dyDescent="0.35">
      <c r="A216" s="183"/>
      <c r="B216" s="184"/>
      <c r="C216" s="184"/>
      <c r="D216" s="201"/>
      <c r="E216" s="206"/>
      <c r="F216" s="203"/>
      <c r="G216" s="233" t="s">
        <v>97</v>
      </c>
      <c r="H216" s="188" t="s">
        <v>59</v>
      </c>
      <c r="I216" s="195">
        <f ca="1">IFERROR(__xludf.DUMMYFUNCTION("IMPORTRANGE(""https://docs.google.com/spreadsheets/d/1IYY_tgx_IHuhSq3AJ5eI5OnqOPBNLWSHKh2a30DoXe8/edit?usp=sharing"",""นราธิวาส!I141"")"),0)</f>
        <v>0</v>
      </c>
      <c r="J216" s="211">
        <f ca="1">IFERROR(__xludf.DUMMYFUNCTION("IMPORTRANGE(""https://docs.google.com/spreadsheets/d/1IYY_tgx_IHuhSq3AJ5eI5OnqOPBNLWSHKh2a30DoXe8/edit?usp=sharing"",""นราธิวาส!J141"")"),0)</f>
        <v>0</v>
      </c>
      <c r="K216" s="231">
        <f t="shared" ca="1" si="71"/>
        <v>0</v>
      </c>
      <c r="L216" s="176"/>
      <c r="M216" s="176"/>
      <c r="N216" s="173"/>
      <c r="O216" s="176"/>
      <c r="P216" s="176"/>
    </row>
    <row r="217" spans="1:16" ht="21.75" customHeight="1" x14ac:dyDescent="0.35">
      <c r="A217" s="183"/>
      <c r="B217" s="184"/>
      <c r="C217" s="184"/>
      <c r="D217" s="201"/>
      <c r="E217" s="202" t="s">
        <v>54</v>
      </c>
      <c r="F217" s="203"/>
      <c r="G217" s="204"/>
      <c r="H217" s="194"/>
      <c r="I217" s="195"/>
      <c r="J217" s="195">
        <f ca="1">IFERROR(__xludf.DUMMYFUNCTION("IMPORTRANGE(""https://docs.google.com/spreadsheets/d/1IYY_tgx_IHuhSq3AJ5eI5OnqOPBNLWSHKh2a30DoXe8/edit?usp=sharing"",""นราธิวาส!J142"")"),0)</f>
        <v>0</v>
      </c>
      <c r="K217" s="231"/>
      <c r="L217" s="176"/>
      <c r="M217" s="176"/>
      <c r="N217" s="176"/>
      <c r="O217" s="189"/>
      <c r="P217" s="189"/>
    </row>
    <row r="218" spans="1:16" ht="21.75" customHeight="1" x14ac:dyDescent="0.35">
      <c r="A218" s="241"/>
      <c r="B218" s="242"/>
      <c r="C218" s="242"/>
      <c r="D218" s="243">
        <v>3</v>
      </c>
      <c r="E218" s="244" t="s">
        <v>55</v>
      </c>
      <c r="F218" s="245"/>
      <c r="G218" s="246"/>
      <c r="H218" s="247"/>
      <c r="I218" s="248"/>
      <c r="J218" s="249">
        <f ca="1">IFERROR(__xludf.DUMMYFUNCTION("IMPORTRANGE(""https://docs.google.com/spreadsheets/d/1IYY_tgx_IHuhSq3AJ5eI5OnqOPBNLWSHKh2a30DoXe8/edit?usp=sharing"",""นราธิวาส!J143"")"),0)</f>
        <v>0</v>
      </c>
      <c r="K218" s="250"/>
      <c r="L218" s="251"/>
      <c r="M218" s="251"/>
      <c r="N218" s="251"/>
      <c r="O218" s="252"/>
      <c r="P218" s="252"/>
    </row>
    <row r="219" spans="1:16" ht="21.75" customHeight="1" x14ac:dyDescent="0.35">
      <c r="A219" s="269"/>
      <c r="B219" s="270" t="s">
        <v>98</v>
      </c>
      <c r="C219" s="271"/>
      <c r="D219" s="270"/>
      <c r="E219" s="270"/>
      <c r="F219" s="270"/>
      <c r="G219" s="272"/>
      <c r="H219" s="273" t="s">
        <v>37</v>
      </c>
      <c r="I219" s="274">
        <f ca="1">IFERROR(__xludf.DUMMYFUNCTION("IMPORTRANGE(""https://docs.google.com/spreadsheets/d/1IYY_tgx_IHuhSq3AJ5eI5OnqOPBNLWSHKh2a30DoXe8/edit?usp=sharing"",""นราธิวาส!I144"")"),15)</f>
        <v>15</v>
      </c>
      <c r="J219" s="274">
        <f ca="1">IFERROR(__xludf.DUMMYFUNCTION("IMPORTRANGE(""https://docs.google.com/spreadsheets/d/1IYY_tgx_IHuhSq3AJ5eI5OnqOPBNLWSHKh2a30DoXe8/edit?usp=sharing"",""นราธิวาส!J144"")"),15)</f>
        <v>15</v>
      </c>
      <c r="K219" s="275">
        <f ca="1">IF(I219&gt;0,J219*100/I219,0)</f>
        <v>100</v>
      </c>
      <c r="L219" s="276"/>
      <c r="M219" s="276"/>
      <c r="N219" s="276"/>
      <c r="O219" s="275"/>
      <c r="P219" s="275"/>
    </row>
    <row r="220" spans="1:16" ht="21.75" customHeight="1" x14ac:dyDescent="0.45">
      <c r="A220" s="150"/>
      <c r="B220" s="151"/>
      <c r="C220" s="152" t="s">
        <v>16</v>
      </c>
      <c r="D220" s="552" t="s">
        <v>17</v>
      </c>
      <c r="E220" s="543"/>
      <c r="F220" s="543"/>
      <c r="G220" s="543"/>
      <c r="H220" s="153" t="s">
        <v>12</v>
      </c>
      <c r="I220" s="168"/>
      <c r="J220" s="168"/>
      <c r="K220" s="169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8"/>
      <c r="J221" s="168"/>
      <c r="K221" s="169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8"/>
      <c r="J222" s="168"/>
      <c r="K222" s="169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5">
      <c r="A223" s="162"/>
      <c r="B223" s="163"/>
      <c r="C223" s="163" t="s">
        <v>16</v>
      </c>
      <c r="D223" s="164" t="s">
        <v>38</v>
      </c>
      <c r="E223" s="165"/>
      <c r="F223" s="165"/>
      <c r="G223" s="166" t="s">
        <v>39</v>
      </c>
      <c r="H223" s="167" t="s">
        <v>12</v>
      </c>
      <c r="I223" s="168" t="s">
        <v>40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 x14ac:dyDescent="0.35">
      <c r="A224" s="162"/>
      <c r="B224" s="163"/>
      <c r="C224" s="163"/>
      <c r="D224" s="172"/>
      <c r="E224" s="165"/>
      <c r="F224" s="165" t="s">
        <v>40</v>
      </c>
      <c r="G224" s="166" t="s">
        <v>41</v>
      </c>
      <c r="H224" s="167" t="s">
        <v>12</v>
      </c>
      <c r="I224" s="168"/>
      <c r="J224" s="168"/>
      <c r="K224" s="169"/>
      <c r="L224" s="173">
        <f ca="1">L225+L226</f>
        <v>21125</v>
      </c>
      <c r="M224" s="174">
        <f ca="1">IFERROR(__xludf.DUMMYFUNCTION("IMPORTRANGE(""https://docs.google.com/spreadsheets/d/1Yj_ptqi66GCucihVvJfMjLAmec39IyEx_6qawtMGysU/edit?usp=sharing"",""สบก!BS85"")"),21125)</f>
        <v>21125</v>
      </c>
      <c r="N224" s="175">
        <f ca="1">IFERROR(__xludf.DUMMYFUNCTION("IMPORTRANGE(""https://docs.google.com/spreadsheets/d/1Yj_ptqi66GCucihVvJfMjLAmec39IyEx_6qawtMGysU/edit?usp=sharing"",""สบก!BT85"")"),21125)</f>
        <v>21125</v>
      </c>
      <c r="O224" s="176">
        <f ca="1">IF(L224&gt;0,N224*100/L224,0)</f>
        <v>100</v>
      </c>
      <c r="P224" s="176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2"/>
      <c r="E225" s="165"/>
      <c r="F225" s="165"/>
      <c r="G225" s="177" t="s">
        <v>42</v>
      </c>
      <c r="H225" s="167" t="s">
        <v>12</v>
      </c>
      <c r="I225" s="168"/>
      <c r="J225" s="168"/>
      <c r="K225" s="169"/>
      <c r="L225" s="174">
        <f ca="1">IFERROR(__xludf.DUMMYFUNCTION("IMPORTRANGE(""https://docs.google.com/spreadsheets/d/1Yj_ptqi66GCucihVvJfMjLAmec39IyEx_6qawtMGysU/edit?usp=sharing"",""สบก!BO85"")"),0)</f>
        <v>0</v>
      </c>
      <c r="M225" s="173"/>
      <c r="N225" s="173"/>
      <c r="O225" s="176"/>
      <c r="P225" s="176"/>
    </row>
    <row r="226" spans="1:16" ht="21.75" customHeight="1" x14ac:dyDescent="0.35">
      <c r="A226" s="162"/>
      <c r="B226" s="163"/>
      <c r="C226" s="163"/>
      <c r="D226" s="172"/>
      <c r="E226" s="165"/>
      <c r="F226" s="165"/>
      <c r="G226" s="177" t="s">
        <v>43</v>
      </c>
      <c r="H226" s="167" t="s">
        <v>12</v>
      </c>
      <c r="I226" s="168"/>
      <c r="J226" s="168"/>
      <c r="K226" s="169"/>
      <c r="L226" s="174">
        <f ca="1">IFERROR(__xludf.DUMMYFUNCTION("IMPORTRANGE(""https://docs.google.com/spreadsheets/d/1Yj_ptqi66GCucihVvJfMjLAmec39IyEx_6qawtMGysU/edit?usp=sharing"",""สบก!BP85"")"),21125)</f>
        <v>21125</v>
      </c>
      <c r="M226" s="173"/>
      <c r="N226" s="173"/>
      <c r="O226" s="176"/>
      <c r="P226" s="176"/>
    </row>
    <row r="227" spans="1:16" ht="21.75" customHeight="1" x14ac:dyDescent="0.45">
      <c r="A227" s="178"/>
      <c r="B227" s="81"/>
      <c r="C227" s="82" t="s">
        <v>16</v>
      </c>
      <c r="D227" s="549" t="s">
        <v>23</v>
      </c>
      <c r="E227" s="545"/>
      <c r="F227" s="89"/>
      <c r="G227" s="83" t="s">
        <v>18</v>
      </c>
      <c r="H227" s="179" t="s">
        <v>12</v>
      </c>
      <c r="I227" s="208"/>
      <c r="J227" s="208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80"/>
      <c r="B228" s="95"/>
      <c r="C228" s="95"/>
      <c r="D228" s="181"/>
      <c r="E228" s="96"/>
      <c r="F228" s="96"/>
      <c r="G228" s="97" t="s">
        <v>19</v>
      </c>
      <c r="H228" s="182" t="s">
        <v>12</v>
      </c>
      <c r="I228" s="208"/>
      <c r="J228" s="208"/>
      <c r="K228" s="296"/>
      <c r="L228" s="91">
        <f ca="1">IFERROR(__xludf.DUMMYFUNCTION("IMPORTRANGE(""https://docs.google.com/spreadsheets/d/1Yj_ptqi66GCucihVvJfMjLAmec39IyEx_6qawtMGysU/edit?usp=sharing"",""สบก!BQ85"")"),0)</f>
        <v>0</v>
      </c>
      <c r="M228" s="101"/>
      <c r="N228" s="91">
        <f ca="1">IFERROR(__xludf.DUMMYFUNCTION("IMPORTRANGE(""https://docs.google.com/spreadsheets/d/1Yj_ptqi66GCucihVvJfMjLAmec39IyEx_6qawtMGysU/edit?usp=sharing"",""สบก!BU85"")"),0)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3"/>
      <c r="B229" s="297"/>
      <c r="C229" s="271" t="s">
        <v>99</v>
      </c>
      <c r="D229" s="270"/>
      <c r="E229" s="270"/>
      <c r="F229" s="270"/>
      <c r="G229" s="272"/>
      <c r="H229" s="273" t="s">
        <v>37</v>
      </c>
      <c r="I229" s="274">
        <f ca="1">IFERROR(__xludf.DUMMYFUNCTION("IMPORTRANGE(""https://docs.google.com/spreadsheets/d/1IYY_tgx_IHuhSq3AJ5eI5OnqOPBNLWSHKh2a30DoXe8/edit?usp=sharing"",""นราธิวาส!I149"")"),15)</f>
        <v>15</v>
      </c>
      <c r="J229" s="274">
        <f ca="1">IFERROR(__xludf.DUMMYFUNCTION("IMPORTRANGE(""https://docs.google.com/spreadsheets/d/1IYY_tgx_IHuhSq3AJ5eI5OnqOPBNLWSHKh2a30DoXe8/edit?usp=sharing"",""นราธิวาส!J149"")"),15)</f>
        <v>15</v>
      </c>
      <c r="K229" s="275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3"/>
      <c r="B230" s="184"/>
      <c r="C230" s="163" t="s">
        <v>16</v>
      </c>
      <c r="D230" s="185" t="s">
        <v>44</v>
      </c>
      <c r="E230" s="186"/>
      <c r="F230" s="186"/>
      <c r="G230" s="187"/>
      <c r="H230" s="188"/>
      <c r="I230" s="168"/>
      <c r="J230" s="168"/>
      <c r="K230" s="169"/>
      <c r="L230" s="189"/>
      <c r="M230" s="189"/>
      <c r="N230" s="189"/>
      <c r="O230" s="189"/>
      <c r="P230" s="189"/>
    </row>
    <row r="231" spans="1:16" ht="21.75" customHeight="1" x14ac:dyDescent="0.35">
      <c r="A231" s="183"/>
      <c r="B231" s="184"/>
      <c r="C231" s="184"/>
      <c r="D231" s="190">
        <v>1</v>
      </c>
      <c r="E231" s="191" t="s">
        <v>45</v>
      </c>
      <c r="F231" s="192"/>
      <c r="G231" s="193"/>
      <c r="H231" s="194"/>
      <c r="I231" s="195"/>
      <c r="J231" s="205">
        <f ca="1">IFERROR(__xludf.DUMMYFUNCTION("IMPORTRANGE(""https://docs.google.com/spreadsheets/d/1IYY_tgx_IHuhSq3AJ5eI5OnqOPBNLWSHKh2a30DoXe8/edit?usp=sharing"",""นราธิวาส!J151"")"),0)</f>
        <v>0</v>
      </c>
      <c r="K231" s="169"/>
      <c r="L231" s="189"/>
      <c r="M231" s="189"/>
      <c r="N231" s="189"/>
      <c r="O231" s="189"/>
      <c r="P231" s="189"/>
    </row>
    <row r="232" spans="1:16" ht="21.75" customHeight="1" x14ac:dyDescent="0.35">
      <c r="A232" s="183"/>
      <c r="B232" s="184"/>
      <c r="C232" s="184"/>
      <c r="D232" s="197">
        <v>2</v>
      </c>
      <c r="E232" s="198" t="s">
        <v>46</v>
      </c>
      <c r="F232" s="199"/>
      <c r="G232" s="200"/>
      <c r="H232" s="194"/>
      <c r="I232" s="195"/>
      <c r="J232" s="196">
        <f ca="1">IFERROR(__xludf.DUMMYFUNCTION("IMPORTRANGE(""https://docs.google.com/spreadsheets/d/1IYY_tgx_IHuhSq3AJ5eI5OnqOPBNLWSHKh2a30DoXe8/edit?usp=sharing"",""นราธิวาส!J152"")"),1)</f>
        <v>1</v>
      </c>
      <c r="K232" s="169"/>
      <c r="L232" s="189" t="s">
        <v>40</v>
      </c>
      <c r="M232" s="189"/>
      <c r="N232" s="189" t="s">
        <v>40</v>
      </c>
      <c r="O232" s="189"/>
      <c r="P232" s="189"/>
    </row>
    <row r="233" spans="1:16" ht="21.75" customHeight="1" x14ac:dyDescent="0.35">
      <c r="A233" s="183"/>
      <c r="B233" s="184"/>
      <c r="C233" s="184"/>
      <c r="D233" s="201"/>
      <c r="E233" s="202" t="s">
        <v>47</v>
      </c>
      <c r="F233" s="203"/>
      <c r="G233" s="204"/>
      <c r="H233" s="194"/>
      <c r="I233" s="195"/>
      <c r="J233" s="196">
        <f ca="1">IFERROR(__xludf.DUMMYFUNCTION("IMPORTRANGE(""https://docs.google.com/spreadsheets/d/1IYY_tgx_IHuhSq3AJ5eI5OnqOPBNLWSHKh2a30DoXe8/edit?usp=sharing"",""นราธิวาส!J153"")"),1)</f>
        <v>1</v>
      </c>
      <c r="K233" s="169"/>
      <c r="L233" s="189"/>
      <c r="M233" s="189"/>
      <c r="N233" s="189"/>
      <c r="O233" s="189"/>
      <c r="P233" s="189"/>
    </row>
    <row r="234" spans="1:16" ht="21.75" customHeight="1" x14ac:dyDescent="0.35">
      <c r="A234" s="183"/>
      <c r="B234" s="184"/>
      <c r="C234" s="184"/>
      <c r="D234" s="201"/>
      <c r="E234" s="202" t="s">
        <v>48</v>
      </c>
      <c r="F234" s="203"/>
      <c r="G234" s="204"/>
      <c r="H234" s="194"/>
      <c r="I234" s="195"/>
      <c r="J234" s="205">
        <f ca="1">IFERROR(__xludf.DUMMYFUNCTION("IMPORTRANGE(""https://docs.google.com/spreadsheets/d/1IYY_tgx_IHuhSq3AJ5eI5OnqOPBNLWSHKh2a30DoXe8/edit?usp=sharing"",""นราธิวาส!J154"")"),1)</f>
        <v>1</v>
      </c>
      <c r="K234" s="169"/>
      <c r="L234" s="189"/>
      <c r="M234" s="189"/>
      <c r="N234" s="189"/>
      <c r="O234" s="189"/>
      <c r="P234" s="189"/>
    </row>
    <row r="235" spans="1:16" ht="21.75" customHeight="1" x14ac:dyDescent="0.35">
      <c r="A235" s="183"/>
      <c r="B235" s="184"/>
      <c r="C235" s="184"/>
      <c r="D235" s="201"/>
      <c r="E235" s="206"/>
      <c r="F235" s="203"/>
      <c r="G235" s="299" t="s">
        <v>70</v>
      </c>
      <c r="H235" s="194" t="s">
        <v>37</v>
      </c>
      <c r="I235" s="195">
        <f ca="1">IFERROR(__xludf.DUMMYFUNCTION("IMPORTRANGE(""https://docs.google.com/spreadsheets/d/1IYY_tgx_IHuhSq3AJ5eI5OnqOPBNLWSHKh2a30DoXe8/edit?usp=sharing"",""นราธิวาส!I155"")"),15)</f>
        <v>15</v>
      </c>
      <c r="J235" s="196">
        <f ca="1">IFERROR(__xludf.DUMMYFUNCTION("IMPORTRANGE(""https://docs.google.com/spreadsheets/d/1IYY_tgx_IHuhSq3AJ5eI5OnqOPBNLWSHKh2a30DoXe8/edit?usp=sharing"",""นราธิวาส!J155"")"),15)</f>
        <v>15</v>
      </c>
      <c r="K235" s="169">
        <f ca="1">IF(I235&gt;0,J235*100/I235,0)</f>
        <v>100</v>
      </c>
      <c r="L235" s="189"/>
      <c r="M235" s="189"/>
      <c r="N235" s="189"/>
      <c r="O235" s="189"/>
      <c r="P235" s="189"/>
    </row>
    <row r="236" spans="1:16" ht="21.75" customHeight="1" x14ac:dyDescent="0.35">
      <c r="A236" s="183"/>
      <c r="B236" s="184"/>
      <c r="C236" s="184"/>
      <c r="D236" s="201"/>
      <c r="E236" s="202" t="s">
        <v>54</v>
      </c>
      <c r="F236" s="203"/>
      <c r="G236" s="204"/>
      <c r="H236" s="194"/>
      <c r="I236" s="195"/>
      <c r="J236" s="205">
        <f ca="1">IFERROR(__xludf.DUMMYFUNCTION("IMPORTRANGE(""https://docs.google.com/spreadsheets/d/1IYY_tgx_IHuhSq3AJ5eI5OnqOPBNLWSHKh2a30DoXe8/edit?usp=sharing"",""นราธิวาส!J156"")"),0)</f>
        <v>0</v>
      </c>
      <c r="K236" s="169"/>
      <c r="L236" s="189"/>
      <c r="M236" s="189"/>
      <c r="N236" s="189"/>
      <c r="O236" s="189"/>
      <c r="P236" s="189"/>
    </row>
    <row r="237" spans="1:16" ht="21.75" customHeight="1" x14ac:dyDescent="0.35">
      <c r="A237" s="183"/>
      <c r="B237" s="184"/>
      <c r="C237" s="184"/>
      <c r="D237" s="213">
        <v>3</v>
      </c>
      <c r="E237" s="214" t="s">
        <v>55</v>
      </c>
      <c r="F237" s="215"/>
      <c r="G237" s="216"/>
      <c r="H237" s="194"/>
      <c r="I237" s="195"/>
      <c r="J237" s="217">
        <f ca="1">IFERROR(__xludf.DUMMYFUNCTION("IMPORTRANGE(""https://docs.google.com/spreadsheets/d/1IYY_tgx_IHuhSq3AJ5eI5OnqOPBNLWSHKh2a30DoXe8/edit?usp=sharing"",""นราธิวาส!J157"")"),0)</f>
        <v>0</v>
      </c>
      <c r="K237" s="169"/>
      <c r="L237" s="189"/>
      <c r="M237" s="189"/>
      <c r="N237" s="189"/>
      <c r="O237" s="189"/>
      <c r="P237" s="189"/>
    </row>
    <row r="238" spans="1:16" ht="21.75" customHeight="1" x14ac:dyDescent="0.35">
      <c r="A238" s="183"/>
      <c r="B238" s="184"/>
      <c r="C238" s="271" t="s">
        <v>100</v>
      </c>
      <c r="D238" s="300"/>
      <c r="E238" s="270"/>
      <c r="F238" s="270"/>
      <c r="G238" s="272"/>
      <c r="H238" s="273" t="s">
        <v>37</v>
      </c>
      <c r="I238" s="274">
        <f ca="1">IFERROR(__xludf.DUMMYFUNCTION("IMPORTRANGE(""https://docs.google.com/spreadsheets/d/1IYY_tgx_IHuhSq3AJ5eI5OnqOPBNLWSHKh2a30DoXe8/edit?usp=sharing"",""นราธิวาส!I158"")"),0)</f>
        <v>0</v>
      </c>
      <c r="J238" s="274">
        <f ca="1">IFERROR(__xludf.DUMMYFUNCTION("IMPORTRANGE(""https://docs.google.com/spreadsheets/d/1IYY_tgx_IHuhSq3AJ5eI5OnqOPBNLWSHKh2a30DoXe8/edit?usp=sharing"",""นราธิวาส!J158"")"),0)</f>
        <v>0</v>
      </c>
      <c r="K238" s="275">
        <f ca="1">IF(I238&gt;0,J238*100/I238,0)</f>
        <v>0</v>
      </c>
      <c r="L238" s="189"/>
      <c r="M238" s="189"/>
      <c r="N238" s="189"/>
      <c r="O238" s="189"/>
      <c r="P238" s="189"/>
    </row>
    <row r="239" spans="1:16" ht="21.75" customHeight="1" x14ac:dyDescent="0.35">
      <c r="A239" s="183"/>
      <c r="B239" s="184"/>
      <c r="C239" s="163" t="s">
        <v>16</v>
      </c>
      <c r="D239" s="185" t="s">
        <v>44</v>
      </c>
      <c r="E239" s="186"/>
      <c r="F239" s="186"/>
      <c r="G239" s="187"/>
      <c r="H239" s="188"/>
      <c r="I239" s="168"/>
      <c r="J239" s="168"/>
      <c r="K239" s="169"/>
      <c r="L239" s="189"/>
      <c r="M239" s="189"/>
      <c r="N239" s="189"/>
      <c r="O239" s="189"/>
      <c r="P239" s="189"/>
    </row>
    <row r="240" spans="1:16" ht="21.75" customHeight="1" x14ac:dyDescent="0.35">
      <c r="A240" s="183"/>
      <c r="B240" s="184"/>
      <c r="C240" s="184"/>
      <c r="D240" s="190">
        <v>1</v>
      </c>
      <c r="E240" s="191" t="s">
        <v>45</v>
      </c>
      <c r="F240" s="192"/>
      <c r="G240" s="193"/>
      <c r="H240" s="194"/>
      <c r="I240" s="195"/>
      <c r="J240" s="195" t="str">
        <f ca="1">IFERROR(__xludf.DUMMYFUNCTION("IMPORTRANGE(""https://docs.google.com/spreadsheets/d/1IYY_tgx_IHuhSq3AJ5eI5OnqOPBNLWSHKh2a30DoXe8/edit?usp=sharing"",""นราธิวาส!J159"")"),"")</f>
        <v/>
      </c>
      <c r="K240" s="169"/>
      <c r="L240" s="189"/>
      <c r="M240" s="189"/>
      <c r="N240" s="189"/>
      <c r="O240" s="189"/>
      <c r="P240" s="189"/>
    </row>
    <row r="241" spans="1:16" ht="21.75" customHeight="1" x14ac:dyDescent="0.35">
      <c r="A241" s="183"/>
      <c r="B241" s="184"/>
      <c r="C241" s="184"/>
      <c r="D241" s="197">
        <v>2</v>
      </c>
      <c r="E241" s="198" t="s">
        <v>46</v>
      </c>
      <c r="F241" s="199"/>
      <c r="G241" s="200"/>
      <c r="H241" s="194"/>
      <c r="I241" s="195"/>
      <c r="J241" s="195">
        <f ca="1">IFERROR(__xludf.DUMMYFUNCTION("IMPORTRANGE(""https://docs.google.com/spreadsheets/d/1IYY_tgx_IHuhSq3AJ5eI5OnqOPBNLWSHKh2a30DoXe8/edit?usp=sharing"",""นราธิวาส!J161"")"),0)</f>
        <v>0</v>
      </c>
      <c r="K241" s="169"/>
      <c r="L241" s="189" t="s">
        <v>40</v>
      </c>
      <c r="M241" s="189"/>
      <c r="N241" s="189" t="s">
        <v>40</v>
      </c>
      <c r="O241" s="189"/>
      <c r="P241" s="189"/>
    </row>
    <row r="242" spans="1:16" ht="21.75" customHeight="1" x14ac:dyDescent="0.35">
      <c r="A242" s="183"/>
      <c r="B242" s="184"/>
      <c r="C242" s="184"/>
      <c r="D242" s="201"/>
      <c r="E242" s="202" t="s">
        <v>47</v>
      </c>
      <c r="F242" s="203"/>
      <c r="G242" s="204"/>
      <c r="H242" s="194"/>
      <c r="I242" s="195"/>
      <c r="J242" s="195">
        <f ca="1">IFERROR(__xludf.DUMMYFUNCTION("IMPORTRANGE(""https://docs.google.com/spreadsheets/d/1IYY_tgx_IHuhSq3AJ5eI5OnqOPBNLWSHKh2a30DoXe8/edit?usp=sharing"",""นราธิวาส!J162"")"),0)</f>
        <v>0</v>
      </c>
      <c r="K242" s="169"/>
      <c r="L242" s="189"/>
      <c r="M242" s="189"/>
      <c r="N242" s="189"/>
      <c r="O242" s="189"/>
      <c r="P242" s="189"/>
    </row>
    <row r="243" spans="1:16" ht="21.75" customHeight="1" x14ac:dyDescent="0.35">
      <c r="A243" s="183"/>
      <c r="B243" s="184"/>
      <c r="C243" s="184"/>
      <c r="D243" s="201"/>
      <c r="E243" s="202" t="s">
        <v>48</v>
      </c>
      <c r="F243" s="203"/>
      <c r="G243" s="204"/>
      <c r="H243" s="194"/>
      <c r="I243" s="195"/>
      <c r="J243" s="195">
        <f ca="1">IFERROR(__xludf.DUMMYFUNCTION("IMPORTRANGE(""https://docs.google.com/spreadsheets/d/1IYY_tgx_IHuhSq3AJ5eI5OnqOPBNLWSHKh2a30DoXe8/edit?usp=sharing"",""นราธิวาส!J163"")"),0)</f>
        <v>0</v>
      </c>
      <c r="K243" s="169"/>
      <c r="L243" s="189"/>
      <c r="M243" s="189"/>
      <c r="N243" s="189"/>
      <c r="O243" s="189"/>
      <c r="P243" s="189"/>
    </row>
    <row r="244" spans="1:16" ht="21.75" customHeight="1" x14ac:dyDescent="0.35">
      <c r="A244" s="183"/>
      <c r="B244" s="184"/>
      <c r="C244" s="184"/>
      <c r="D244" s="201"/>
      <c r="E244" s="203"/>
      <c r="F244" s="202" t="s">
        <v>101</v>
      </c>
      <c r="G244" s="203"/>
      <c r="H244" s="194" t="s">
        <v>37</v>
      </c>
      <c r="I244" s="211">
        <f ca="1">IFERROR(__xludf.DUMMYFUNCTION("IMPORTRANGE(""https://docs.google.com/spreadsheets/d/1IYY_tgx_IHuhSq3AJ5eI5OnqOPBNLWSHKh2a30DoXe8/edit?usp=sharing"",""นราธิวาส!I164"")"),0)</f>
        <v>0</v>
      </c>
      <c r="J244" s="195">
        <f ca="1">IFERROR(__xludf.DUMMYFUNCTION("IMPORTRANGE(""https://docs.google.com/spreadsheets/d/1IYY_tgx_IHuhSq3AJ5eI5OnqOPBNLWSHKh2a30DoXe8/edit?usp=sharing"",""นราธิวาส!J164"")"),0)</f>
        <v>0</v>
      </c>
      <c r="K244" s="169">
        <f ca="1">IF(I244&gt;0,J244*100/I244,0)</f>
        <v>0</v>
      </c>
      <c r="L244" s="189"/>
      <c r="M244" s="189"/>
      <c r="N244" s="189"/>
      <c r="O244" s="189"/>
      <c r="P244" s="189"/>
    </row>
    <row r="245" spans="1:16" ht="21.75" customHeight="1" x14ac:dyDescent="0.35">
      <c r="A245" s="183"/>
      <c r="B245" s="184"/>
      <c r="C245" s="184"/>
      <c r="D245" s="201"/>
      <c r="E245" s="202" t="s">
        <v>54</v>
      </c>
      <c r="F245" s="203"/>
      <c r="G245" s="204"/>
      <c r="H245" s="194"/>
      <c r="I245" s="195"/>
      <c r="J245" s="195">
        <f ca="1">IFERROR(__xludf.DUMMYFUNCTION("IMPORTRANGE(""https://docs.google.com/spreadsheets/d/1IYY_tgx_IHuhSq3AJ5eI5OnqOPBNLWSHKh2a30DoXe8/edit?usp=sharing"",""นราธิวาส!J165"")"),0)</f>
        <v>0</v>
      </c>
      <c r="K245" s="169"/>
      <c r="L245" s="189"/>
      <c r="M245" s="189"/>
      <c r="N245" s="189"/>
      <c r="O245" s="189"/>
      <c r="P245" s="189"/>
    </row>
    <row r="246" spans="1:16" ht="21.75" customHeight="1" x14ac:dyDescent="0.35">
      <c r="A246" s="241"/>
      <c r="B246" s="242"/>
      <c r="C246" s="242"/>
      <c r="D246" s="243">
        <v>3</v>
      </c>
      <c r="E246" s="244" t="s">
        <v>55</v>
      </c>
      <c r="F246" s="245"/>
      <c r="G246" s="246"/>
      <c r="H246" s="247"/>
      <c r="I246" s="248"/>
      <c r="J246" s="249">
        <f ca="1">IFERROR(__xludf.DUMMYFUNCTION("IMPORTRANGE(""https://docs.google.com/spreadsheets/d/1IYY_tgx_IHuhSq3AJ5eI5OnqOPBNLWSHKh2a30DoXe8/edit?usp=sharing"",""นราธิวาส!J166"")"),0)</f>
        <v>0</v>
      </c>
      <c r="K246" s="294"/>
      <c r="L246" s="252"/>
      <c r="M246" s="252"/>
      <c r="N246" s="252"/>
      <c r="O246" s="252"/>
      <c r="P246" s="252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IFERROR(__xludf.DUMMYFUNCTION("IMPORTRANGE(""https://docs.google.com/spreadsheets/d/1IYY_tgx_IHuhSq3AJ5eI5OnqOPBNLWSHKh2a30DoXe8/edit?usp=sharing"",""นราธิวาส!I169"")"),0)</f>
        <v>0</v>
      </c>
      <c r="J249" s="322">
        <f ca="1">IFERROR(__xludf.DUMMYFUNCTION("IMPORTRANGE(""https://docs.google.com/spreadsheets/d/1IYY_tgx_IHuhSq3AJ5eI5OnqOPBNLWSHKh2a30DoXe8/edit?usp=sharing"",""นราธิวาส!J169"")"),0)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52" t="s">
        <v>17</v>
      </c>
      <c r="E250" s="543"/>
      <c r="F250" s="543"/>
      <c r="G250" s="543"/>
      <c r="H250" s="153" t="s">
        <v>12</v>
      </c>
      <c r="I250" s="168"/>
      <c r="J250" s="168"/>
      <c r="K250" s="169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8"/>
      <c r="J251" s="168"/>
      <c r="K251" s="169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8"/>
      <c r="J252" s="168"/>
      <c r="K252" s="169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5">
      <c r="A253" s="162"/>
      <c r="B253" s="163"/>
      <c r="C253" s="163" t="s">
        <v>16</v>
      </c>
      <c r="D253" s="164" t="s">
        <v>38</v>
      </c>
      <c r="E253" s="165"/>
      <c r="F253" s="165"/>
      <c r="G253" s="166" t="s">
        <v>39</v>
      </c>
      <c r="H253" s="167" t="s">
        <v>12</v>
      </c>
      <c r="I253" s="168" t="s">
        <v>40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 x14ac:dyDescent="0.35">
      <c r="A254" s="162"/>
      <c r="B254" s="163"/>
      <c r="C254" s="163"/>
      <c r="D254" s="172"/>
      <c r="E254" s="165"/>
      <c r="F254" s="165" t="s">
        <v>40</v>
      </c>
      <c r="G254" s="166" t="s">
        <v>41</v>
      </c>
      <c r="H254" s="167" t="s">
        <v>12</v>
      </c>
      <c r="I254" s="168"/>
      <c r="J254" s="168"/>
      <c r="K254" s="169"/>
      <c r="L254" s="173">
        <f ca="1">L255+L256</f>
        <v>0</v>
      </c>
      <c r="M254" s="174">
        <f ca="1">IFERROR(__xludf.DUMMYFUNCTION("IMPORTRANGE(""https://docs.google.com/spreadsheets/d/1Yj_ptqi66GCucihVvJfMjLAmec39IyEx_6qawtMGysU/edit?usp=sharing"",""สบก!CB85"")"),0)</f>
        <v>0</v>
      </c>
      <c r="N254" s="175">
        <f ca="1">IFERROR(__xludf.DUMMYFUNCTION("IMPORTRANGE(""https://docs.google.com/spreadsheets/d/1Yj_ptqi66GCucihVvJfMjLAmec39IyEx_6qawtMGysU/edit?usp=sharing"",""สบก!CC85"")"),0)</f>
        <v>0</v>
      </c>
      <c r="O254" s="176">
        <f ca="1">IF(L254&gt;0,N254*100/L254,0)</f>
        <v>0</v>
      </c>
      <c r="P254" s="176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2"/>
      <c r="E255" s="165"/>
      <c r="F255" s="165"/>
      <c r="G255" s="177" t="s">
        <v>42</v>
      </c>
      <c r="H255" s="167" t="s">
        <v>12</v>
      </c>
      <c r="I255" s="168"/>
      <c r="J255" s="168"/>
      <c r="K255" s="169"/>
      <c r="L255" s="174">
        <f ca="1">IFERROR(__xludf.DUMMYFUNCTION("IMPORTRANGE(""https://docs.google.com/spreadsheets/d/1Yj_ptqi66GCucihVvJfMjLAmec39IyEx_6qawtMGysU/edit?usp=sharing"",""สบก!BX85"")"),0)</f>
        <v>0</v>
      </c>
      <c r="M255" s="173"/>
      <c r="N255" s="173"/>
      <c r="O255" s="176"/>
      <c r="P255" s="176"/>
    </row>
    <row r="256" spans="1:16" ht="21.75" customHeight="1" x14ac:dyDescent="0.35">
      <c r="A256" s="162"/>
      <c r="B256" s="163"/>
      <c r="C256" s="163"/>
      <c r="D256" s="172"/>
      <c r="E256" s="165"/>
      <c r="F256" s="165"/>
      <c r="G256" s="177" t="s">
        <v>43</v>
      </c>
      <c r="H256" s="167" t="s">
        <v>12</v>
      </c>
      <c r="I256" s="168"/>
      <c r="J256" s="168"/>
      <c r="K256" s="169"/>
      <c r="L256" s="174">
        <f ca="1">IFERROR(__xludf.DUMMYFUNCTION("IMPORTRANGE(""https://docs.google.com/spreadsheets/d/1Yj_ptqi66GCucihVvJfMjLAmec39IyEx_6qawtMGysU/edit?usp=sharing"",""สบก!BY85"")"),0)</f>
        <v>0</v>
      </c>
      <c r="M256" s="173"/>
      <c r="N256" s="173"/>
      <c r="O256" s="176"/>
      <c r="P256" s="176"/>
    </row>
    <row r="257" spans="1:16" ht="21.75" customHeight="1" x14ac:dyDescent="0.45">
      <c r="A257" s="178"/>
      <c r="B257" s="81"/>
      <c r="C257" s="82" t="s">
        <v>16</v>
      </c>
      <c r="D257" s="549" t="s">
        <v>23</v>
      </c>
      <c r="E257" s="545"/>
      <c r="F257" s="89"/>
      <c r="G257" s="83" t="s">
        <v>18</v>
      </c>
      <c r="H257" s="179" t="s">
        <v>12</v>
      </c>
      <c r="I257" s="168"/>
      <c r="J257" s="168"/>
      <c r="K257" s="169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80"/>
      <c r="B258" s="95"/>
      <c r="C258" s="95"/>
      <c r="D258" s="181"/>
      <c r="E258" s="96"/>
      <c r="F258" s="96"/>
      <c r="G258" s="97" t="s">
        <v>19</v>
      </c>
      <c r="H258" s="182" t="s">
        <v>12</v>
      </c>
      <c r="I258" s="168"/>
      <c r="J258" s="168"/>
      <c r="K258" s="169"/>
      <c r="L258" s="91">
        <f ca="1">IFERROR(__xludf.DUMMYFUNCTION("IMPORTRANGE(""https://docs.google.com/spreadsheets/d/1Yj_ptqi66GCucihVvJfMjLAmec39IyEx_6qawtMGysU/edit?usp=sharing"",""สบก!BZ85"")"),0)</f>
        <v>0</v>
      </c>
      <c r="M258" s="101"/>
      <c r="N258" s="91">
        <f ca="1">IFERROR(__xludf.DUMMYFUNCTION("IMPORTRANGE(""https://docs.google.com/spreadsheets/d/1Yj_ptqi66GCucihVvJfMjLAmec39IyEx_6qawtMGysU/edit?usp=sharing"",""สบก!CD85"")"),0)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3"/>
      <c r="B259" s="184"/>
      <c r="C259" s="163" t="s">
        <v>16</v>
      </c>
      <c r="D259" s="185" t="s">
        <v>44</v>
      </c>
      <c r="E259" s="186"/>
      <c r="F259" s="186"/>
      <c r="G259" s="187"/>
      <c r="H259" s="188"/>
      <c r="I259" s="168"/>
      <c r="J259" s="168"/>
      <c r="K259" s="169"/>
      <c r="L259" s="189"/>
      <c r="M259" s="189"/>
      <c r="N259" s="189"/>
      <c r="O259" s="189"/>
      <c r="P259" s="189"/>
    </row>
    <row r="260" spans="1:16" ht="21.75" customHeight="1" x14ac:dyDescent="0.35">
      <c r="A260" s="183"/>
      <c r="B260" s="184"/>
      <c r="C260" s="184"/>
      <c r="D260" s="190">
        <v>1</v>
      </c>
      <c r="E260" s="191" t="s">
        <v>45</v>
      </c>
      <c r="F260" s="192"/>
      <c r="G260" s="193"/>
      <c r="H260" s="194"/>
      <c r="I260" s="195"/>
      <c r="J260" s="196">
        <f ca="1">IFERROR(__xludf.DUMMYFUNCTION("IMPORTRANGE(""https://docs.google.com/spreadsheets/d/1IYY_tgx_IHuhSq3AJ5eI5OnqOPBNLWSHKh2a30DoXe8/edit?usp=sharing"",""นราธิวาส!J175"")"),0)</f>
        <v>0</v>
      </c>
      <c r="K260" s="169"/>
      <c r="L260" s="189"/>
      <c r="M260" s="189"/>
      <c r="N260" s="189"/>
      <c r="O260" s="189"/>
      <c r="P260" s="189"/>
    </row>
    <row r="261" spans="1:16" ht="21.75" customHeight="1" x14ac:dyDescent="0.35">
      <c r="A261" s="183"/>
      <c r="B261" s="184"/>
      <c r="C261" s="184"/>
      <c r="D261" s="197">
        <v>2</v>
      </c>
      <c r="E261" s="198" t="s">
        <v>46</v>
      </c>
      <c r="F261" s="199"/>
      <c r="G261" s="200"/>
      <c r="H261" s="194"/>
      <c r="I261" s="195"/>
      <c r="J261" s="205">
        <f ca="1">IFERROR(__xludf.DUMMYFUNCTION("IMPORTRANGE(""https://docs.google.com/spreadsheets/d/1IYY_tgx_IHuhSq3AJ5eI5OnqOPBNLWSHKh2a30DoXe8/edit?usp=sharing"",""นราธิวาส!J176"")"),0)</f>
        <v>0</v>
      </c>
      <c r="K261" s="169"/>
      <c r="L261" s="189" t="s">
        <v>40</v>
      </c>
      <c r="M261" s="189"/>
      <c r="N261" s="189" t="s">
        <v>40</v>
      </c>
      <c r="O261" s="189"/>
      <c r="P261" s="189"/>
    </row>
    <row r="262" spans="1:16" ht="21.75" customHeight="1" x14ac:dyDescent="0.35">
      <c r="A262" s="183"/>
      <c r="B262" s="184"/>
      <c r="C262" s="184"/>
      <c r="D262" s="201"/>
      <c r="E262" s="202" t="s">
        <v>47</v>
      </c>
      <c r="F262" s="203"/>
      <c r="G262" s="204"/>
      <c r="H262" s="194"/>
      <c r="I262" s="195"/>
      <c r="J262" s="205">
        <f ca="1">IFERROR(__xludf.DUMMYFUNCTION("IMPORTRANGE(""https://docs.google.com/spreadsheets/d/1IYY_tgx_IHuhSq3AJ5eI5OnqOPBNLWSHKh2a30DoXe8/edit?usp=sharing"",""นราธิวาส!J177"")"),0)</f>
        <v>0</v>
      </c>
      <c r="K262" s="169"/>
      <c r="L262" s="189"/>
      <c r="M262" s="189"/>
      <c r="N262" s="189"/>
      <c r="O262" s="189"/>
      <c r="P262" s="189"/>
    </row>
    <row r="263" spans="1:16" ht="21.75" customHeight="1" x14ac:dyDescent="0.35">
      <c r="A263" s="183"/>
      <c r="B263" s="184"/>
      <c r="C263" s="184"/>
      <c r="D263" s="201"/>
      <c r="E263" s="202" t="s">
        <v>48</v>
      </c>
      <c r="F263" s="203"/>
      <c r="G263" s="204"/>
      <c r="H263" s="194"/>
      <c r="I263" s="195"/>
      <c r="J263" s="205">
        <f ca="1">IFERROR(__xludf.DUMMYFUNCTION("IMPORTRANGE(""https://docs.google.com/spreadsheets/d/1IYY_tgx_IHuhSq3AJ5eI5OnqOPBNLWSHKh2a30DoXe8/edit?usp=sharing"",""นราธิวาส!J178"")"),0)</f>
        <v>0</v>
      </c>
      <c r="K263" s="169"/>
      <c r="L263" s="189"/>
      <c r="M263" s="189"/>
      <c r="N263" s="189"/>
      <c r="O263" s="189"/>
      <c r="P263" s="189"/>
    </row>
    <row r="264" spans="1:16" ht="21.75" customHeight="1" x14ac:dyDescent="0.35">
      <c r="A264" s="183"/>
      <c r="B264" s="184"/>
      <c r="C264" s="184"/>
      <c r="D264" s="201"/>
      <c r="E264" s="206"/>
      <c r="F264" s="202" t="s">
        <v>105</v>
      </c>
      <c r="G264" s="204"/>
      <c r="H264" s="188" t="s">
        <v>59</v>
      </c>
      <c r="I264" s="195">
        <f ca="1">IFERROR(__xludf.DUMMYFUNCTION("IMPORTRANGE(""https://docs.google.com/spreadsheets/d/1IYY_tgx_IHuhSq3AJ5eI5OnqOPBNLWSHKh2a30DoXe8/edit?usp=sharing"",""นราธิวาส!I179"")"),0)</f>
        <v>0</v>
      </c>
      <c r="J264" s="196">
        <f ca="1">IFERROR(__xludf.DUMMYFUNCTION("IMPORTRANGE(""https://docs.google.com/spreadsheets/d/1IYY_tgx_IHuhSq3AJ5eI5OnqOPBNLWSHKh2a30DoXe8/edit?usp=sharing"",""นราธิวาส!J179"")"),0)</f>
        <v>0</v>
      </c>
      <c r="K264" s="169">
        <f t="shared" ref="K264:K267" ca="1" si="82">IF(I264&gt;0,J264*100/I264,0)</f>
        <v>0</v>
      </c>
      <c r="L264" s="189"/>
      <c r="M264" s="189"/>
      <c r="N264" s="189"/>
      <c r="O264" s="189"/>
      <c r="P264" s="189"/>
    </row>
    <row r="265" spans="1:16" ht="21.75" customHeight="1" x14ac:dyDescent="0.35">
      <c r="A265" s="183"/>
      <c r="B265" s="184"/>
      <c r="C265" s="184"/>
      <c r="D265" s="201"/>
      <c r="E265" s="206"/>
      <c r="F265" s="202" t="s">
        <v>106</v>
      </c>
      <c r="G265" s="204"/>
      <c r="H265" s="188" t="s">
        <v>37</v>
      </c>
      <c r="I265" s="195">
        <f ca="1">IFERROR(__xludf.DUMMYFUNCTION("IMPORTRANGE(""https://docs.google.com/spreadsheets/d/1IYY_tgx_IHuhSq3AJ5eI5OnqOPBNLWSHKh2a30DoXe8/edit?usp=sharing"",""นราธิวาส!I180"")"),0)</f>
        <v>0</v>
      </c>
      <c r="J265" s="196">
        <f ca="1">IFERROR(__xludf.DUMMYFUNCTION("IMPORTRANGE(""https://docs.google.com/spreadsheets/d/1IYY_tgx_IHuhSq3AJ5eI5OnqOPBNLWSHKh2a30DoXe8/edit?usp=sharing"",""นราธิวาส!J180"")"),0)</f>
        <v>0</v>
      </c>
      <c r="K265" s="169">
        <f t="shared" ca="1" si="82"/>
        <v>0</v>
      </c>
      <c r="L265" s="189"/>
      <c r="M265" s="189"/>
      <c r="N265" s="189"/>
      <c r="O265" s="189"/>
      <c r="P265" s="189"/>
    </row>
    <row r="266" spans="1:16" ht="21.75" customHeight="1" x14ac:dyDescent="0.35">
      <c r="A266" s="183"/>
      <c r="B266" s="184"/>
      <c r="C266" s="184"/>
      <c r="D266" s="201"/>
      <c r="E266" s="206"/>
      <c r="F266" s="202" t="s">
        <v>107</v>
      </c>
      <c r="G266" s="204"/>
      <c r="H266" s="188" t="s">
        <v>37</v>
      </c>
      <c r="I266" s="195">
        <f ca="1">IFERROR(__xludf.DUMMYFUNCTION("IMPORTRANGE(""https://docs.google.com/spreadsheets/d/1IYY_tgx_IHuhSq3AJ5eI5OnqOPBNLWSHKh2a30DoXe8/edit?usp=sharing"",""นราธิวาส!I181"")"),0)</f>
        <v>0</v>
      </c>
      <c r="J266" s="196">
        <f ca="1">IFERROR(__xludf.DUMMYFUNCTION("IMPORTRANGE(""https://docs.google.com/spreadsheets/d/1IYY_tgx_IHuhSq3AJ5eI5OnqOPBNLWSHKh2a30DoXe8/edit?usp=sharing"",""นราธิวาส!J181"")"),0)</f>
        <v>0</v>
      </c>
      <c r="K266" s="169">
        <f t="shared" ca="1" si="82"/>
        <v>0</v>
      </c>
      <c r="L266" s="189"/>
      <c r="M266" s="189"/>
      <c r="N266" s="189"/>
      <c r="O266" s="189"/>
      <c r="P266" s="189"/>
    </row>
    <row r="267" spans="1:16" ht="21.75" customHeight="1" x14ac:dyDescent="0.35">
      <c r="A267" s="183"/>
      <c r="B267" s="184"/>
      <c r="C267" s="184"/>
      <c r="D267" s="201"/>
      <c r="E267" s="206"/>
      <c r="F267" s="202" t="s">
        <v>108</v>
      </c>
      <c r="G267" s="204"/>
      <c r="H267" s="188" t="s">
        <v>37</v>
      </c>
      <c r="I267" s="195">
        <f ca="1">IFERROR(__xludf.DUMMYFUNCTION("IMPORTRANGE(""https://docs.google.com/spreadsheets/d/1IYY_tgx_IHuhSq3AJ5eI5OnqOPBNLWSHKh2a30DoXe8/edit?usp=sharing"",""นราธิวาส!I182"")"),0)</f>
        <v>0</v>
      </c>
      <c r="J267" s="196">
        <f ca="1">IFERROR(__xludf.DUMMYFUNCTION("IMPORTRANGE(""https://docs.google.com/spreadsheets/d/1IYY_tgx_IHuhSq3AJ5eI5OnqOPBNLWSHKh2a30DoXe8/edit?usp=sharing"",""นราธิวาส!J182"")"),0)</f>
        <v>0</v>
      </c>
      <c r="K267" s="169">
        <f t="shared" ca="1" si="82"/>
        <v>0</v>
      </c>
      <c r="L267" s="189"/>
      <c r="M267" s="189"/>
      <c r="N267" s="189"/>
      <c r="O267" s="189"/>
      <c r="P267" s="189"/>
    </row>
    <row r="268" spans="1:16" ht="21.75" customHeight="1" x14ac:dyDescent="0.35">
      <c r="A268" s="183"/>
      <c r="B268" s="184"/>
      <c r="C268" s="184"/>
      <c r="D268" s="201"/>
      <c r="E268" s="202" t="s">
        <v>54</v>
      </c>
      <c r="F268" s="203"/>
      <c r="G268" s="204"/>
      <c r="H268" s="194"/>
      <c r="I268" s="195"/>
      <c r="J268" s="205">
        <f ca="1">IFERROR(__xludf.DUMMYFUNCTION("IMPORTRANGE(""https://docs.google.com/spreadsheets/d/1IYY_tgx_IHuhSq3AJ5eI5OnqOPBNLWSHKh2a30DoXe8/edit?usp=sharing"",""นราธิวาส!J183"")"),0)</f>
        <v>0</v>
      </c>
      <c r="K268" s="169"/>
      <c r="L268" s="189"/>
      <c r="M268" s="189"/>
      <c r="N268" s="189"/>
      <c r="O268" s="189"/>
      <c r="P268" s="189"/>
    </row>
    <row r="269" spans="1:16" ht="21.75" customHeight="1" x14ac:dyDescent="0.35">
      <c r="A269" s="241"/>
      <c r="B269" s="242"/>
      <c r="C269" s="242"/>
      <c r="D269" s="243">
        <v>3</v>
      </c>
      <c r="E269" s="244" t="s">
        <v>55</v>
      </c>
      <c r="F269" s="245"/>
      <c r="G269" s="246"/>
      <c r="H269" s="247"/>
      <c r="I269" s="248"/>
      <c r="J269" s="293">
        <f ca="1">IFERROR(__xludf.DUMMYFUNCTION("IMPORTRANGE(""https://docs.google.com/spreadsheets/d/1IYY_tgx_IHuhSq3AJ5eI5OnqOPBNLWSHKh2a30DoXe8/edit?usp=sharing"",""นราธิวาส!J184"")"),0)</f>
        <v>0</v>
      </c>
      <c r="K269" s="294"/>
      <c r="L269" s="252"/>
      <c r="M269" s="252"/>
      <c r="N269" s="252"/>
      <c r="O269" s="252"/>
      <c r="P269" s="252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IFERROR(__xludf.DUMMYFUNCTION("IMPORTRANGE(""https://docs.google.com/spreadsheets/d/1IYY_tgx_IHuhSq3AJ5eI5OnqOPBNLWSHKh2a30DoXe8/edit?usp=sharing"",""นราธิวาส!I185"")"),0)</f>
        <v>0</v>
      </c>
      <c r="J270" s="322">
        <f ca="1">IFERROR(__xludf.DUMMYFUNCTION("IMPORTRANGE(""https://docs.google.com/spreadsheets/d/1IYY_tgx_IHuhSq3AJ5eI5OnqOPBNLWSHKh2a30DoXe8/edit?usp=sharing"",""นราธิวาส!J185"")"),0)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52" t="s">
        <v>17</v>
      </c>
      <c r="E271" s="543"/>
      <c r="F271" s="543"/>
      <c r="G271" s="543"/>
      <c r="H271" s="153" t="s">
        <v>12</v>
      </c>
      <c r="I271" s="168"/>
      <c r="J271" s="168"/>
      <c r="K271" s="169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8"/>
      <c r="J272" s="168"/>
      <c r="K272" s="169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8"/>
      <c r="J273" s="168"/>
      <c r="K273" s="169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5">
      <c r="A274" s="162"/>
      <c r="B274" s="163"/>
      <c r="C274" s="163" t="s">
        <v>16</v>
      </c>
      <c r="D274" s="164" t="s">
        <v>38</v>
      </c>
      <c r="E274" s="165"/>
      <c r="F274" s="165"/>
      <c r="G274" s="166" t="s">
        <v>39</v>
      </c>
      <c r="H274" s="167" t="s">
        <v>12</v>
      </c>
      <c r="I274" s="168" t="s">
        <v>40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 x14ac:dyDescent="0.35">
      <c r="A275" s="162"/>
      <c r="B275" s="163"/>
      <c r="C275" s="163"/>
      <c r="D275" s="172"/>
      <c r="E275" s="165"/>
      <c r="F275" s="165" t="s">
        <v>40</v>
      </c>
      <c r="G275" s="166" t="s">
        <v>41</v>
      </c>
      <c r="H275" s="167" t="s">
        <v>12</v>
      </c>
      <c r="I275" s="168"/>
      <c r="J275" s="168"/>
      <c r="K275" s="169"/>
      <c r="L275" s="173">
        <f ca="1">L276+L277</f>
        <v>0</v>
      </c>
      <c r="M275" s="174">
        <f ca="1">IFERROR(__xludf.DUMMYFUNCTION("IMPORTRANGE(""https://docs.google.com/spreadsheets/d/1Yj_ptqi66GCucihVvJfMjLAmec39IyEx_6qawtMGysU/edit?usp=sharing"",""สบก!CK85"")"),0)</f>
        <v>0</v>
      </c>
      <c r="N275" s="175">
        <f ca="1">IFERROR(__xludf.DUMMYFUNCTION("IMPORTRANGE(""https://docs.google.com/spreadsheets/d/1Yj_ptqi66GCucihVvJfMjLAmec39IyEx_6qawtMGysU/edit?usp=sharing"",""สบก!CL85"")"),0)</f>
        <v>0</v>
      </c>
      <c r="O275" s="176">
        <f ca="1">IF(L275&gt;0,N275*100/L275,0)</f>
        <v>0</v>
      </c>
      <c r="P275" s="176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2"/>
      <c r="E276" s="165"/>
      <c r="F276" s="165"/>
      <c r="G276" s="177" t="s">
        <v>42</v>
      </c>
      <c r="H276" s="167" t="s">
        <v>12</v>
      </c>
      <c r="I276" s="168"/>
      <c r="J276" s="168"/>
      <c r="K276" s="169"/>
      <c r="L276" s="174">
        <f ca="1">IFERROR(__xludf.DUMMYFUNCTION("IMPORTRANGE(""https://docs.google.com/spreadsheets/d/1Yj_ptqi66GCucihVvJfMjLAmec39IyEx_6qawtMGysU/edit?usp=sharing"",""สบก!CG85"")"),0)</f>
        <v>0</v>
      </c>
      <c r="M276" s="173"/>
      <c r="N276" s="173"/>
      <c r="O276" s="176"/>
      <c r="P276" s="176"/>
    </row>
    <row r="277" spans="1:16" ht="21.75" customHeight="1" x14ac:dyDescent="0.35">
      <c r="A277" s="162"/>
      <c r="B277" s="163"/>
      <c r="C277" s="163"/>
      <c r="D277" s="172"/>
      <c r="E277" s="165"/>
      <c r="F277" s="165"/>
      <c r="G277" s="177" t="s">
        <v>43</v>
      </c>
      <c r="H277" s="167" t="s">
        <v>12</v>
      </c>
      <c r="I277" s="168"/>
      <c r="J277" s="168"/>
      <c r="K277" s="169"/>
      <c r="L277" s="174">
        <f ca="1">IFERROR(__xludf.DUMMYFUNCTION("IMPORTRANGE(""https://docs.google.com/spreadsheets/d/1Yj_ptqi66GCucihVvJfMjLAmec39IyEx_6qawtMGysU/edit?usp=sharing"",""สบก!CH85"")"),0)</f>
        <v>0</v>
      </c>
      <c r="M277" s="173"/>
      <c r="N277" s="173"/>
      <c r="O277" s="176"/>
      <c r="P277" s="176"/>
    </row>
    <row r="278" spans="1:16" ht="21.75" customHeight="1" x14ac:dyDescent="0.45">
      <c r="A278" s="178"/>
      <c r="B278" s="81"/>
      <c r="C278" s="82" t="s">
        <v>16</v>
      </c>
      <c r="D278" s="549" t="s">
        <v>23</v>
      </c>
      <c r="E278" s="545"/>
      <c r="F278" s="89"/>
      <c r="G278" s="83" t="s">
        <v>18</v>
      </c>
      <c r="H278" s="179" t="s">
        <v>12</v>
      </c>
      <c r="I278" s="168"/>
      <c r="J278" s="168"/>
      <c r="K278" s="169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80"/>
      <c r="B279" s="95"/>
      <c r="C279" s="95"/>
      <c r="D279" s="181"/>
      <c r="E279" s="96"/>
      <c r="F279" s="96"/>
      <c r="G279" s="97" t="s">
        <v>19</v>
      </c>
      <c r="H279" s="182" t="s">
        <v>12</v>
      </c>
      <c r="I279" s="168"/>
      <c r="J279" s="168"/>
      <c r="K279" s="169"/>
      <c r="L279" s="91">
        <f ca="1">IFERROR(__xludf.DUMMYFUNCTION("IMPORTRANGE(""https://docs.google.com/spreadsheets/d/1Yj_ptqi66GCucihVvJfMjLAmec39IyEx_6qawtMGysU/edit?usp=sharing"",""สบก!CI85"")"),0)</f>
        <v>0</v>
      </c>
      <c r="M279" s="101"/>
      <c r="N279" s="91">
        <f ca="1">IFERROR(__xludf.DUMMYFUNCTION("IMPORTRANGE(""https://docs.google.com/spreadsheets/d/1Yj_ptqi66GCucihVvJfMjLAmec39IyEx_6qawtMGysU/edit?usp=sharing"",""สบก!CM85"")"),0)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3"/>
      <c r="B280" s="184"/>
      <c r="C280" s="163" t="s">
        <v>16</v>
      </c>
      <c r="D280" s="185" t="s">
        <v>44</v>
      </c>
      <c r="E280" s="186"/>
      <c r="F280" s="186"/>
      <c r="G280" s="187"/>
      <c r="H280" s="188"/>
      <c r="I280" s="168"/>
      <c r="J280" s="168"/>
      <c r="K280" s="169"/>
      <c r="L280" s="189"/>
      <c r="M280" s="189"/>
      <c r="N280" s="189"/>
      <c r="O280" s="189"/>
      <c r="P280" s="189"/>
    </row>
    <row r="281" spans="1:16" ht="21.75" customHeight="1" x14ac:dyDescent="0.35">
      <c r="A281" s="183"/>
      <c r="B281" s="184"/>
      <c r="C281" s="184"/>
      <c r="D281" s="190">
        <v>1</v>
      </c>
      <c r="E281" s="191" t="s">
        <v>45</v>
      </c>
      <c r="F281" s="192"/>
      <c r="G281" s="193"/>
      <c r="H281" s="194"/>
      <c r="I281" s="195"/>
      <c r="J281" s="196">
        <f ca="1">IFERROR(__xludf.DUMMYFUNCTION("IMPORTRANGE(""https://docs.google.com/spreadsheets/d/1IYY_tgx_IHuhSq3AJ5eI5OnqOPBNLWSHKh2a30DoXe8/edit?usp=sharing"",""นราธิวาส!J191"")"),0)</f>
        <v>0</v>
      </c>
      <c r="K281" s="169"/>
      <c r="L281" s="189"/>
      <c r="M281" s="189"/>
      <c r="N281" s="189"/>
      <c r="O281" s="189"/>
      <c r="P281" s="189"/>
    </row>
    <row r="282" spans="1:16" ht="21.75" customHeight="1" x14ac:dyDescent="0.35">
      <c r="A282" s="183"/>
      <c r="B282" s="184"/>
      <c r="C282" s="184"/>
      <c r="D282" s="197">
        <v>2</v>
      </c>
      <c r="E282" s="198" t="s">
        <v>46</v>
      </c>
      <c r="F282" s="199"/>
      <c r="G282" s="200"/>
      <c r="H282" s="194"/>
      <c r="I282" s="195"/>
      <c r="J282" s="205">
        <f ca="1">IFERROR(__xludf.DUMMYFUNCTION("IMPORTRANGE(""https://docs.google.com/spreadsheets/d/1IYY_tgx_IHuhSq3AJ5eI5OnqOPBNLWSHKh2a30DoXe8/edit?usp=sharing"",""นราธิวาส!J192"")"),0)</f>
        <v>0</v>
      </c>
      <c r="K282" s="169"/>
      <c r="L282" s="189"/>
      <c r="M282" s="189"/>
      <c r="N282" s="189"/>
      <c r="O282" s="189"/>
      <c r="P282" s="189"/>
    </row>
    <row r="283" spans="1:16" ht="21.75" customHeight="1" x14ac:dyDescent="0.35">
      <c r="A283" s="183"/>
      <c r="B283" s="184"/>
      <c r="C283" s="184"/>
      <c r="D283" s="201"/>
      <c r="E283" s="202" t="s">
        <v>47</v>
      </c>
      <c r="F283" s="203"/>
      <c r="G283" s="204"/>
      <c r="H283" s="194"/>
      <c r="I283" s="195"/>
      <c r="J283" s="205">
        <f ca="1">IFERROR(__xludf.DUMMYFUNCTION("IMPORTRANGE(""https://docs.google.com/spreadsheets/d/1IYY_tgx_IHuhSq3AJ5eI5OnqOPBNLWSHKh2a30DoXe8/edit?usp=sharing"",""นราธิวาส!J193"")"),0)</f>
        <v>0</v>
      </c>
      <c r="K283" s="169"/>
      <c r="L283" s="189"/>
      <c r="M283" s="189"/>
      <c r="N283" s="189"/>
      <c r="O283" s="189"/>
      <c r="P283" s="189"/>
    </row>
    <row r="284" spans="1:16" ht="21.75" customHeight="1" x14ac:dyDescent="0.35">
      <c r="A284" s="183"/>
      <c r="B284" s="184"/>
      <c r="C284" s="184"/>
      <c r="D284" s="201"/>
      <c r="E284" s="202" t="s">
        <v>48</v>
      </c>
      <c r="F284" s="203"/>
      <c r="G284" s="204"/>
      <c r="H284" s="194"/>
      <c r="I284" s="195"/>
      <c r="J284" s="205">
        <f ca="1">IFERROR(__xludf.DUMMYFUNCTION("IMPORTRANGE(""https://docs.google.com/spreadsheets/d/1IYY_tgx_IHuhSq3AJ5eI5OnqOPBNLWSHKh2a30DoXe8/edit?usp=sharing"",""นราธิวาส!J194"")"),0)</f>
        <v>0</v>
      </c>
      <c r="K284" s="169"/>
      <c r="L284" s="189"/>
      <c r="M284" s="189"/>
      <c r="N284" s="189"/>
      <c r="O284" s="189"/>
      <c r="P284" s="189"/>
    </row>
    <row r="285" spans="1:16" ht="21.75" customHeight="1" x14ac:dyDescent="0.35">
      <c r="A285" s="183"/>
      <c r="B285" s="184"/>
      <c r="C285" s="184"/>
      <c r="D285" s="201"/>
      <c r="E285" s="203"/>
      <c r="F285" s="202" t="s">
        <v>110</v>
      </c>
      <c r="G285" s="204"/>
      <c r="H285" s="194" t="s">
        <v>37</v>
      </c>
      <c r="I285" s="195">
        <f ca="1">IFERROR(__xludf.DUMMYFUNCTION("IMPORTRANGE(""https://docs.google.com/spreadsheets/d/1IYY_tgx_IHuhSq3AJ5eI5OnqOPBNLWSHKh2a30DoXe8/edit?usp=sharing"",""นราธิวาส!I195"")"),0)</f>
        <v>0</v>
      </c>
      <c r="J285" s="196">
        <f ca="1">IFERROR(__xludf.DUMMYFUNCTION("IMPORTRANGE(""https://docs.google.com/spreadsheets/d/1IYY_tgx_IHuhSq3AJ5eI5OnqOPBNLWSHKh2a30DoXe8/edit?usp=sharing"",""นราธิวาส!J195"")"),0)</f>
        <v>0</v>
      </c>
      <c r="K285" s="169">
        <f ca="1">IF(I285&gt;0,J285*100/I285,0)</f>
        <v>0</v>
      </c>
      <c r="L285" s="189"/>
      <c r="M285" s="189"/>
      <c r="N285" s="189"/>
      <c r="O285" s="189"/>
      <c r="P285" s="189"/>
    </row>
    <row r="286" spans="1:16" ht="21.75" customHeight="1" x14ac:dyDescent="0.35">
      <c r="A286" s="183"/>
      <c r="B286" s="184"/>
      <c r="C286" s="184"/>
      <c r="D286" s="201"/>
      <c r="E286" s="202" t="s">
        <v>54</v>
      </c>
      <c r="F286" s="203"/>
      <c r="G286" s="204"/>
      <c r="H286" s="194"/>
      <c r="I286" s="195"/>
      <c r="J286" s="205">
        <f ca="1">IFERROR(__xludf.DUMMYFUNCTION("IMPORTRANGE(""https://docs.google.com/spreadsheets/d/1IYY_tgx_IHuhSq3AJ5eI5OnqOPBNLWSHKh2a30DoXe8/edit?usp=sharing"",""นราธิวาส!J196"")"),0)</f>
        <v>0</v>
      </c>
      <c r="K286" s="169"/>
      <c r="L286" s="189"/>
      <c r="M286" s="189"/>
      <c r="N286" s="189"/>
      <c r="O286" s="189"/>
      <c r="P286" s="189"/>
    </row>
    <row r="287" spans="1:16" ht="21.75" customHeight="1" x14ac:dyDescent="0.35">
      <c r="A287" s="183"/>
      <c r="B287" s="184"/>
      <c r="C287" s="184"/>
      <c r="D287" s="213">
        <v>3</v>
      </c>
      <c r="E287" s="214" t="s">
        <v>55</v>
      </c>
      <c r="F287" s="215"/>
      <c r="G287" s="216"/>
      <c r="H287" s="194"/>
      <c r="I287" s="195"/>
      <c r="J287" s="217">
        <f ca="1">IFERROR(__xludf.DUMMYFUNCTION("IMPORTRANGE(""https://docs.google.com/spreadsheets/d/1IYY_tgx_IHuhSq3AJ5eI5OnqOPBNLWSHKh2a30DoXe8/edit?usp=sharing"",""นราธิวาส!J197"")"),0)</f>
        <v>0</v>
      </c>
      <c r="K287" s="169"/>
      <c r="L287" s="189"/>
      <c r="M287" s="189"/>
      <c r="N287" s="189"/>
      <c r="O287" s="189"/>
      <c r="P287" s="189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IFERROR(__xludf.DUMMYFUNCTION("IMPORTRANGE(""https://docs.google.com/spreadsheets/d/1IYY_tgx_IHuhSq3AJ5eI5OnqOPBNLWSHKh2a30DoXe8/edit?usp=sharing"",""นราธิวาส!I199"")"),0)</f>
        <v>0</v>
      </c>
      <c r="J289" s="322">
        <f ca="1">IFERROR(__xludf.DUMMYFUNCTION("IMPORTRANGE(""https://docs.google.com/spreadsheets/d/1IYY_tgx_IHuhSq3AJ5eI5OnqOPBNLWSHKh2a30DoXe8/edit?usp=sharing"",""นราธิวาส!J199"")"),0)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52" t="s">
        <v>17</v>
      </c>
      <c r="E290" s="543"/>
      <c r="F290" s="543"/>
      <c r="G290" s="543"/>
      <c r="H290" s="153" t="s">
        <v>12</v>
      </c>
      <c r="I290" s="195"/>
      <c r="J290" s="195"/>
      <c r="K290" s="231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5"/>
      <c r="J291" s="195"/>
      <c r="K291" s="231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5"/>
      <c r="J292" s="195"/>
      <c r="K292" s="231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5">
      <c r="A293" s="162"/>
      <c r="B293" s="163"/>
      <c r="C293" s="163" t="s">
        <v>16</v>
      </c>
      <c r="D293" s="164" t="s">
        <v>38</v>
      </c>
      <c r="E293" s="165"/>
      <c r="F293" s="165"/>
      <c r="G293" s="166" t="s">
        <v>39</v>
      </c>
      <c r="H293" s="167" t="s">
        <v>12</v>
      </c>
      <c r="I293" s="195" t="s">
        <v>40</v>
      </c>
      <c r="J293" s="195"/>
      <c r="K293" s="231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 x14ac:dyDescent="0.35">
      <c r="A294" s="162"/>
      <c r="B294" s="163"/>
      <c r="C294" s="163"/>
      <c r="D294" s="172"/>
      <c r="E294" s="165"/>
      <c r="F294" s="165" t="s">
        <v>40</v>
      </c>
      <c r="G294" s="166" t="s">
        <v>41</v>
      </c>
      <c r="H294" s="167" t="s">
        <v>12</v>
      </c>
      <c r="I294" s="195"/>
      <c r="J294" s="195"/>
      <c r="K294" s="231"/>
      <c r="L294" s="173">
        <f ca="1">L295+L296</f>
        <v>0</v>
      </c>
      <c r="M294" s="174">
        <f ca="1">IFERROR(__xludf.DUMMYFUNCTION("IMPORTRANGE(""https://docs.google.com/spreadsheets/d/1Yj_ptqi66GCucihVvJfMjLAmec39IyEx_6qawtMGysU/edit?usp=sharing"",""สบก!CT85"")"),0)</f>
        <v>0</v>
      </c>
      <c r="N294" s="175">
        <f ca="1">IFERROR(__xludf.DUMMYFUNCTION("IMPORTRANGE(""https://docs.google.com/spreadsheets/d/1Yj_ptqi66GCucihVvJfMjLAmec39IyEx_6qawtMGysU/edit?usp=sharing"",""สบก!CU85"")"),0)</f>
        <v>0</v>
      </c>
      <c r="O294" s="176">
        <f ca="1">IF(L294&gt;0,N294*100/L294,0)</f>
        <v>0</v>
      </c>
      <c r="P294" s="176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2"/>
      <c r="E295" s="165"/>
      <c r="F295" s="165"/>
      <c r="G295" s="177" t="s">
        <v>42</v>
      </c>
      <c r="H295" s="167" t="s">
        <v>12</v>
      </c>
      <c r="I295" s="195"/>
      <c r="J295" s="195"/>
      <c r="K295" s="231"/>
      <c r="L295" s="174">
        <f ca="1">IFERROR(__xludf.DUMMYFUNCTION("IMPORTRANGE(""https://docs.google.com/spreadsheets/d/1Yj_ptqi66GCucihVvJfMjLAmec39IyEx_6qawtMGysU/edit?usp=sharing"",""สบก!CP85"")"),0)</f>
        <v>0</v>
      </c>
      <c r="M295" s="173"/>
      <c r="N295" s="173"/>
      <c r="O295" s="176"/>
      <c r="P295" s="176"/>
    </row>
    <row r="296" spans="1:16" ht="21.75" customHeight="1" x14ac:dyDescent="0.35">
      <c r="A296" s="162"/>
      <c r="B296" s="163"/>
      <c r="C296" s="163"/>
      <c r="D296" s="172"/>
      <c r="E296" s="165"/>
      <c r="F296" s="165"/>
      <c r="G296" s="177" t="s">
        <v>43</v>
      </c>
      <c r="H296" s="167" t="s">
        <v>12</v>
      </c>
      <c r="I296" s="195"/>
      <c r="J296" s="195"/>
      <c r="K296" s="231"/>
      <c r="L296" s="174">
        <f ca="1">IFERROR(__xludf.DUMMYFUNCTION("IMPORTRANGE(""https://docs.google.com/spreadsheets/d/1Yj_ptqi66GCucihVvJfMjLAmec39IyEx_6qawtMGysU/edit?usp=sharing"",""สบก!CQ85"")"),0)</f>
        <v>0</v>
      </c>
      <c r="M296" s="173"/>
      <c r="N296" s="173"/>
      <c r="O296" s="176"/>
      <c r="P296" s="176"/>
    </row>
    <row r="297" spans="1:16" ht="21.75" customHeight="1" x14ac:dyDescent="0.45">
      <c r="A297" s="178"/>
      <c r="B297" s="81"/>
      <c r="C297" s="82" t="s">
        <v>16</v>
      </c>
      <c r="D297" s="549" t="s">
        <v>23</v>
      </c>
      <c r="E297" s="545"/>
      <c r="F297" s="89"/>
      <c r="G297" s="83" t="s">
        <v>18</v>
      </c>
      <c r="H297" s="179" t="s">
        <v>12</v>
      </c>
      <c r="I297" s="195"/>
      <c r="J297" s="195"/>
      <c r="K297" s="231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80"/>
      <c r="B298" s="95"/>
      <c r="C298" s="95"/>
      <c r="D298" s="181"/>
      <c r="E298" s="96"/>
      <c r="F298" s="96"/>
      <c r="G298" s="97" t="s">
        <v>19</v>
      </c>
      <c r="H298" s="182" t="s">
        <v>12</v>
      </c>
      <c r="I298" s="195"/>
      <c r="J298" s="195"/>
      <c r="K298" s="231"/>
      <c r="L298" s="91">
        <f ca="1">IFERROR(__xludf.DUMMYFUNCTION("IMPORTRANGE(""https://docs.google.com/spreadsheets/d/1Yj_ptqi66GCucihVvJfMjLAmec39IyEx_6qawtMGysU/edit?usp=sharing"",""สบก!CR85"")"),0)</f>
        <v>0</v>
      </c>
      <c r="M298" s="101"/>
      <c r="N298" s="91">
        <f ca="1">IFERROR(__xludf.DUMMYFUNCTION("IMPORTRANGE(""https://docs.google.com/spreadsheets/d/1Yj_ptqi66GCucihVvJfMjLAmec39IyEx_6qawtMGysU/edit?usp=sharing"",""สบก!CV85"")"),0)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3"/>
      <c r="B299" s="184"/>
      <c r="C299" s="163" t="s">
        <v>16</v>
      </c>
      <c r="D299" s="185" t="s">
        <v>44</v>
      </c>
      <c r="E299" s="186"/>
      <c r="F299" s="186"/>
      <c r="G299" s="187"/>
      <c r="H299" s="188"/>
      <c r="I299" s="195"/>
      <c r="J299" s="195"/>
      <c r="K299" s="231"/>
      <c r="L299" s="176"/>
      <c r="M299" s="176"/>
      <c r="N299" s="176"/>
      <c r="O299" s="189"/>
      <c r="P299" s="189"/>
    </row>
    <row r="300" spans="1:16" ht="21.75" customHeight="1" x14ac:dyDescent="0.35">
      <c r="A300" s="183"/>
      <c r="B300" s="184"/>
      <c r="C300" s="184"/>
      <c r="D300" s="190">
        <v>1</v>
      </c>
      <c r="E300" s="191" t="s">
        <v>45</v>
      </c>
      <c r="F300" s="192"/>
      <c r="G300" s="193"/>
      <c r="H300" s="194"/>
      <c r="I300" s="195"/>
      <c r="J300" s="195">
        <f ca="1">IFERROR(__xludf.DUMMYFUNCTION("IMPORTRANGE(""https://docs.google.com/spreadsheets/d/1IYY_tgx_IHuhSq3AJ5eI5OnqOPBNLWSHKh2a30DoXe8/edit?usp=sharing"",""นราธิวาส!J205"")"),0)</f>
        <v>0</v>
      </c>
      <c r="K300" s="231"/>
      <c r="L300" s="176"/>
      <c r="M300" s="176"/>
      <c r="N300" s="176"/>
      <c r="O300" s="189"/>
      <c r="P300" s="189"/>
    </row>
    <row r="301" spans="1:16" ht="21.75" customHeight="1" x14ac:dyDescent="0.35">
      <c r="A301" s="183"/>
      <c r="B301" s="184"/>
      <c r="C301" s="184"/>
      <c r="D301" s="197">
        <v>2</v>
      </c>
      <c r="E301" s="198" t="s">
        <v>46</v>
      </c>
      <c r="F301" s="199"/>
      <c r="G301" s="200"/>
      <c r="H301" s="194"/>
      <c r="I301" s="195"/>
      <c r="J301" s="195">
        <f ca="1">IFERROR(__xludf.DUMMYFUNCTION("IMPORTRANGE(""https://docs.google.com/spreadsheets/d/1IYY_tgx_IHuhSq3AJ5eI5OnqOPBNLWSHKh2a30DoXe8/edit?usp=sharing"",""นราธิวาส!J206"")"),0)</f>
        <v>0</v>
      </c>
      <c r="K301" s="231"/>
      <c r="L301" s="176" t="s">
        <v>40</v>
      </c>
      <c r="M301" s="176"/>
      <c r="N301" s="176" t="s">
        <v>40</v>
      </c>
      <c r="O301" s="189"/>
      <c r="P301" s="189"/>
    </row>
    <row r="302" spans="1:16" ht="21.75" customHeight="1" x14ac:dyDescent="0.35">
      <c r="A302" s="183"/>
      <c r="B302" s="184"/>
      <c r="C302" s="184"/>
      <c r="D302" s="201"/>
      <c r="E302" s="202" t="s">
        <v>47</v>
      </c>
      <c r="F302" s="203"/>
      <c r="G302" s="204"/>
      <c r="H302" s="194"/>
      <c r="I302" s="195"/>
      <c r="J302" s="195">
        <f ca="1">IFERROR(__xludf.DUMMYFUNCTION("IMPORTRANGE(""https://docs.google.com/spreadsheets/d/1IYY_tgx_IHuhSq3AJ5eI5OnqOPBNLWSHKh2a30DoXe8/edit?usp=sharing"",""นราธิวาส!J207"")"),0)</f>
        <v>0</v>
      </c>
      <c r="K302" s="231"/>
      <c r="L302" s="176"/>
      <c r="M302" s="176"/>
      <c r="N302" s="176"/>
      <c r="O302" s="189"/>
      <c r="P302" s="189"/>
    </row>
    <row r="303" spans="1:16" ht="21.75" customHeight="1" x14ac:dyDescent="0.35">
      <c r="A303" s="183"/>
      <c r="B303" s="184"/>
      <c r="C303" s="184"/>
      <c r="D303" s="201"/>
      <c r="E303" s="202" t="s">
        <v>48</v>
      </c>
      <c r="F303" s="203"/>
      <c r="G303" s="204"/>
      <c r="H303" s="194"/>
      <c r="I303" s="195"/>
      <c r="J303" s="195">
        <f ca="1">IFERROR(__xludf.DUMMYFUNCTION("IMPORTRANGE(""https://docs.google.com/spreadsheets/d/1IYY_tgx_IHuhSq3AJ5eI5OnqOPBNLWSHKh2a30DoXe8/edit?usp=sharing"",""นราธิวาส!J208"")"),0)</f>
        <v>0</v>
      </c>
      <c r="K303" s="231"/>
      <c r="L303" s="176"/>
      <c r="M303" s="176"/>
      <c r="N303" s="176"/>
      <c r="O303" s="189"/>
      <c r="P303" s="189"/>
    </row>
    <row r="304" spans="1:16" ht="21.75" customHeight="1" x14ac:dyDescent="0.35">
      <c r="A304" s="183"/>
      <c r="B304" s="184"/>
      <c r="C304" s="184"/>
      <c r="D304" s="201"/>
      <c r="E304" s="206"/>
      <c r="F304" s="202" t="s">
        <v>113</v>
      </c>
      <c r="G304" s="204"/>
      <c r="H304" s="188" t="s">
        <v>37</v>
      </c>
      <c r="I304" s="195">
        <f ca="1">IFERROR(__xludf.DUMMYFUNCTION("IMPORTRANGE(""https://docs.google.com/spreadsheets/d/1IYY_tgx_IHuhSq3AJ5eI5OnqOPBNLWSHKh2a30DoXe8/edit?usp=sharing"",""นราธิวาส!I209"")"),0)</f>
        <v>0</v>
      </c>
      <c r="J304" s="211">
        <f ca="1">IFERROR(__xludf.DUMMYFUNCTION("IMPORTRANGE(""https://docs.google.com/spreadsheets/d/1IYY_tgx_IHuhSq3AJ5eI5OnqOPBNLWSHKh2a30DoXe8/edit?usp=sharing"",""นราธิวาส!J209"")"),0)</f>
        <v>0</v>
      </c>
      <c r="K304" s="231">
        <f ca="1">IF(I304&gt;0,J304*100/I304,0)</f>
        <v>0</v>
      </c>
      <c r="L304" s="176"/>
      <c r="M304" s="176"/>
      <c r="N304" s="176"/>
      <c r="O304" s="189"/>
      <c r="P304" s="189"/>
    </row>
    <row r="305" spans="1:16" ht="21.75" customHeight="1" x14ac:dyDescent="0.35">
      <c r="A305" s="183"/>
      <c r="B305" s="184"/>
      <c r="C305" s="184"/>
      <c r="D305" s="201"/>
      <c r="E305" s="206"/>
      <c r="F305" s="202" t="s">
        <v>114</v>
      </c>
      <c r="G305" s="204"/>
      <c r="H305" s="188"/>
      <c r="I305" s="195"/>
      <c r="J305" s="195"/>
      <c r="K305" s="231"/>
      <c r="L305" s="176"/>
      <c r="M305" s="176"/>
      <c r="N305" s="176"/>
      <c r="O305" s="189"/>
      <c r="P305" s="189"/>
    </row>
    <row r="306" spans="1:16" ht="21.75" customHeight="1" x14ac:dyDescent="0.35">
      <c r="A306" s="183"/>
      <c r="B306" s="184"/>
      <c r="C306" s="184"/>
      <c r="D306" s="201"/>
      <c r="E306" s="206"/>
      <c r="F306" s="203" t="s">
        <v>53</v>
      </c>
      <c r="G306" s="204"/>
      <c r="H306" s="188" t="s">
        <v>37</v>
      </c>
      <c r="I306" s="195">
        <f ca="1">IFERROR(__xludf.DUMMYFUNCTION("IMPORTRANGE(""https://docs.google.com/spreadsheets/d/1IYY_tgx_IHuhSq3AJ5eI5OnqOPBNLWSHKh2a30DoXe8/edit?usp=sharing"",""นราธิวาส!I211"")"),0)</f>
        <v>0</v>
      </c>
      <c r="J306" s="211">
        <f ca="1">IFERROR(__xludf.DUMMYFUNCTION("IMPORTRANGE(""https://docs.google.com/spreadsheets/d/1IYY_tgx_IHuhSq3AJ5eI5OnqOPBNLWSHKh2a30DoXe8/edit?usp=sharing"",""นราธิวาส!J211"")"),0)</f>
        <v>0</v>
      </c>
      <c r="K306" s="231">
        <f ca="1">IF(I306&gt;0,J306*100/I306,0)</f>
        <v>0</v>
      </c>
      <c r="L306" s="176"/>
      <c r="M306" s="176"/>
      <c r="N306" s="176"/>
      <c r="O306" s="189"/>
      <c r="P306" s="189"/>
    </row>
    <row r="307" spans="1:16" ht="21.75" customHeight="1" x14ac:dyDescent="0.35">
      <c r="A307" s="183"/>
      <c r="B307" s="184"/>
      <c r="C307" s="184"/>
      <c r="D307" s="201"/>
      <c r="E307" s="202" t="s">
        <v>54</v>
      </c>
      <c r="F307" s="203"/>
      <c r="G307" s="204"/>
      <c r="H307" s="194"/>
      <c r="I307" s="195"/>
      <c r="J307" s="195">
        <f ca="1">IFERROR(__xludf.DUMMYFUNCTION("IMPORTRANGE(""https://docs.google.com/spreadsheets/d/1IYY_tgx_IHuhSq3AJ5eI5OnqOPBNLWSHKh2a30DoXe8/edit?usp=sharing"",""นราธิวาส!J212"")"),0)</f>
        <v>0</v>
      </c>
      <c r="K307" s="231"/>
      <c r="L307" s="176"/>
      <c r="M307" s="176"/>
      <c r="N307" s="176"/>
      <c r="O307" s="189"/>
      <c r="P307" s="189"/>
    </row>
    <row r="308" spans="1:16" ht="21.75" customHeight="1" x14ac:dyDescent="0.35">
      <c r="A308" s="183"/>
      <c r="B308" s="184"/>
      <c r="C308" s="184"/>
      <c r="D308" s="213">
        <v>3</v>
      </c>
      <c r="E308" s="214" t="s">
        <v>55</v>
      </c>
      <c r="F308" s="215"/>
      <c r="G308" s="216"/>
      <c r="H308" s="194"/>
      <c r="I308" s="195"/>
      <c r="J308" s="332">
        <f ca="1">IFERROR(__xludf.DUMMYFUNCTION("IMPORTRANGE(""https://docs.google.com/spreadsheets/d/1IYY_tgx_IHuhSq3AJ5eI5OnqOPBNLWSHKh2a30DoXe8/edit?usp=sharing"",""นราธิวาส!J213"")"),0)</f>
        <v>0</v>
      </c>
      <c r="K308" s="231"/>
      <c r="L308" s="176"/>
      <c r="M308" s="176"/>
      <c r="N308" s="176"/>
      <c r="O308" s="189"/>
      <c r="P308" s="189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IFERROR(__xludf.DUMMYFUNCTION("IMPORTRANGE(""https://docs.google.com/spreadsheets/d/1IYY_tgx_IHuhSq3AJ5eI5OnqOPBNLWSHKh2a30DoXe8/edit?usp=sharing"",""นราธิวาส!I214"")"),0)</f>
        <v>0</v>
      </c>
      <c r="J309" s="339">
        <f ca="1">IFERROR(__xludf.DUMMYFUNCTION("IMPORTRANGE(""https://docs.google.com/spreadsheets/d/1IYY_tgx_IHuhSq3AJ5eI5OnqOPBNLWSHKh2a30DoXe8/edit?usp=sharing"",""นราธิวาส!J214"")"),0)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52" t="s">
        <v>17</v>
      </c>
      <c r="E310" s="543"/>
      <c r="F310" s="543"/>
      <c r="G310" s="54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5">
      <c r="A313" s="162"/>
      <c r="B313" s="163"/>
      <c r="C313" s="163" t="s">
        <v>16</v>
      </c>
      <c r="D313" s="164" t="s">
        <v>38</v>
      </c>
      <c r="E313" s="165"/>
      <c r="F313" s="165"/>
      <c r="G313" s="166" t="s">
        <v>39</v>
      </c>
      <c r="H313" s="167" t="s">
        <v>12</v>
      </c>
      <c r="I313" s="168" t="s">
        <v>40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 x14ac:dyDescent="0.35">
      <c r="A314" s="162"/>
      <c r="B314" s="163"/>
      <c r="C314" s="163"/>
      <c r="D314" s="172"/>
      <c r="E314" s="165"/>
      <c r="F314" s="165" t="s">
        <v>40</v>
      </c>
      <c r="G314" s="166" t="s">
        <v>41</v>
      </c>
      <c r="H314" s="167" t="s">
        <v>12</v>
      </c>
      <c r="I314" s="168"/>
      <c r="J314" s="168"/>
      <c r="K314" s="169"/>
      <c r="L314" s="173">
        <f ca="1">L315+L316</f>
        <v>0</v>
      </c>
      <c r="M314" s="174">
        <f ca="1">IFERROR(__xludf.DUMMYFUNCTION("IMPORTRANGE(""https://docs.google.com/spreadsheets/d/1Yj_ptqi66GCucihVvJfMjLAmec39IyEx_6qawtMGysU/edit?usp=sharing"",""สบก!DC85"")"),0)</f>
        <v>0</v>
      </c>
      <c r="N314" s="175">
        <f ca="1">IFERROR(__xludf.DUMMYFUNCTION("IMPORTRANGE(""https://docs.google.com/spreadsheets/d/1Yj_ptqi66GCucihVvJfMjLAmec39IyEx_6qawtMGysU/edit?usp=sharing"",""สบก!DD85"")"),0)</f>
        <v>0</v>
      </c>
      <c r="O314" s="176">
        <f ca="1">IF(L314&gt;0,N314*100/L314,0)</f>
        <v>0</v>
      </c>
      <c r="P314" s="176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2"/>
      <c r="E315" s="165"/>
      <c r="F315" s="165"/>
      <c r="G315" s="177" t="s">
        <v>42</v>
      </c>
      <c r="H315" s="167" t="s">
        <v>12</v>
      </c>
      <c r="I315" s="168"/>
      <c r="J315" s="168"/>
      <c r="K315" s="169"/>
      <c r="L315" s="174">
        <f ca="1">IFERROR(__xludf.DUMMYFUNCTION("IMPORTRANGE(""https://docs.google.com/spreadsheets/d/1Yj_ptqi66GCucihVvJfMjLAmec39IyEx_6qawtMGysU/edit?usp=sharing"",""สบก!CY85"")"),0)</f>
        <v>0</v>
      </c>
      <c r="M315" s="173"/>
      <c r="N315" s="173"/>
      <c r="O315" s="176"/>
      <c r="P315" s="176"/>
    </row>
    <row r="316" spans="1:16" ht="21.75" customHeight="1" x14ac:dyDescent="0.35">
      <c r="A316" s="162"/>
      <c r="B316" s="163"/>
      <c r="C316" s="163"/>
      <c r="D316" s="172"/>
      <c r="E316" s="165"/>
      <c r="F316" s="165"/>
      <c r="G316" s="177" t="s">
        <v>43</v>
      </c>
      <c r="H316" s="167" t="s">
        <v>12</v>
      </c>
      <c r="I316" s="168"/>
      <c r="J316" s="195"/>
      <c r="K316" s="231"/>
      <c r="L316" s="174">
        <f ca="1">IFERROR(__xludf.DUMMYFUNCTION("IMPORTRANGE(""https://docs.google.com/spreadsheets/d/1Yj_ptqi66GCucihVvJfMjLAmec39IyEx_6qawtMGysU/edit?usp=sharing"",""สบก!CZ85"")"),0)</f>
        <v>0</v>
      </c>
      <c r="M316" s="173"/>
      <c r="N316" s="173"/>
      <c r="O316" s="176"/>
      <c r="P316" s="176"/>
    </row>
    <row r="317" spans="1:16" ht="21.75" customHeight="1" x14ac:dyDescent="0.45">
      <c r="A317" s="178"/>
      <c r="B317" s="81"/>
      <c r="C317" s="82" t="s">
        <v>16</v>
      </c>
      <c r="D317" s="549" t="s">
        <v>23</v>
      </c>
      <c r="E317" s="545"/>
      <c r="F317" s="89"/>
      <c r="G317" s="83" t="s">
        <v>18</v>
      </c>
      <c r="H317" s="179" t="s">
        <v>12</v>
      </c>
      <c r="I317" s="168"/>
      <c r="J317" s="195"/>
      <c r="K317" s="231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80"/>
      <c r="B318" s="95"/>
      <c r="C318" s="95"/>
      <c r="D318" s="181"/>
      <c r="E318" s="96"/>
      <c r="F318" s="96"/>
      <c r="G318" s="97" t="s">
        <v>19</v>
      </c>
      <c r="H318" s="182" t="s">
        <v>12</v>
      </c>
      <c r="I318" s="168"/>
      <c r="J318" s="195"/>
      <c r="K318" s="231"/>
      <c r="L318" s="91">
        <f ca="1">IFERROR(__xludf.DUMMYFUNCTION("IMPORTRANGE(""https://docs.google.com/spreadsheets/d/1Yj_ptqi66GCucihVvJfMjLAmec39IyEx_6qawtMGysU/edit?usp=sharing"",""สบก!DA85"")"),0)</f>
        <v>0</v>
      </c>
      <c r="M318" s="101"/>
      <c r="N318" s="91">
        <f ca="1">IFERROR(__xludf.DUMMYFUNCTION("IMPORTRANGE(""https://docs.google.com/spreadsheets/d/1Yj_ptqi66GCucihVvJfMjLAmec39IyEx_6qawtMGysU/edit?usp=sharing"",""สบก!DE85"")"),0)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3"/>
      <c r="B319" s="184"/>
      <c r="C319" s="163" t="s">
        <v>16</v>
      </c>
      <c r="D319" s="185" t="s">
        <v>44</v>
      </c>
      <c r="E319" s="186"/>
      <c r="F319" s="186"/>
      <c r="G319" s="187"/>
      <c r="H319" s="188"/>
      <c r="I319" s="168"/>
      <c r="J319" s="195"/>
      <c r="K319" s="231"/>
      <c r="L319" s="176"/>
      <c r="M319" s="176"/>
      <c r="N319" s="176"/>
      <c r="O319" s="189"/>
      <c r="P319" s="189"/>
    </row>
    <row r="320" spans="1:16" ht="21.75" customHeight="1" x14ac:dyDescent="0.35">
      <c r="A320" s="183"/>
      <c r="B320" s="184"/>
      <c r="C320" s="184"/>
      <c r="D320" s="190">
        <v>1</v>
      </c>
      <c r="E320" s="191" t="s">
        <v>45</v>
      </c>
      <c r="F320" s="192"/>
      <c r="G320" s="193"/>
      <c r="H320" s="194"/>
      <c r="I320" s="195"/>
      <c r="J320" s="195">
        <f ca="1">IFERROR(__xludf.DUMMYFUNCTION("IMPORTRANGE(""https://docs.google.com/spreadsheets/d/1IYY_tgx_IHuhSq3AJ5eI5OnqOPBNLWSHKh2a30DoXe8/edit?usp=sharing"",""นราธิวาส!J220"")"),0)</f>
        <v>0</v>
      </c>
      <c r="K320" s="231"/>
      <c r="L320" s="176"/>
      <c r="M320" s="176"/>
      <c r="N320" s="176"/>
      <c r="O320" s="189"/>
      <c r="P320" s="189"/>
    </row>
    <row r="321" spans="1:16" ht="21.75" customHeight="1" x14ac:dyDescent="0.35">
      <c r="A321" s="183"/>
      <c r="B321" s="184"/>
      <c r="C321" s="184"/>
      <c r="D321" s="197">
        <v>2</v>
      </c>
      <c r="E321" s="198" t="s">
        <v>46</v>
      </c>
      <c r="F321" s="199"/>
      <c r="G321" s="200"/>
      <c r="H321" s="194"/>
      <c r="I321" s="195"/>
      <c r="J321" s="195">
        <f ca="1">IFERROR(__xludf.DUMMYFUNCTION("IMPORTRANGE(""https://docs.google.com/spreadsheets/d/1IYY_tgx_IHuhSq3AJ5eI5OnqOPBNLWSHKh2a30DoXe8/edit?usp=sharing"",""นราธิวาส!J221"")"),0)</f>
        <v>0</v>
      </c>
      <c r="K321" s="231"/>
      <c r="L321" s="176" t="s">
        <v>40</v>
      </c>
      <c r="M321" s="176"/>
      <c r="N321" s="176" t="s">
        <v>40</v>
      </c>
      <c r="O321" s="189"/>
      <c r="P321" s="189"/>
    </row>
    <row r="322" spans="1:16" ht="21.75" customHeight="1" x14ac:dyDescent="0.35">
      <c r="A322" s="183"/>
      <c r="B322" s="184"/>
      <c r="C322" s="184"/>
      <c r="D322" s="201"/>
      <c r="E322" s="202" t="s">
        <v>47</v>
      </c>
      <c r="F322" s="203"/>
      <c r="G322" s="204"/>
      <c r="H322" s="194"/>
      <c r="I322" s="195"/>
      <c r="J322" s="195">
        <f ca="1">IFERROR(__xludf.DUMMYFUNCTION("IMPORTRANGE(""https://docs.google.com/spreadsheets/d/1IYY_tgx_IHuhSq3AJ5eI5OnqOPBNLWSHKh2a30DoXe8/edit?usp=sharing"",""นราธิวาส!J222"")"),0)</f>
        <v>0</v>
      </c>
      <c r="K322" s="231"/>
      <c r="L322" s="176"/>
      <c r="M322" s="176"/>
      <c r="N322" s="176"/>
      <c r="O322" s="189"/>
      <c r="P322" s="189"/>
    </row>
    <row r="323" spans="1:16" ht="21.75" customHeight="1" x14ac:dyDescent="0.35">
      <c r="A323" s="183"/>
      <c r="B323" s="184"/>
      <c r="C323" s="184"/>
      <c r="D323" s="201"/>
      <c r="E323" s="202" t="s">
        <v>48</v>
      </c>
      <c r="F323" s="203"/>
      <c r="G323" s="204"/>
      <c r="H323" s="194"/>
      <c r="I323" s="195"/>
      <c r="J323" s="195">
        <f ca="1">IFERROR(__xludf.DUMMYFUNCTION("IMPORTRANGE(""https://docs.google.com/spreadsheets/d/1IYY_tgx_IHuhSq3AJ5eI5OnqOPBNLWSHKh2a30DoXe8/edit?usp=sharing"",""นราธิวาส!J223"")"),0)</f>
        <v>0</v>
      </c>
      <c r="K323" s="231"/>
      <c r="L323" s="176"/>
      <c r="M323" s="176"/>
      <c r="N323" s="176"/>
      <c r="O323" s="189"/>
      <c r="P323" s="189"/>
    </row>
    <row r="324" spans="1:16" ht="21.75" customHeight="1" x14ac:dyDescent="0.35">
      <c r="A324" s="183"/>
      <c r="B324" s="184"/>
      <c r="C324" s="184"/>
      <c r="D324" s="201"/>
      <c r="E324" s="206"/>
      <c r="F324" s="202" t="s">
        <v>117</v>
      </c>
      <c r="G324" s="204"/>
      <c r="H324" s="194" t="s">
        <v>116</v>
      </c>
      <c r="I324" s="195">
        <f ca="1">IFERROR(__xludf.DUMMYFUNCTION("IMPORTRANGE(""https://docs.google.com/spreadsheets/d/1IYY_tgx_IHuhSq3AJ5eI5OnqOPBNLWSHKh2a30DoXe8/edit?usp=sharing"",""นราธิวาส!I224"")"),0)</f>
        <v>0</v>
      </c>
      <c r="J324" s="211">
        <f ca="1">IFERROR(__xludf.DUMMYFUNCTION("IMPORTRANGE(""https://docs.google.com/spreadsheets/d/1IYY_tgx_IHuhSq3AJ5eI5OnqOPBNLWSHKh2a30DoXe8/edit?usp=sharing"",""นราธิวาส!J224"")"),0)</f>
        <v>0</v>
      </c>
      <c r="K324" s="231">
        <f ca="1">IF(I324&gt;0,J324*100/I324,0)</f>
        <v>0</v>
      </c>
      <c r="L324" s="176"/>
      <c r="M324" s="176"/>
      <c r="N324" s="176"/>
      <c r="O324" s="189"/>
      <c r="P324" s="189"/>
    </row>
    <row r="325" spans="1:16" ht="21.75" customHeight="1" x14ac:dyDescent="0.35">
      <c r="A325" s="183"/>
      <c r="B325" s="184"/>
      <c r="C325" s="184"/>
      <c r="D325" s="201"/>
      <c r="E325" s="202" t="s">
        <v>54</v>
      </c>
      <c r="F325" s="203"/>
      <c r="G325" s="204"/>
      <c r="H325" s="194"/>
      <c r="I325" s="195"/>
      <c r="J325" s="195">
        <f ca="1">IFERROR(__xludf.DUMMYFUNCTION("IMPORTRANGE(""https://docs.google.com/spreadsheets/d/1IYY_tgx_IHuhSq3AJ5eI5OnqOPBNLWSHKh2a30DoXe8/edit?usp=sharing"",""นราธิวาส!J225"")"),0)</f>
        <v>0</v>
      </c>
      <c r="K325" s="231"/>
      <c r="L325" s="176"/>
      <c r="M325" s="176"/>
      <c r="N325" s="176"/>
      <c r="O325" s="189"/>
      <c r="P325" s="189"/>
    </row>
    <row r="326" spans="1:16" ht="21.75" customHeight="1" x14ac:dyDescent="0.35">
      <c r="A326" s="183"/>
      <c r="B326" s="184"/>
      <c r="C326" s="184"/>
      <c r="D326" s="213">
        <v>3</v>
      </c>
      <c r="E326" s="214" t="s">
        <v>55</v>
      </c>
      <c r="F326" s="215"/>
      <c r="G326" s="216"/>
      <c r="H326" s="194"/>
      <c r="I326" s="195"/>
      <c r="J326" s="234">
        <f ca="1">IFERROR(__xludf.DUMMYFUNCTION("IMPORTRANGE(""https://docs.google.com/spreadsheets/d/1IYY_tgx_IHuhSq3AJ5eI5OnqOPBNLWSHKh2a30DoXe8/edit?usp=sharing"",""นราธิวาส!J226"")"),0)</f>
        <v>0</v>
      </c>
      <c r="K326" s="231"/>
      <c r="L326" s="176"/>
      <c r="M326" s="176"/>
      <c r="N326" s="176"/>
      <c r="O326" s="189"/>
      <c r="P326" s="189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IFERROR(__xludf.DUMMYFUNCTION("IMPORTRANGE(""https://docs.google.com/spreadsheets/d/1IYY_tgx_IHuhSq3AJ5eI5OnqOPBNLWSHKh2a30DoXe8/edit?usp=sharing"",""นราธิวาส!I228"")"),65)</f>
        <v>65</v>
      </c>
      <c r="J328" s="345">
        <f ca="1">IFERROR(__xludf.DUMMYFUNCTION("IMPORTRANGE(""https://docs.google.com/spreadsheets/d/1IYY_tgx_IHuhSq3AJ5eI5OnqOPBNLWSHKh2a30DoXe8/edit?usp=sharing"",""นราธิวาส!J228"")"),0)</f>
        <v>0</v>
      </c>
      <c r="K328" s="323">
        <f ca="1">IF(I328&gt;0,J328*100/I328,0)</f>
        <v>0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52" t="s">
        <v>17</v>
      </c>
      <c r="E329" s="543"/>
      <c r="F329" s="543"/>
      <c r="G329" s="543"/>
      <c r="H329" s="153" t="s">
        <v>12</v>
      </c>
      <c r="I329" s="168"/>
      <c r="J329" s="168"/>
      <c r="K329" s="169"/>
      <c r="L329" s="156">
        <f t="shared" ref="L329:N329" ca="1" si="98">L330+L331</f>
        <v>721520</v>
      </c>
      <c r="M329" s="156">
        <f t="shared" ca="1" si="98"/>
        <v>364380</v>
      </c>
      <c r="N329" s="156">
        <f t="shared" ca="1" si="98"/>
        <v>269938</v>
      </c>
      <c r="O329" s="155">
        <f t="shared" ref="O329:O331" ca="1" si="99">IF(L329&gt;0,N329*100/L329,0)</f>
        <v>37.412407140481207</v>
      </c>
      <c r="P329" s="155">
        <f t="shared" ref="P329:P331" ca="1" si="100">IF(M329&gt;0,N329*100/M329,0)</f>
        <v>74.081453427740271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8"/>
      <c r="J330" s="168"/>
      <c r="K330" s="169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8"/>
      <c r="J331" s="168"/>
      <c r="K331" s="169"/>
      <c r="L331" s="161">
        <f t="shared" ref="L331:N331" ca="1" si="102">L333+L337</f>
        <v>721520</v>
      </c>
      <c r="M331" s="161">
        <f t="shared" ca="1" si="102"/>
        <v>364380</v>
      </c>
      <c r="N331" s="161">
        <f t="shared" ca="1" si="102"/>
        <v>269938</v>
      </c>
      <c r="O331" s="160">
        <f t="shared" ca="1" si="99"/>
        <v>37.412407140481207</v>
      </c>
      <c r="P331" s="160">
        <f t="shared" ca="1" si="100"/>
        <v>74.081453427740271</v>
      </c>
    </row>
    <row r="332" spans="1:16" ht="21.75" customHeight="1" x14ac:dyDescent="0.35">
      <c r="A332" s="162"/>
      <c r="B332" s="163"/>
      <c r="C332" s="163" t="s">
        <v>16</v>
      </c>
      <c r="D332" s="164" t="s">
        <v>38</v>
      </c>
      <c r="E332" s="165"/>
      <c r="F332" s="165"/>
      <c r="G332" s="166" t="s">
        <v>39</v>
      </c>
      <c r="H332" s="167" t="s">
        <v>12</v>
      </c>
      <c r="I332" s="168" t="s">
        <v>40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 x14ac:dyDescent="0.35">
      <c r="A333" s="162"/>
      <c r="B333" s="163"/>
      <c r="C333" s="163"/>
      <c r="D333" s="172"/>
      <c r="E333" s="165"/>
      <c r="F333" s="165" t="s">
        <v>40</v>
      </c>
      <c r="G333" s="166" t="s">
        <v>41</v>
      </c>
      <c r="H333" s="167" t="s">
        <v>12</v>
      </c>
      <c r="I333" s="168"/>
      <c r="J333" s="168"/>
      <c r="K333" s="169"/>
      <c r="L333" s="173">
        <f ca="1">L334+L335</f>
        <v>721520</v>
      </c>
      <c r="M333" s="174">
        <f ca="1">IFERROR(__xludf.DUMMYFUNCTION("IMPORTRANGE(""https://docs.google.com/spreadsheets/d/1Yj_ptqi66GCucihVvJfMjLAmec39IyEx_6qawtMGysU/edit?usp=sharing"",""สบก!DL85"")"),364380)</f>
        <v>364380</v>
      </c>
      <c r="N333" s="175">
        <f ca="1">IFERROR(__xludf.DUMMYFUNCTION("IMPORTRANGE(""https://docs.google.com/spreadsheets/d/1Yj_ptqi66GCucihVvJfMjLAmec39IyEx_6qawtMGysU/edit?usp=sharing"",""สบก!DM85"")"),269938)</f>
        <v>269938</v>
      </c>
      <c r="O333" s="176">
        <f ca="1">IF(L333&gt;0,N333*100/L333,0)</f>
        <v>37.412407140481207</v>
      </c>
      <c r="P333" s="176">
        <f ca="1">IF(M333&gt;0,N333*100/M333,0)</f>
        <v>74.081453427740271</v>
      </c>
    </row>
    <row r="334" spans="1:16" ht="21.75" customHeight="1" x14ac:dyDescent="0.35">
      <c r="A334" s="162"/>
      <c r="B334" s="163"/>
      <c r="C334" s="163"/>
      <c r="D334" s="172"/>
      <c r="E334" s="165"/>
      <c r="F334" s="165"/>
      <c r="G334" s="177" t="s">
        <v>42</v>
      </c>
      <c r="H334" s="167" t="s">
        <v>12</v>
      </c>
      <c r="I334" s="168"/>
      <c r="J334" s="168"/>
      <c r="K334" s="169"/>
      <c r="L334" s="174">
        <f ca="1">IFERROR(__xludf.DUMMYFUNCTION("IMPORTRANGE(""https://docs.google.com/spreadsheets/d/1Yj_ptqi66GCucihVvJfMjLAmec39IyEx_6qawtMGysU/edit?usp=sharing"",""สบก!DH85"")"),506800)</f>
        <v>506800</v>
      </c>
      <c r="M334" s="173"/>
      <c r="N334" s="173"/>
      <c r="O334" s="176"/>
      <c r="P334" s="176"/>
    </row>
    <row r="335" spans="1:16" ht="21.75" customHeight="1" x14ac:dyDescent="0.35">
      <c r="A335" s="162"/>
      <c r="B335" s="163"/>
      <c r="C335" s="163"/>
      <c r="D335" s="172"/>
      <c r="E335" s="165"/>
      <c r="F335" s="165"/>
      <c r="G335" s="177" t="s">
        <v>43</v>
      </c>
      <c r="H335" s="167" t="s">
        <v>12</v>
      </c>
      <c r="I335" s="168"/>
      <c r="J335" s="168"/>
      <c r="K335" s="169"/>
      <c r="L335" s="174">
        <f ca="1">IFERROR(__xludf.DUMMYFUNCTION("IMPORTRANGE(""https://docs.google.com/spreadsheets/d/1Yj_ptqi66GCucihVvJfMjLAmec39IyEx_6qawtMGysU/edit?usp=sharing"",""สบก!DI85"")"),214720)</f>
        <v>214720</v>
      </c>
      <c r="M335" s="173"/>
      <c r="N335" s="173"/>
      <c r="O335" s="176"/>
      <c r="P335" s="176"/>
    </row>
    <row r="336" spans="1:16" ht="21.75" customHeight="1" x14ac:dyDescent="0.45">
      <c r="A336" s="178"/>
      <c r="B336" s="81"/>
      <c r="C336" s="82" t="s">
        <v>16</v>
      </c>
      <c r="D336" s="549" t="s">
        <v>23</v>
      </c>
      <c r="E336" s="545"/>
      <c r="F336" s="89"/>
      <c r="G336" s="83" t="s">
        <v>18</v>
      </c>
      <c r="H336" s="179" t="s">
        <v>12</v>
      </c>
      <c r="I336" s="168"/>
      <c r="J336" s="168"/>
      <c r="K336" s="169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80"/>
      <c r="B337" s="95"/>
      <c r="C337" s="95"/>
      <c r="D337" s="181"/>
      <c r="E337" s="96"/>
      <c r="F337" s="96"/>
      <c r="G337" s="97" t="s">
        <v>19</v>
      </c>
      <c r="H337" s="182" t="s">
        <v>12</v>
      </c>
      <c r="I337" s="168"/>
      <c r="J337" s="168"/>
      <c r="K337" s="169"/>
      <c r="L337" s="91">
        <f ca="1">IFERROR(__xludf.DUMMYFUNCTION("IMPORTRANGE(""https://docs.google.com/spreadsheets/d/1Yj_ptqi66GCucihVvJfMjLAmec39IyEx_6qawtMGysU/edit?usp=sharing"",""สบก!DJ85"")"),0)</f>
        <v>0</v>
      </c>
      <c r="M337" s="101"/>
      <c r="N337" s="91">
        <f ca="1">IFERROR(__xludf.DUMMYFUNCTION("IMPORTRANGE(""https://docs.google.com/spreadsheets/d/1Yj_ptqi66GCucihVvJfMjLAmec39IyEx_6qawtMGysU/edit?usp=sharing"",""สบก!DN85"")"),0)</f>
        <v>0</v>
      </c>
      <c r="O337" s="101">
        <f ca="1">IF(L337&gt;0,N337*100/L337,0)</f>
        <v>0</v>
      </c>
      <c r="P337" s="101"/>
    </row>
    <row r="338" spans="1:16" ht="21.75" customHeight="1" x14ac:dyDescent="0.35">
      <c r="A338" s="183"/>
      <c r="B338" s="297"/>
      <c r="C338" s="346" t="s">
        <v>120</v>
      </c>
      <c r="D338" s="203"/>
      <c r="E338" s="203"/>
      <c r="F338" s="203"/>
      <c r="G338" s="204"/>
      <c r="H338" s="188"/>
      <c r="I338" s="347"/>
      <c r="J338" s="347"/>
      <c r="K338" s="348"/>
      <c r="L338" s="189"/>
      <c r="M338" s="189"/>
      <c r="N338" s="189"/>
      <c r="O338" s="349"/>
      <c r="P338" s="349"/>
    </row>
    <row r="339" spans="1:16" ht="21.75" customHeight="1" x14ac:dyDescent="0.35">
      <c r="A339" s="183"/>
      <c r="B339" s="297"/>
      <c r="C339" s="184"/>
      <c r="D339" s="203"/>
      <c r="E339" s="202" t="s">
        <v>121</v>
      </c>
      <c r="F339" s="203"/>
      <c r="G339" s="204"/>
      <c r="H339" s="350" t="s">
        <v>37</v>
      </c>
      <c r="I339" s="211">
        <f ca="1">IFERROR(__xludf.DUMMYFUNCTION("IMPORTRANGE(""https://docs.google.com/spreadsheets/d/1IYY_tgx_IHuhSq3AJ5eI5OnqOPBNLWSHKh2a30DoXe8/edit?usp=sharing"",""นราธิวาส!I234"")"),0)</f>
        <v>0</v>
      </c>
      <c r="J339" s="195">
        <f ca="1">IFERROR(__xludf.DUMMYFUNCTION("IMPORTRANGE(""https://docs.google.com/spreadsheets/d/1IYY_tgx_IHuhSq3AJ5eI5OnqOPBNLWSHKh2a30DoXe8/edit?usp=sharing"",""นราธิวาส!J234"")"),11)</f>
        <v>11</v>
      </c>
      <c r="K339" s="348">
        <f t="shared" ref="K339:K346" ca="1" si="103">IF(I339&gt;0,J339*100/I339,0)</f>
        <v>0</v>
      </c>
      <c r="L339" s="189"/>
      <c r="M339" s="189"/>
      <c r="N339" s="189"/>
      <c r="O339" s="349"/>
      <c r="P339" s="349"/>
    </row>
    <row r="340" spans="1:16" ht="21.75" customHeight="1" x14ac:dyDescent="0.35">
      <c r="A340" s="183"/>
      <c r="B340" s="297"/>
      <c r="C340" s="184"/>
      <c r="D340" s="203"/>
      <c r="E340" s="203"/>
      <c r="F340" s="203"/>
      <c r="G340" s="204"/>
      <c r="H340" s="350" t="s">
        <v>122</v>
      </c>
      <c r="I340" s="195">
        <f ca="1">IFERROR(__xludf.DUMMYFUNCTION("IMPORTRANGE(""https://docs.google.com/spreadsheets/d/1IYY_tgx_IHuhSq3AJ5eI5OnqOPBNLWSHKh2a30DoXe8/edit?usp=sharing"",""นราธิวาส!I235"")"),165)</f>
        <v>165</v>
      </c>
      <c r="J340" s="195">
        <f ca="1">IFERROR(__xludf.DUMMYFUNCTION("IMPORTRANGE(""https://docs.google.com/spreadsheets/d/1IYY_tgx_IHuhSq3AJ5eI5OnqOPBNLWSHKh2a30DoXe8/edit?usp=sharing"",""นราธิวาส!J235"")"),83.55)</f>
        <v>83.55</v>
      </c>
      <c r="K340" s="348">
        <f t="shared" ca="1" si="103"/>
        <v>50.636363636363633</v>
      </c>
      <c r="L340" s="189"/>
      <c r="M340" s="189"/>
      <c r="N340" s="189"/>
      <c r="O340" s="349"/>
      <c r="P340" s="349"/>
    </row>
    <row r="341" spans="1:16" ht="21.75" customHeight="1" x14ac:dyDescent="0.35">
      <c r="A341" s="183"/>
      <c r="B341" s="297"/>
      <c r="C341" s="184"/>
      <c r="D341" s="203"/>
      <c r="E341" s="202" t="s">
        <v>123</v>
      </c>
      <c r="F341" s="203"/>
      <c r="G341" s="204"/>
      <c r="H341" s="188" t="s">
        <v>37</v>
      </c>
      <c r="I341" s="195">
        <f ca="1">IFERROR(__xludf.DUMMYFUNCTION("IMPORTRANGE(""https://docs.google.com/spreadsheets/d/1IYY_tgx_IHuhSq3AJ5eI5OnqOPBNLWSHKh2a30DoXe8/edit?usp=sharing"",""นราธิวาส!I236"")"),65)</f>
        <v>65</v>
      </c>
      <c r="J341" s="195">
        <f ca="1">IFERROR(__xludf.DUMMYFUNCTION("IMPORTRANGE(""https://docs.google.com/spreadsheets/d/1IYY_tgx_IHuhSq3AJ5eI5OnqOPBNLWSHKh2a30DoXe8/edit?usp=sharing"",""นราธิวาส!J236"")"),11)</f>
        <v>11</v>
      </c>
      <c r="K341" s="348">
        <f t="shared" ca="1" si="103"/>
        <v>16.923076923076923</v>
      </c>
      <c r="L341" s="189"/>
      <c r="M341" s="189"/>
      <c r="N341" s="189"/>
      <c r="O341" s="349"/>
      <c r="P341" s="349"/>
    </row>
    <row r="342" spans="1:16" ht="21.75" customHeight="1" x14ac:dyDescent="0.35">
      <c r="A342" s="183"/>
      <c r="B342" s="297"/>
      <c r="C342" s="184"/>
      <c r="D342" s="203"/>
      <c r="E342" s="203"/>
      <c r="F342" s="203"/>
      <c r="G342" s="204"/>
      <c r="H342" s="188" t="s">
        <v>122</v>
      </c>
      <c r="I342" s="351">
        <f ca="1">IFERROR(__xludf.DUMMYFUNCTION("IMPORTRANGE(""https://docs.google.com/spreadsheets/d/1IYY_tgx_IHuhSq3AJ5eI5OnqOPBNLWSHKh2a30DoXe8/edit?usp=sharing"",""นราธิวาส!I237"")"),0)</f>
        <v>0</v>
      </c>
      <c r="J342" s="195">
        <f ca="1">IFERROR(__xludf.DUMMYFUNCTION("IMPORTRANGE(""https://docs.google.com/spreadsheets/d/1IYY_tgx_IHuhSq3AJ5eI5OnqOPBNLWSHKh2a30DoXe8/edit?usp=sharing"",""นราธิวาส!J237"")"),77.89)</f>
        <v>77.89</v>
      </c>
      <c r="K342" s="348">
        <f t="shared" ca="1" si="103"/>
        <v>0</v>
      </c>
      <c r="L342" s="189"/>
      <c r="M342" s="189"/>
      <c r="N342" s="189"/>
      <c r="O342" s="349"/>
      <c r="P342" s="349"/>
    </row>
    <row r="343" spans="1:16" ht="21.75" customHeight="1" x14ac:dyDescent="0.35">
      <c r="A343" s="183"/>
      <c r="B343" s="297"/>
      <c r="C343" s="184"/>
      <c r="D343" s="203"/>
      <c r="E343" s="202" t="s">
        <v>124</v>
      </c>
      <c r="F343" s="203"/>
      <c r="G343" s="204"/>
      <c r="H343" s="188" t="s">
        <v>37</v>
      </c>
      <c r="I343" s="195">
        <f ca="1">IFERROR(__xludf.DUMMYFUNCTION("IMPORTRANGE(""https://docs.google.com/spreadsheets/d/1IYY_tgx_IHuhSq3AJ5eI5OnqOPBNLWSHKh2a30DoXe8/edit?usp=sharing"",""นราธิวาส!I238"")"),65)</f>
        <v>65</v>
      </c>
      <c r="J343" s="195">
        <f ca="1">IFERROR(__xludf.DUMMYFUNCTION("IMPORTRANGE(""https://docs.google.com/spreadsheets/d/1IYY_tgx_IHuhSq3AJ5eI5OnqOPBNLWSHKh2a30DoXe8/edit?usp=sharing"",""นราธิวาส!J238"")"),0)</f>
        <v>0</v>
      </c>
      <c r="K343" s="348">
        <f t="shared" ca="1" si="103"/>
        <v>0</v>
      </c>
      <c r="L343" s="189"/>
      <c r="M343" s="189"/>
      <c r="N343" s="189"/>
      <c r="O343" s="349"/>
      <c r="P343" s="349"/>
    </row>
    <row r="344" spans="1:16" ht="21.75" customHeight="1" x14ac:dyDescent="0.35">
      <c r="A344" s="183"/>
      <c r="B344" s="297"/>
      <c r="C344" s="184"/>
      <c r="D344" s="203"/>
      <c r="E344" s="203"/>
      <c r="F344" s="203"/>
      <c r="G344" s="204"/>
      <c r="H344" s="188" t="s">
        <v>122</v>
      </c>
      <c r="I344" s="351">
        <f ca="1">IFERROR(__xludf.DUMMYFUNCTION("IMPORTRANGE(""https://docs.google.com/spreadsheets/d/1IYY_tgx_IHuhSq3AJ5eI5OnqOPBNLWSHKh2a30DoXe8/edit?usp=sharing"",""นราธิวาส!I239"")"),0)</f>
        <v>0</v>
      </c>
      <c r="J344" s="195">
        <f ca="1">IFERROR(__xludf.DUMMYFUNCTION("IMPORTRANGE(""https://docs.google.com/spreadsheets/d/1IYY_tgx_IHuhSq3AJ5eI5OnqOPBNLWSHKh2a30DoXe8/edit?usp=sharing"",""นราธิวาส!J239"")"),0)</f>
        <v>0</v>
      </c>
      <c r="K344" s="348">
        <f t="shared" ca="1" si="103"/>
        <v>0</v>
      </c>
      <c r="L344" s="189"/>
      <c r="M344" s="189"/>
      <c r="N344" s="189"/>
      <c r="O344" s="349"/>
      <c r="P344" s="349"/>
    </row>
    <row r="345" spans="1:16" ht="21.75" customHeight="1" x14ac:dyDescent="0.35">
      <c r="A345" s="183"/>
      <c r="B345" s="297"/>
      <c r="C345" s="184"/>
      <c r="D345" s="203"/>
      <c r="E345" s="202" t="s">
        <v>125</v>
      </c>
      <c r="F345" s="203"/>
      <c r="G345" s="204"/>
      <c r="H345" s="188" t="s">
        <v>37</v>
      </c>
      <c r="I345" s="195">
        <f ca="1">IFERROR(__xludf.DUMMYFUNCTION("IMPORTRANGE(""https://docs.google.com/spreadsheets/d/1IYY_tgx_IHuhSq3AJ5eI5OnqOPBNLWSHKh2a30DoXe8/edit?usp=sharing"",""นราธิวาส!I240"")"),65)</f>
        <v>65</v>
      </c>
      <c r="J345" s="195">
        <f ca="1">IFERROR(__xludf.DUMMYFUNCTION("IMPORTRANGE(""https://docs.google.com/spreadsheets/d/1IYY_tgx_IHuhSq3AJ5eI5OnqOPBNLWSHKh2a30DoXe8/edit?usp=sharing"",""นราธิวาส!J240"")"),0)</f>
        <v>0</v>
      </c>
      <c r="K345" s="348">
        <f t="shared" ca="1" si="103"/>
        <v>0</v>
      </c>
      <c r="L345" s="189"/>
      <c r="M345" s="189"/>
      <c r="N345" s="189"/>
      <c r="O345" s="349"/>
      <c r="P345" s="349"/>
    </row>
    <row r="346" spans="1:16" ht="21.75" customHeight="1" x14ac:dyDescent="0.35">
      <c r="A346" s="241"/>
      <c r="B346" s="352"/>
      <c r="C346" s="242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IFERROR(__xludf.DUMMYFUNCTION("IMPORTRANGE(""https://docs.google.com/spreadsheets/d/1IYY_tgx_IHuhSq3AJ5eI5OnqOPBNLWSHKh2a30DoXe8/edit?usp=sharing"",""นราธิวาส!I241"")"),0)</f>
        <v>0</v>
      </c>
      <c r="J346" s="195">
        <f ca="1">IFERROR(__xludf.DUMMYFUNCTION("IMPORTRANGE(""https://docs.google.com/spreadsheets/d/1IYY_tgx_IHuhSq3AJ5eI5OnqOPBNLWSHKh2a30DoXe8/edit?usp=sharing"",""นราธิวาส!J241"")"),0)</f>
        <v>0</v>
      </c>
      <c r="K346" s="357">
        <f t="shared" ca="1" si="103"/>
        <v>0</v>
      </c>
      <c r="L346" s="252"/>
      <c r="M346" s="252"/>
      <c r="N346" s="252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IFERROR(__xludf.DUMMYFUNCTION("IMPORTRANGE(""https://docs.google.com/spreadsheets/d/1IYY_tgx_IHuhSq3AJ5eI5OnqOPBNLWSHKh2a30DoXe8/edit?usp=sharing"",""นราธิวาส!L242"")"),1521708)</f>
        <v>1521708</v>
      </c>
      <c r="M347" s="364"/>
      <c r="N347" s="364">
        <f ca="1">IFERROR(__xludf.DUMMYFUNCTION("IMPORTRANGE(""https://docs.google.com/spreadsheets/d/1IYY_tgx_IHuhSq3AJ5eI5OnqOPBNLWSHKh2a30DoXe8/edit?usp=sharing"",""นราธิวาส!M242"")"),376299.74)</f>
        <v>376299.74</v>
      </c>
      <c r="O347" s="364">
        <f ca="1">+IF(L347&gt;0,N347*100/L347,0)</f>
        <v>24.728774508644236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IFERROR(__xludf.DUMMYFUNCTION("IMPORTRANGE(""https://docs.google.com/spreadsheets/d/1IYY_tgx_IHuhSq3AJ5eI5OnqOPBNLWSHKh2a30DoXe8/edit?usp=sharing"",""นราธิวาส!I244"")"),0)</f>
        <v>0</v>
      </c>
      <c r="J349" s="377">
        <f ca="1">IFERROR(__xludf.DUMMYFUNCTION("IMPORTRANGE(""https://docs.google.com/spreadsheets/d/1IYY_tgx_IHuhSq3AJ5eI5OnqOPBNLWSHKh2a30DoXe8/edit?usp=sharing"",""นราธิวาส!J244"")"),0)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IFERROR(__xludf.DUMMYFUNCTION("IMPORTRANGE(""https://docs.google.com/spreadsheets/d/1IYY_tgx_IHuhSq3AJ5eI5OnqOPBNLWSHKh2a30DoXe8/edit?usp=sharing"",""นราธิวาส!L244"")"),0)</f>
        <v>0</v>
      </c>
      <c r="M349" s="379"/>
      <c r="N349" s="379">
        <f ca="1">IFERROR(__xludf.DUMMYFUNCTION("IMPORTRANGE(""https://docs.google.com/spreadsheets/d/1IYY_tgx_IHuhSq3AJ5eI5OnqOPBNLWSHKh2a30DoXe8/edit?usp=sharing"",""นราธิวาส!M244"")"),0)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IFERROR(__xludf.DUMMYFUNCTION("IMPORTRANGE(""https://docs.google.com/spreadsheets/d/1IYY_tgx_IHuhSq3AJ5eI5OnqOPBNLWSHKh2a30DoXe8/edit?usp=sharing"",""นราธิวาส!I245"")"),0)</f>
        <v>0</v>
      </c>
      <c r="J350" s="377">
        <f ca="1">IFERROR(__xludf.DUMMYFUNCTION("IMPORTRANGE(""https://docs.google.com/spreadsheets/d/1IYY_tgx_IHuhSq3AJ5eI5OnqOPBNLWSHKh2a30DoXe8/edit?usp=sharing"",""นราธิวาส!J245"")"),0)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164" t="s">
        <v>38</v>
      </c>
      <c r="E351" s="165"/>
      <c r="F351" s="165"/>
      <c r="G351" s="166" t="s">
        <v>39</v>
      </c>
      <c r="H351" s="167" t="s">
        <v>12</v>
      </c>
      <c r="I351" s="168" t="s">
        <v>40</v>
      </c>
      <c r="J351" s="168"/>
      <c r="K351" s="169"/>
      <c r="L351" s="170">
        <f ca="1">IFERROR(__xludf.DUMMYFUNCTION("IMPORTRANGE(""https://docs.google.com/spreadsheets/d/1IYY_tgx_IHuhSq3AJ5eI5OnqOPBNLWSHKh2a30DoXe8/edit?usp=sharing"",""นราธิวาส!L246"")"),0)</f>
        <v>0</v>
      </c>
      <c r="M351" s="170"/>
      <c r="N351" s="170">
        <f ca="1">IFERROR(__xludf.DUMMYFUNCTION("IMPORTRANGE(""https://docs.google.com/spreadsheets/d/1IYY_tgx_IHuhSq3AJ5eI5OnqOPBNLWSHKh2a30DoXe8/edit?usp=sharing"",""นราธิวาส!M246"")"),0)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 x14ac:dyDescent="0.35">
      <c r="A352" s="162"/>
      <c r="B352" s="163"/>
      <c r="C352" s="163"/>
      <c r="D352" s="172"/>
      <c r="E352" s="165"/>
      <c r="F352" s="165" t="s">
        <v>40</v>
      </c>
      <c r="G352" s="166" t="s">
        <v>41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IFERROR(__xludf.DUMMYFUNCTION("IMPORTRANGE(""https://docs.google.com/spreadsheets/d/1IYY_tgx_IHuhSq3AJ5eI5OnqOPBNLWSHKh2a30DoXe8/edit?usp=sharing"",""นราธิวาส!L247"")"),0)</f>
        <v>0</v>
      </c>
      <c r="M352" s="171"/>
      <c r="N352" s="170">
        <f ca="1">IFERROR(__xludf.DUMMYFUNCTION("IMPORTRANGE(""https://docs.google.com/spreadsheets/d/1IYY_tgx_IHuhSq3AJ5eI5OnqOPBNLWSHKh2a30DoXe8/edit?usp=sharing"",""นราธิวาส!M247"")"),0)</f>
        <v>0</v>
      </c>
      <c r="O352" s="171">
        <f t="shared" ca="1" si="105"/>
        <v>0</v>
      </c>
      <c r="P352" s="171"/>
    </row>
    <row r="353" spans="1:16" ht="21.75" customHeight="1" x14ac:dyDescent="0.35">
      <c r="A353" s="162"/>
      <c r="B353" s="163"/>
      <c r="C353" s="163"/>
      <c r="D353" s="172"/>
      <c r="E353" s="165"/>
      <c r="F353" s="165"/>
      <c r="G353" s="380" t="s">
        <v>129</v>
      </c>
      <c r="H353" s="167" t="s">
        <v>12</v>
      </c>
      <c r="I353" s="168"/>
      <c r="J353" s="168"/>
      <c r="K353" s="169"/>
      <c r="L353" s="176">
        <f ca="1">IFERROR(__xludf.DUMMYFUNCTION("IMPORTRANGE(""https://docs.google.com/spreadsheets/d/1IYY_tgx_IHuhSq3AJ5eI5OnqOPBNLWSHKh2a30DoXe8/edit?usp=sharing"",""นราธิวาส!L248"")"),0)</f>
        <v>0</v>
      </c>
      <c r="M353" s="176"/>
      <c r="N353" s="176">
        <f ca="1">IFERROR(__xludf.DUMMYFUNCTION("IMPORTRANGE(""https://docs.google.com/spreadsheets/d/1IYY_tgx_IHuhSq3AJ5eI5OnqOPBNLWSHKh2a30DoXe8/edit?usp=sharing"",""นราธิวาส!M248"")"),0)</f>
        <v>0</v>
      </c>
      <c r="O353" s="176">
        <f t="shared" ca="1" si="105"/>
        <v>0</v>
      </c>
      <c r="P353" s="176"/>
    </row>
    <row r="354" spans="1:16" ht="21.75" customHeight="1" x14ac:dyDescent="0.35">
      <c r="A354" s="162"/>
      <c r="B354" s="163"/>
      <c r="C354" s="163"/>
      <c r="D354" s="172"/>
      <c r="E354" s="165"/>
      <c r="F354" s="165"/>
      <c r="G354" s="380" t="s">
        <v>130</v>
      </c>
      <c r="H354" s="167" t="s">
        <v>12</v>
      </c>
      <c r="I354" s="168"/>
      <c r="J354" s="168"/>
      <c r="K354" s="169"/>
      <c r="L354" s="176">
        <f ca="1">IFERROR(__xludf.DUMMYFUNCTION("IMPORTRANGE(""https://docs.google.com/spreadsheets/d/1IYY_tgx_IHuhSq3AJ5eI5OnqOPBNLWSHKh2a30DoXe8/edit?usp=sharing"",""นราธิวาส!L249"")"),0)</f>
        <v>0</v>
      </c>
      <c r="M354" s="176"/>
      <c r="N354" s="173">
        <f ca="1">IFERROR(__xludf.DUMMYFUNCTION("IMPORTRANGE(""https://docs.google.com/spreadsheets/d/1IYY_tgx_IHuhSq3AJ5eI5OnqOPBNLWSHKh2a30DoXe8/edit?usp=sharing"",""นราธิวาส!M249"")"),0)</f>
        <v>0</v>
      </c>
      <c r="O354" s="176">
        <f t="shared" ca="1" si="105"/>
        <v>0</v>
      </c>
      <c r="P354" s="176"/>
    </row>
    <row r="355" spans="1:16" ht="21.75" customHeight="1" x14ac:dyDescent="0.35">
      <c r="A355" s="381"/>
      <c r="B355" s="382"/>
      <c r="C355" s="163"/>
      <c r="D355" s="383"/>
      <c r="E355" s="165"/>
      <c r="F355" s="165"/>
      <c r="G355" s="384" t="s">
        <v>131</v>
      </c>
      <c r="H355" s="167" t="s">
        <v>12</v>
      </c>
      <c r="I355" s="195"/>
      <c r="J355" s="195"/>
      <c r="K355" s="231"/>
      <c r="L355" s="176"/>
      <c r="M355" s="176"/>
      <c r="N355" s="385">
        <f ca="1">IFERROR(__xludf.DUMMYFUNCTION("IMPORTRANGE(""https://docs.google.com/spreadsheets/d/1IYY_tgx_IHuhSq3AJ5eI5OnqOPBNLWSHKh2a30DoXe8/edit?usp=sharing"",""นราธิวาส!M250"")"),0)</f>
        <v>0</v>
      </c>
      <c r="O355" s="176"/>
      <c r="P355" s="176"/>
    </row>
    <row r="356" spans="1:16" ht="21.75" customHeight="1" x14ac:dyDescent="0.35">
      <c r="A356" s="381"/>
      <c r="B356" s="382"/>
      <c r="C356" s="163"/>
      <c r="D356" s="383"/>
      <c r="E356" s="165"/>
      <c r="F356" s="165"/>
      <c r="G356" s="384" t="s">
        <v>132</v>
      </c>
      <c r="H356" s="167" t="s">
        <v>12</v>
      </c>
      <c r="I356" s="195"/>
      <c r="J356" s="195"/>
      <c r="K356" s="231"/>
      <c r="L356" s="176"/>
      <c r="M356" s="176"/>
      <c r="N356" s="385">
        <f ca="1">IFERROR(__xludf.DUMMYFUNCTION("IMPORTRANGE(""https://docs.google.com/spreadsheets/d/1IYY_tgx_IHuhSq3AJ5eI5OnqOPBNLWSHKh2a30DoXe8/edit?usp=sharing"",""นราธิวาส!M251"")"),0)</f>
        <v>0</v>
      </c>
      <c r="O356" s="176"/>
      <c r="P356" s="176"/>
    </row>
    <row r="357" spans="1:16" ht="21.75" customHeight="1" x14ac:dyDescent="0.35">
      <c r="A357" s="381"/>
      <c r="B357" s="382"/>
      <c r="C357" s="163"/>
      <c r="D357" s="383"/>
      <c r="E357" s="165"/>
      <c r="F357" s="165"/>
      <c r="G357" s="384" t="s">
        <v>133</v>
      </c>
      <c r="H357" s="167" t="s">
        <v>12</v>
      </c>
      <c r="I357" s="195"/>
      <c r="J357" s="195"/>
      <c r="K357" s="231"/>
      <c r="L357" s="176"/>
      <c r="M357" s="176"/>
      <c r="N357" s="385">
        <f ca="1">IFERROR(__xludf.DUMMYFUNCTION("IMPORTRANGE(""https://docs.google.com/spreadsheets/d/1IYY_tgx_IHuhSq3AJ5eI5OnqOPBNLWSHKh2a30DoXe8/edit?usp=sharing"",""นราธิวาส!M252"")"),0)</f>
        <v>0</v>
      </c>
      <c r="O357" s="176"/>
      <c r="P357" s="176"/>
    </row>
    <row r="358" spans="1:16" ht="21.75" customHeight="1" x14ac:dyDescent="0.35">
      <c r="A358" s="381"/>
      <c r="B358" s="382"/>
      <c r="C358" s="163"/>
      <c r="D358" s="383"/>
      <c r="E358" s="165"/>
      <c r="F358" s="165"/>
      <c r="G358" s="384" t="s">
        <v>134</v>
      </c>
      <c r="H358" s="167" t="s">
        <v>12</v>
      </c>
      <c r="I358" s="195"/>
      <c r="J358" s="195"/>
      <c r="K358" s="231"/>
      <c r="L358" s="176"/>
      <c r="M358" s="176"/>
      <c r="N358" s="385">
        <f ca="1">IFERROR(__xludf.DUMMYFUNCTION("IMPORTRANGE(""https://docs.google.com/spreadsheets/d/1IYY_tgx_IHuhSq3AJ5eI5OnqOPBNLWSHKh2a30DoXe8/edit?usp=sharing"",""นราธิวาส!M253"")"),0)</f>
        <v>0</v>
      </c>
      <c r="O358" s="176"/>
      <c r="P358" s="176"/>
    </row>
    <row r="359" spans="1:16" ht="21.75" customHeight="1" x14ac:dyDescent="0.35">
      <c r="A359" s="183"/>
      <c r="B359" s="184"/>
      <c r="C359" s="163" t="s">
        <v>16</v>
      </c>
      <c r="D359" s="185" t="s">
        <v>44</v>
      </c>
      <c r="E359" s="186"/>
      <c r="F359" s="186"/>
      <c r="G359" s="187"/>
      <c r="H359" s="188"/>
      <c r="I359" s="168"/>
      <c r="J359" s="168"/>
      <c r="K359" s="169"/>
      <c r="L359" s="189"/>
      <c r="M359" s="189"/>
      <c r="N359" s="189"/>
      <c r="O359" s="189"/>
      <c r="P359" s="189"/>
    </row>
    <row r="360" spans="1:16" ht="21.75" customHeight="1" x14ac:dyDescent="0.35">
      <c r="A360" s="183"/>
      <c r="B360" s="184"/>
      <c r="C360" s="184"/>
      <c r="D360" s="190">
        <v>1</v>
      </c>
      <c r="E360" s="191" t="s">
        <v>45</v>
      </c>
      <c r="F360" s="192"/>
      <c r="G360" s="193"/>
      <c r="H360" s="194"/>
      <c r="I360" s="195"/>
      <c r="J360" s="205">
        <f ca="1">IFERROR(__xludf.DUMMYFUNCTION("IMPORTRANGE(""https://docs.google.com/spreadsheets/d/1IYY_tgx_IHuhSq3AJ5eI5OnqOPBNLWSHKh2a30DoXe8/edit?usp=sharing"",""นราธิวาส!J255"")"),0)</f>
        <v>0</v>
      </c>
      <c r="K360" s="169"/>
      <c r="L360" s="189"/>
      <c r="M360" s="189"/>
      <c r="N360" s="189"/>
      <c r="O360" s="189"/>
      <c r="P360" s="189"/>
    </row>
    <row r="361" spans="1:16" ht="21.75" customHeight="1" x14ac:dyDescent="0.35">
      <c r="A361" s="183"/>
      <c r="B361" s="184"/>
      <c r="C361" s="184"/>
      <c r="D361" s="197">
        <v>2</v>
      </c>
      <c r="E361" s="198" t="s">
        <v>46</v>
      </c>
      <c r="F361" s="199"/>
      <c r="G361" s="200"/>
      <c r="H361" s="194"/>
      <c r="I361" s="195"/>
      <c r="J361" s="196">
        <f ca="1">IFERROR(__xludf.DUMMYFUNCTION("IMPORTRANGE(""https://docs.google.com/spreadsheets/d/1IYY_tgx_IHuhSq3AJ5eI5OnqOPBNLWSHKh2a30DoXe8/edit?usp=sharing"",""นราธิวาส!J256"")"),0)</f>
        <v>0</v>
      </c>
      <c r="K361" s="169"/>
      <c r="L361" s="189" t="s">
        <v>40</v>
      </c>
      <c r="M361" s="189"/>
      <c r="N361" s="189" t="s">
        <v>40</v>
      </c>
      <c r="O361" s="189"/>
      <c r="P361" s="189"/>
    </row>
    <row r="362" spans="1:16" ht="21.75" customHeight="1" x14ac:dyDescent="0.35">
      <c r="A362" s="183"/>
      <c r="B362" s="184"/>
      <c r="C362" s="184"/>
      <c r="D362" s="201"/>
      <c r="E362" s="202" t="s">
        <v>47</v>
      </c>
      <c r="F362" s="203"/>
      <c r="G362" s="204"/>
      <c r="H362" s="194"/>
      <c r="I362" s="195"/>
      <c r="J362" s="196">
        <f ca="1">IFERROR(__xludf.DUMMYFUNCTION("IMPORTRANGE(""https://docs.google.com/spreadsheets/d/1IYY_tgx_IHuhSq3AJ5eI5OnqOPBNLWSHKh2a30DoXe8/edit?usp=sharing"",""นราธิวาส!J257"")"),0)</f>
        <v>0</v>
      </c>
      <c r="K362" s="169"/>
      <c r="L362" s="189"/>
      <c r="M362" s="189"/>
      <c r="N362" s="189"/>
      <c r="O362" s="189"/>
      <c r="P362" s="189"/>
    </row>
    <row r="363" spans="1:16" ht="21.75" customHeight="1" x14ac:dyDescent="0.35">
      <c r="A363" s="183"/>
      <c r="B363" s="184"/>
      <c r="C363" s="184"/>
      <c r="D363" s="201"/>
      <c r="E363" s="202" t="s">
        <v>48</v>
      </c>
      <c r="F363" s="203"/>
      <c r="G363" s="204"/>
      <c r="H363" s="194"/>
      <c r="I363" s="195"/>
      <c r="J363" s="205">
        <f ca="1">IFERROR(__xludf.DUMMYFUNCTION("IMPORTRANGE(""https://docs.google.com/spreadsheets/d/1IYY_tgx_IHuhSq3AJ5eI5OnqOPBNLWSHKh2a30DoXe8/edit?usp=sharing"",""นราธิวาส!J258"")"),0)</f>
        <v>0</v>
      </c>
      <c r="K363" s="169"/>
      <c r="L363" s="189"/>
      <c r="M363" s="189"/>
      <c r="N363" s="189"/>
      <c r="O363" s="189"/>
      <c r="P363" s="189"/>
    </row>
    <row r="364" spans="1:16" ht="21.75" hidden="1" customHeight="1" x14ac:dyDescent="0.35">
      <c r="A364" s="183"/>
      <c r="B364" s="184"/>
      <c r="C364" s="184"/>
      <c r="D364" s="201"/>
      <c r="E364" s="206"/>
      <c r="F364" s="202" t="s">
        <v>70</v>
      </c>
      <c r="G364" s="204"/>
      <c r="H364" s="188"/>
      <c r="I364" s="195"/>
      <c r="J364" s="195">
        <f ca="1">IFERROR(__xludf.DUMMYFUNCTION("IMPORTRANGE(""https://docs.google.com/spreadsheets/d/1IYY_tgx_IHuhSq3AJ5eI5OnqOPBNLWSHKh2a30DoXe8/edit?usp=sharing"",""นราธิวาส!J166"")"),0)</f>
        <v>0</v>
      </c>
      <c r="K364" s="169"/>
      <c r="L364" s="189"/>
      <c r="M364" s="189"/>
      <c r="N364" s="189"/>
      <c r="O364" s="189"/>
      <c r="P364" s="189"/>
    </row>
    <row r="365" spans="1:16" ht="21.75" hidden="1" customHeight="1" x14ac:dyDescent="0.35">
      <c r="A365" s="183"/>
      <c r="B365" s="184"/>
      <c r="C365" s="184"/>
      <c r="D365" s="201"/>
      <c r="E365" s="206"/>
      <c r="F365" s="203"/>
      <c r="G365" s="233" t="s">
        <v>135</v>
      </c>
      <c r="H365" s="188" t="s">
        <v>37</v>
      </c>
      <c r="I365" s="195">
        <f ca="1">IFERROR(__xludf.DUMMYFUNCTION("IMPORTRANGE(""https://docs.google.com/spreadsheets/d/1C3CXT74ZlgGe6_JY_1olB1XN4rF0dxEuIIF-xsYjHgg/edit?usp=sharing"",""งบกองทุน!f63"")"),0)</f>
        <v>0</v>
      </c>
      <c r="J365" s="195">
        <f ca="1">IFERROR(__xludf.DUMMYFUNCTION("IMPORTRANGE(""https://docs.google.com/spreadsheets/d/1IYY_tgx_IHuhSq3AJ5eI5OnqOPBNLWSHKh2a30DoXe8/edit?usp=sharing"",""นราธิวาส!J166"")"),0)</f>
        <v>0</v>
      </c>
      <c r="K365" s="169">
        <f ca="1">IF(I365&gt;0,J365*100/I365,0)</f>
        <v>0</v>
      </c>
      <c r="L365" s="189"/>
      <c r="M365" s="189"/>
      <c r="N365" s="189"/>
      <c r="O365" s="189"/>
      <c r="P365" s="189"/>
    </row>
    <row r="366" spans="1:16" ht="21.75" hidden="1" customHeight="1" x14ac:dyDescent="0.35">
      <c r="A366" s="183"/>
      <c r="B366" s="184"/>
      <c r="C366" s="184"/>
      <c r="D366" s="201"/>
      <c r="E366" s="206"/>
      <c r="F366" s="203"/>
      <c r="G366" s="204" t="s">
        <v>136</v>
      </c>
      <c r="H366" s="188"/>
      <c r="I366" s="168"/>
      <c r="J366" s="195">
        <f ca="1">IFERROR(__xludf.DUMMYFUNCTION("IMPORTRANGE(""https://docs.google.com/spreadsheets/d/1IYY_tgx_IHuhSq3AJ5eI5OnqOPBNLWSHKh2a30DoXe8/edit?usp=sharing"",""นราธิวาส!J166"")"),0)</f>
        <v>0</v>
      </c>
      <c r="K366" s="169"/>
      <c r="L366" s="189"/>
      <c r="M366" s="189"/>
      <c r="N366" s="189"/>
      <c r="O366" s="189"/>
      <c r="P366" s="189"/>
    </row>
    <row r="367" spans="1:16" ht="21.75" hidden="1" customHeight="1" x14ac:dyDescent="0.35">
      <c r="A367" s="183"/>
      <c r="B367" s="184"/>
      <c r="C367" s="184"/>
      <c r="D367" s="201"/>
      <c r="E367" s="206"/>
      <c r="F367" s="203"/>
      <c r="G367" s="233" t="s">
        <v>137</v>
      </c>
      <c r="H367" s="194" t="s">
        <v>122</v>
      </c>
      <c r="I367" s="195">
        <f ca="1">SUM(I369,I371)</f>
        <v>0</v>
      </c>
      <c r="J367" s="195">
        <f ca="1">IFERROR(__xludf.DUMMYFUNCTION("IMPORTRANGE(""https://docs.google.com/spreadsheets/d/1IYY_tgx_IHuhSq3AJ5eI5OnqOPBNLWSHKh2a30DoXe8/edit?usp=sharing"",""นราธิวาส!J166"")"),0)</f>
        <v>0</v>
      </c>
      <c r="K367" s="169">
        <f t="shared" ref="K367:K373" ca="1" si="106">IF(I367&gt;0,J367*100/I367,0)</f>
        <v>0</v>
      </c>
      <c r="L367" s="189"/>
      <c r="M367" s="189"/>
      <c r="N367" s="189"/>
      <c r="O367" s="189"/>
      <c r="P367" s="189"/>
    </row>
    <row r="368" spans="1:16" ht="21.75" customHeight="1" x14ac:dyDescent="0.35">
      <c r="A368" s="183"/>
      <c r="B368" s="184"/>
      <c r="C368" s="184"/>
      <c r="D368" s="201"/>
      <c r="E368" s="206"/>
      <c r="F368" s="386" t="s">
        <v>138</v>
      </c>
      <c r="G368" s="387"/>
      <c r="H368" s="194" t="s">
        <v>37</v>
      </c>
      <c r="I368" s="168">
        <f ca="1">IFERROR(__xludf.DUMMYFUNCTION("IMPORTRANGE(""https://docs.google.com/spreadsheets/d/1IYY_tgx_IHuhSq3AJ5eI5OnqOPBNLWSHKh2a30DoXe8/edit?usp=sharing"",""นราธิวาส!I263"")"),0)</f>
        <v>0</v>
      </c>
      <c r="J368" s="195">
        <f ca="1">IFERROR(__xludf.DUMMYFUNCTION("IMPORTRANGE(""https://docs.google.com/spreadsheets/d/1IYY_tgx_IHuhSq3AJ5eI5OnqOPBNLWSHKh2a30DoXe8/edit?usp=sharing"",""นราธิวาส!J263"")"),0)</f>
        <v>0</v>
      </c>
      <c r="K368" s="169">
        <f t="shared" ca="1" si="106"/>
        <v>0</v>
      </c>
      <c r="L368" s="189"/>
      <c r="M368" s="189"/>
      <c r="N368" s="189"/>
      <c r="O368" s="189"/>
      <c r="P368" s="189"/>
    </row>
    <row r="369" spans="1:16" ht="21.75" hidden="1" customHeight="1" x14ac:dyDescent="0.35">
      <c r="A369" s="183"/>
      <c r="B369" s="184"/>
      <c r="C369" s="184"/>
      <c r="D369" s="201"/>
      <c r="E369" s="206"/>
      <c r="F369" s="203"/>
      <c r="G369" s="387"/>
      <c r="H369" s="188" t="s">
        <v>122</v>
      </c>
      <c r="I369" s="168">
        <f ca="1">IFERROR(__xludf.DUMMYFUNCTION("IMPORTRANGE(""https://docs.google.com/spreadsheets/d/1IYY_tgx_IHuhSq3AJ5eI5OnqOPBNLWSHKh2a30DoXe8/edit?usp=sharing"",""นราธิวาส!I164"")"),0)</f>
        <v>0</v>
      </c>
      <c r="J369" s="211">
        <f ca="1">IFERROR(__xludf.DUMMYFUNCTION("IMPORTRANGE(""https://docs.google.com/spreadsheets/d/1IYY_tgx_IHuhSq3AJ5eI5OnqOPBNLWSHKh2a30DoXe8/edit?usp=sharing"",""นราธิวาส!J164"")"),0)</f>
        <v>0</v>
      </c>
      <c r="K369" s="169">
        <f t="shared" ca="1" si="106"/>
        <v>0</v>
      </c>
      <c r="L369" s="189"/>
      <c r="M369" s="189"/>
      <c r="N369" s="189"/>
      <c r="O369" s="189"/>
      <c r="P369" s="189"/>
    </row>
    <row r="370" spans="1:16" ht="21.75" customHeight="1" x14ac:dyDescent="0.35">
      <c r="A370" s="183"/>
      <c r="B370" s="184"/>
      <c r="C370" s="184"/>
      <c r="D370" s="201"/>
      <c r="E370" s="206"/>
      <c r="F370" s="203"/>
      <c r="G370" s="386" t="s">
        <v>139</v>
      </c>
      <c r="H370" s="188" t="s">
        <v>37</v>
      </c>
      <c r="I370" s="168">
        <f ca="1">IFERROR(__xludf.DUMMYFUNCTION("IMPORTRANGE(""https://docs.google.com/spreadsheets/d/1IYY_tgx_IHuhSq3AJ5eI5OnqOPBNLWSHKh2a30DoXe8/edit?usp=sharing"",""นราธิวาส!I265"")"),0)</f>
        <v>0</v>
      </c>
      <c r="J370" s="211">
        <f ca="1">IFERROR(__xludf.DUMMYFUNCTION("IMPORTRANGE(""https://docs.google.com/spreadsheets/d/1IYY_tgx_IHuhSq3AJ5eI5OnqOPBNLWSHKh2a30DoXe8/edit?usp=sharing"",""นราธิวาส!J265"")"),0)</f>
        <v>0</v>
      </c>
      <c r="K370" s="169">
        <f t="shared" ca="1" si="106"/>
        <v>0</v>
      </c>
      <c r="L370" s="189"/>
      <c r="M370" s="189"/>
      <c r="N370" s="189"/>
      <c r="O370" s="189"/>
      <c r="P370" s="189"/>
    </row>
    <row r="371" spans="1:16" ht="21.75" hidden="1" customHeight="1" x14ac:dyDescent="0.35">
      <c r="A371" s="183"/>
      <c r="B371" s="184"/>
      <c r="C371" s="184"/>
      <c r="D371" s="201"/>
      <c r="E371" s="206"/>
      <c r="F371" s="203"/>
      <c r="G371" s="387"/>
      <c r="H371" s="188" t="s">
        <v>122</v>
      </c>
      <c r="I371" s="168">
        <f ca="1">IFERROR(__xludf.DUMMYFUNCTION("IMPORTRANGE(""https://docs.google.com/spreadsheets/d/1IYY_tgx_IHuhSq3AJ5eI5OnqOPBNLWSHKh2a30DoXe8/edit?usp=sharing"",""นราธิวาส!I164"")"),0)</f>
        <v>0</v>
      </c>
      <c r="J371" s="196">
        <f ca="1">IFERROR(__xludf.DUMMYFUNCTION("IMPORTRANGE(""https://docs.google.com/spreadsheets/d/1IYY_tgx_IHuhSq3AJ5eI5OnqOPBNLWSHKh2a30DoXe8/edit?usp=sharing"",""นราธิวาส!J164"")"),0)</f>
        <v>0</v>
      </c>
      <c r="K371" s="169">
        <f t="shared" ca="1" si="106"/>
        <v>0</v>
      </c>
      <c r="L371" s="189"/>
      <c r="M371" s="189"/>
      <c r="N371" s="189"/>
      <c r="O371" s="189"/>
      <c r="P371" s="189"/>
    </row>
    <row r="372" spans="1:16" ht="21.75" customHeight="1" x14ac:dyDescent="0.35">
      <c r="A372" s="183"/>
      <c r="B372" s="184"/>
      <c r="C372" s="184"/>
      <c r="D372" s="201"/>
      <c r="E372" s="206"/>
      <c r="F372" s="203"/>
      <c r="G372" s="386" t="s">
        <v>140</v>
      </c>
      <c r="H372" s="188" t="s">
        <v>37</v>
      </c>
      <c r="I372" s="168">
        <f ca="1">IFERROR(__xludf.DUMMYFUNCTION("IMPORTRANGE(""https://docs.google.com/spreadsheets/d/1IYY_tgx_IHuhSq3AJ5eI5OnqOPBNLWSHKh2a30DoXe8/edit?usp=sharing"",""นราธิวาส!I267"")"),0)</f>
        <v>0</v>
      </c>
      <c r="J372" s="196">
        <f ca="1">IFERROR(__xludf.DUMMYFUNCTION("IMPORTRANGE(""https://docs.google.com/spreadsheets/d/1IYY_tgx_IHuhSq3AJ5eI5OnqOPBNLWSHKh2a30DoXe8/edit?usp=sharing"",""นราธิวาส!J267"")"),0)</f>
        <v>0</v>
      </c>
      <c r="K372" s="169">
        <f t="shared" ca="1" si="106"/>
        <v>0</v>
      </c>
      <c r="L372" s="189"/>
      <c r="M372" s="189"/>
      <c r="N372" s="189"/>
      <c r="O372" s="189"/>
      <c r="P372" s="189"/>
    </row>
    <row r="373" spans="1:16" ht="21.75" hidden="1" customHeight="1" x14ac:dyDescent="0.35">
      <c r="A373" s="183"/>
      <c r="B373" s="184"/>
      <c r="C373" s="184"/>
      <c r="D373" s="201"/>
      <c r="E373" s="206"/>
      <c r="F373" s="203"/>
      <c r="G373" s="233" t="s">
        <v>141</v>
      </c>
      <c r="H373" s="188" t="s">
        <v>37</v>
      </c>
      <c r="I373" s="195">
        <f ca="1">IFERROR(__xludf.DUMMYFUNCTION("IMPORTRANGE(""https://docs.google.com/spreadsheets/d/1IYY_tgx_IHuhSq3AJ5eI5OnqOPBNLWSHKh2a30DoXe8/edit?usp=sharing"",""นราธิวาส!I164"")"),0)</f>
        <v>0</v>
      </c>
      <c r="J373" s="211">
        <f ca="1">IFERROR(__xludf.DUMMYFUNCTION("IMPORTRANGE(""https://docs.google.com/spreadsheets/d/1IYY_tgx_IHuhSq3AJ5eI5OnqOPBNLWSHKh2a30DoXe8/edit?usp=sharing"",""นราธิวาส!J164"")"),0)</f>
        <v>0</v>
      </c>
      <c r="K373" s="169">
        <f t="shared" ca="1" si="106"/>
        <v>0</v>
      </c>
      <c r="L373" s="189"/>
      <c r="M373" s="189"/>
      <c r="N373" s="189"/>
      <c r="O373" s="189"/>
      <c r="P373" s="189"/>
    </row>
    <row r="374" spans="1:16" ht="21.75" hidden="1" customHeight="1" x14ac:dyDescent="0.35">
      <c r="A374" s="183"/>
      <c r="B374" s="184"/>
      <c r="C374" s="184"/>
      <c r="D374" s="201"/>
      <c r="E374" s="206"/>
      <c r="F374" s="203"/>
      <c r="G374" s="204" t="s">
        <v>142</v>
      </c>
      <c r="H374" s="188"/>
      <c r="I374" s="195">
        <f ca="1">IFERROR(__xludf.DUMMYFUNCTION("IMPORTRANGE(""https://docs.google.com/spreadsheets/d/1IYY_tgx_IHuhSq3AJ5eI5OnqOPBNLWSHKh2a30DoXe8/edit?usp=sharing"",""นราธิวาส!I164"")"),0)</f>
        <v>0</v>
      </c>
      <c r="J374" s="195">
        <f ca="1">IFERROR(__xludf.DUMMYFUNCTION("IMPORTRANGE(""https://docs.google.com/spreadsheets/d/1IYY_tgx_IHuhSq3AJ5eI5OnqOPBNLWSHKh2a30DoXe8/edit?usp=sharing"",""นราธิวาส!J164"")"),0)</f>
        <v>0</v>
      </c>
      <c r="K374" s="169"/>
      <c r="L374" s="189"/>
      <c r="M374" s="189"/>
      <c r="N374" s="189"/>
      <c r="O374" s="189"/>
      <c r="P374" s="189"/>
    </row>
    <row r="375" spans="1:16" ht="21.75" customHeight="1" x14ac:dyDescent="0.35">
      <c r="A375" s="183"/>
      <c r="B375" s="184"/>
      <c r="C375" s="184"/>
      <c r="D375" s="201"/>
      <c r="E375" s="203"/>
      <c r="F375" s="212" t="s">
        <v>53</v>
      </c>
      <c r="G375" s="204"/>
      <c r="H375" s="286" t="s">
        <v>122</v>
      </c>
      <c r="I375" s="195">
        <f ca="1">IFERROR(__xludf.DUMMYFUNCTION("IMPORTRANGE(""https://docs.google.com/spreadsheets/d/1IYY_tgx_IHuhSq3AJ5eI5OnqOPBNLWSHKh2a30DoXe8/edit?usp=sharing"",""นราธิวาส!I270"")"),0)</f>
        <v>0</v>
      </c>
      <c r="J375" s="195">
        <f ca="1">IFERROR(__xludf.DUMMYFUNCTION("IMPORTRANGE(""https://docs.google.com/spreadsheets/d/1IYY_tgx_IHuhSq3AJ5eI5OnqOPBNLWSHKh2a30DoXe8/edit?usp=sharing"",""นราธิวาส!J270"")"),0)</f>
        <v>0</v>
      </c>
      <c r="K375" s="169">
        <f t="shared" ref="K375:K377" ca="1" si="107">IF(I375&gt;0,J375*100/I375,0)</f>
        <v>0</v>
      </c>
      <c r="L375" s="189"/>
      <c r="M375" s="189"/>
      <c r="N375" s="189"/>
      <c r="O375" s="189"/>
      <c r="P375" s="189"/>
    </row>
    <row r="376" spans="1:16" ht="21.75" customHeight="1" x14ac:dyDescent="0.35">
      <c r="A376" s="183"/>
      <c r="B376" s="184"/>
      <c r="C376" s="184"/>
      <c r="D376" s="201"/>
      <c r="E376" s="203"/>
      <c r="F376" s="203"/>
      <c r="G376" s="287" t="s">
        <v>143</v>
      </c>
      <c r="H376" s="286" t="s">
        <v>122</v>
      </c>
      <c r="I376" s="195">
        <f ca="1">IFERROR(__xludf.DUMMYFUNCTION("IMPORTRANGE(""https://docs.google.com/spreadsheets/d/1IYY_tgx_IHuhSq3AJ5eI5OnqOPBNLWSHKh2a30DoXe8/edit?usp=sharing"",""นราธิวาส!I271"")"),0)</f>
        <v>0</v>
      </c>
      <c r="J376" s="196">
        <f ca="1">IFERROR(__xludf.DUMMYFUNCTION("IMPORTRANGE(""https://docs.google.com/spreadsheets/d/1IYY_tgx_IHuhSq3AJ5eI5OnqOPBNLWSHKh2a30DoXe8/edit?usp=sharing"",""นราธิวาส!J271"")"),0)</f>
        <v>0</v>
      </c>
      <c r="K376" s="169">
        <f t="shared" ca="1" si="107"/>
        <v>0</v>
      </c>
      <c r="L376" s="189"/>
      <c r="M376" s="189"/>
      <c r="N376" s="189"/>
      <c r="O376" s="189"/>
      <c r="P376" s="189"/>
    </row>
    <row r="377" spans="1:16" ht="21.75" customHeight="1" x14ac:dyDescent="0.35">
      <c r="A377" s="183"/>
      <c r="B377" s="184"/>
      <c r="C377" s="184"/>
      <c r="D377" s="201"/>
      <c r="E377" s="203"/>
      <c r="F377" s="203"/>
      <c r="G377" s="287" t="s">
        <v>144</v>
      </c>
      <c r="H377" s="286" t="s">
        <v>122</v>
      </c>
      <c r="I377" s="195">
        <f ca="1">IFERROR(__xludf.DUMMYFUNCTION("IMPORTRANGE(""https://docs.google.com/spreadsheets/d/1IYY_tgx_IHuhSq3AJ5eI5OnqOPBNLWSHKh2a30DoXe8/edit?usp=sharing"",""นราธิวาส!I272"")"),0)</f>
        <v>0</v>
      </c>
      <c r="J377" s="211">
        <f ca="1">IFERROR(__xludf.DUMMYFUNCTION("IMPORTRANGE(""https://docs.google.com/spreadsheets/d/1IYY_tgx_IHuhSq3AJ5eI5OnqOPBNLWSHKh2a30DoXe8/edit?usp=sharing"",""นราธิวาส!J272"")"),0)</f>
        <v>0</v>
      </c>
      <c r="K377" s="169">
        <f t="shared" ca="1" si="107"/>
        <v>0</v>
      </c>
      <c r="L377" s="189"/>
      <c r="M377" s="189"/>
      <c r="N377" s="189"/>
      <c r="O377" s="189"/>
      <c r="P377" s="189"/>
    </row>
    <row r="378" spans="1:16" ht="21.75" customHeight="1" x14ac:dyDescent="0.35">
      <c r="A378" s="183"/>
      <c r="B378" s="184"/>
      <c r="C378" s="184"/>
      <c r="D378" s="201"/>
      <c r="E378" s="202" t="s">
        <v>54</v>
      </c>
      <c r="F378" s="203"/>
      <c r="G378" s="204"/>
      <c r="H378" s="194"/>
      <c r="I378" s="195"/>
      <c r="J378" s="205">
        <f ca="1">IFERROR(__xludf.DUMMYFUNCTION("IMPORTRANGE(""https://docs.google.com/spreadsheets/d/1IYY_tgx_IHuhSq3AJ5eI5OnqOPBNLWSHKh2a30DoXe8/edit?usp=sharing"",""นราธิวาส!J273"")"),0)</f>
        <v>0</v>
      </c>
      <c r="K378" s="169"/>
      <c r="L378" s="189"/>
      <c r="M378" s="189"/>
      <c r="N378" s="189"/>
      <c r="O378" s="189"/>
      <c r="P378" s="189"/>
    </row>
    <row r="379" spans="1:16" ht="21.75" customHeight="1" x14ac:dyDescent="0.35">
      <c r="A379" s="183"/>
      <c r="B379" s="184"/>
      <c r="C379" s="184"/>
      <c r="D379" s="213">
        <v>3</v>
      </c>
      <c r="E379" s="214" t="s">
        <v>55</v>
      </c>
      <c r="F379" s="215"/>
      <c r="G379" s="216"/>
      <c r="H379" s="194"/>
      <c r="I379" s="195"/>
      <c r="J379" s="217">
        <f ca="1">IFERROR(__xludf.DUMMYFUNCTION("IMPORTRANGE(""https://docs.google.com/spreadsheets/d/1IYY_tgx_IHuhSq3AJ5eI5OnqOPBNLWSHKh2a30DoXe8/edit?usp=sharing"",""นราธิวาส!J274"")"),0)</f>
        <v>0</v>
      </c>
      <c r="K379" s="169"/>
      <c r="L379" s="189"/>
      <c r="M379" s="189"/>
      <c r="N379" s="189"/>
      <c r="O379" s="189"/>
      <c r="P379" s="189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IFERROR(__xludf.DUMMYFUNCTION("IMPORTRANGE(""https://docs.google.com/spreadsheets/d/1IYY_tgx_IHuhSq3AJ5eI5OnqOPBNLWSHKh2a30DoXe8/edit?usp=sharing"",""นราธิวาส!I275"")"),100)</f>
        <v>100</v>
      </c>
      <c r="J380" s="377">
        <f ca="1">IFERROR(__xludf.DUMMYFUNCTION("IMPORTRANGE(""https://docs.google.com/spreadsheets/d/1IYY_tgx_IHuhSq3AJ5eI5OnqOPBNLWSHKh2a30DoXe8/edit?usp=sharing"",""นราธิวาส!J275"")"),0)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IFERROR(__xludf.DUMMYFUNCTION("IMPORTRANGE(""https://docs.google.com/spreadsheets/d/1IYY_tgx_IHuhSq3AJ5eI5OnqOPBNLWSHKh2a30DoXe8/edit?usp=sharing"",""นราธิวาส!L275"")"),127660)</f>
        <v>127660</v>
      </c>
      <c r="M380" s="379"/>
      <c r="N380" s="379">
        <f ca="1">IFERROR(__xludf.DUMMYFUNCTION("IMPORTRANGE(""https://docs.google.com/spreadsheets/d/1IYY_tgx_IHuhSq3AJ5eI5OnqOPBNLWSHKh2a30DoXe8/edit?usp=sharing"",""นราธิวาส!M275"")"),59140)</f>
        <v>59140</v>
      </c>
      <c r="O380" s="379">
        <f ca="1">+IF(L380&gt;0,N380*100/L380,0)</f>
        <v>46.326178912736957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IFERROR(__xludf.DUMMYFUNCTION("IMPORTRANGE(""https://docs.google.com/spreadsheets/d/1IYY_tgx_IHuhSq3AJ5eI5OnqOPBNLWSHKh2a30DoXe8/edit?usp=sharing"",""นราธิวาส!I276"")"),10)</f>
        <v>10</v>
      </c>
      <c r="J381" s="377">
        <f ca="1">IFERROR(__xludf.DUMMYFUNCTION("IMPORTRANGE(""https://docs.google.com/spreadsheets/d/1IYY_tgx_IHuhSq3AJ5eI5OnqOPBNLWSHKh2a30DoXe8/edit?usp=sharing"",""นราธิวาส!J276"")"),10)</f>
        <v>10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164" t="s">
        <v>38</v>
      </c>
      <c r="E382" s="165"/>
      <c r="F382" s="165"/>
      <c r="G382" s="166" t="s">
        <v>39</v>
      </c>
      <c r="H382" s="167" t="s">
        <v>12</v>
      </c>
      <c r="I382" s="168" t="s">
        <v>40</v>
      </c>
      <c r="J382" s="168"/>
      <c r="K382" s="169"/>
      <c r="L382" s="170">
        <f ca="1">IFERROR(__xludf.DUMMYFUNCTION("IMPORTRANGE(""https://docs.google.com/spreadsheets/d/1IYY_tgx_IHuhSq3AJ5eI5OnqOPBNLWSHKh2a30DoXe8/edit?usp=sharing"",""นราธิวาส!L277"")"),0)</f>
        <v>0</v>
      </c>
      <c r="M382" s="170"/>
      <c r="N382" s="170">
        <f ca="1">IFERROR(__xludf.DUMMYFUNCTION("IMPORTRANGE(""https://docs.google.com/spreadsheets/d/1IYY_tgx_IHuhSq3AJ5eI5OnqOPBNLWSHKh2a30DoXe8/edit?usp=sharing"",""นราธิวาส!M277"")"),0)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 x14ac:dyDescent="0.35">
      <c r="A383" s="162"/>
      <c r="B383" s="163"/>
      <c r="C383" s="163"/>
      <c r="D383" s="172"/>
      <c r="E383" s="165"/>
      <c r="F383" s="165" t="s">
        <v>40</v>
      </c>
      <c r="G383" s="166" t="s">
        <v>41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IFERROR(__xludf.DUMMYFUNCTION("IMPORTRANGE(""https://docs.google.com/spreadsheets/d/1IYY_tgx_IHuhSq3AJ5eI5OnqOPBNLWSHKh2a30DoXe8/edit?usp=sharing"",""นราธิวาส!L278"")"),127660)</f>
        <v>127660</v>
      </c>
      <c r="M383" s="171"/>
      <c r="N383" s="171">
        <f ca="1">IFERROR(__xludf.DUMMYFUNCTION("IMPORTRANGE(""https://docs.google.com/spreadsheets/d/1IYY_tgx_IHuhSq3AJ5eI5OnqOPBNLWSHKh2a30DoXe8/edit?usp=sharing"",""นราธิวาส!M278"")"),59140)</f>
        <v>59140</v>
      </c>
      <c r="O383" s="171">
        <f t="shared" ca="1" si="109"/>
        <v>46.326178912736957</v>
      </c>
      <c r="P383" s="171"/>
    </row>
    <row r="384" spans="1:16" ht="21.75" customHeight="1" x14ac:dyDescent="0.35">
      <c r="A384" s="162"/>
      <c r="B384" s="163"/>
      <c r="C384" s="163"/>
      <c r="D384" s="172"/>
      <c r="E384" s="165"/>
      <c r="F384" s="165"/>
      <c r="G384" s="380" t="s">
        <v>129</v>
      </c>
      <c r="H384" s="167" t="s">
        <v>12</v>
      </c>
      <c r="I384" s="168"/>
      <c r="J384" s="168"/>
      <c r="K384" s="169"/>
      <c r="L384" s="176">
        <f ca="1">IFERROR(__xludf.DUMMYFUNCTION("IMPORTRANGE(""https://docs.google.com/spreadsheets/d/1IYY_tgx_IHuhSq3AJ5eI5OnqOPBNLWSHKh2a30DoXe8/edit?usp=sharing"",""นราธิวาส!L279"")"),0)</f>
        <v>0</v>
      </c>
      <c r="M384" s="176"/>
      <c r="N384" s="176">
        <f ca="1">IFERROR(__xludf.DUMMYFUNCTION("IMPORTRANGE(""https://docs.google.com/spreadsheets/d/1IYY_tgx_IHuhSq3AJ5eI5OnqOPBNLWSHKh2a30DoXe8/edit?usp=sharing"",""นราธิวาส!M279"")"),0)</f>
        <v>0</v>
      </c>
      <c r="O384" s="176">
        <f t="shared" ca="1" si="109"/>
        <v>0</v>
      </c>
      <c r="P384" s="176"/>
    </row>
    <row r="385" spans="1:16" ht="21.75" customHeight="1" x14ac:dyDescent="0.35">
      <c r="A385" s="162"/>
      <c r="B385" s="163"/>
      <c r="C385" s="163"/>
      <c r="D385" s="172"/>
      <c r="E385" s="165"/>
      <c r="F385" s="165"/>
      <c r="G385" s="380" t="s">
        <v>130</v>
      </c>
      <c r="H385" s="167" t="s">
        <v>12</v>
      </c>
      <c r="I385" s="168"/>
      <c r="J385" s="168"/>
      <c r="K385" s="169"/>
      <c r="L385" s="176">
        <f ca="1">IFERROR(__xludf.DUMMYFUNCTION("IMPORTRANGE(""https://docs.google.com/spreadsheets/d/1IYY_tgx_IHuhSq3AJ5eI5OnqOPBNLWSHKh2a30DoXe8/edit?usp=sharing"",""นราธิวาส!L280"")"),127660)</f>
        <v>127660</v>
      </c>
      <c r="M385" s="176"/>
      <c r="N385" s="173">
        <f ca="1">IFERROR(__xludf.DUMMYFUNCTION("IMPORTRANGE(""https://docs.google.com/spreadsheets/d/1IYY_tgx_IHuhSq3AJ5eI5OnqOPBNLWSHKh2a30DoXe8/edit?usp=sharing"",""นราธิวาส!M280"")"),59140)</f>
        <v>59140</v>
      </c>
      <c r="O385" s="176">
        <f t="shared" ca="1" si="109"/>
        <v>46.326178912736957</v>
      </c>
      <c r="P385" s="176"/>
    </row>
    <row r="386" spans="1:16" ht="21.75" customHeight="1" x14ac:dyDescent="0.35">
      <c r="A386" s="381"/>
      <c r="B386" s="382"/>
      <c r="C386" s="163"/>
      <c r="D386" s="383"/>
      <c r="E386" s="165"/>
      <c r="F386" s="165"/>
      <c r="G386" s="384" t="s">
        <v>131</v>
      </c>
      <c r="H386" s="167" t="s">
        <v>12</v>
      </c>
      <c r="I386" s="195"/>
      <c r="J386" s="195"/>
      <c r="K386" s="231"/>
      <c r="L386" s="176"/>
      <c r="M386" s="176"/>
      <c r="N386" s="385">
        <f ca="1">IFERROR(__xludf.DUMMYFUNCTION("IMPORTRANGE(""https://docs.google.com/spreadsheets/d/1IYY_tgx_IHuhSq3AJ5eI5OnqOPBNLWSHKh2a30DoXe8/edit?usp=sharing"",""นราธิวาส!M281"")"),41400)</f>
        <v>41400</v>
      </c>
      <c r="O386" s="176"/>
      <c r="P386" s="176"/>
    </row>
    <row r="387" spans="1:16" ht="21.75" customHeight="1" x14ac:dyDescent="0.35">
      <c r="A387" s="381"/>
      <c r="B387" s="382"/>
      <c r="C387" s="163"/>
      <c r="D387" s="383"/>
      <c r="E387" s="165"/>
      <c r="F387" s="165"/>
      <c r="G387" s="384" t="s">
        <v>132</v>
      </c>
      <c r="H387" s="167" t="s">
        <v>12</v>
      </c>
      <c r="I387" s="195"/>
      <c r="J387" s="195"/>
      <c r="K387" s="231"/>
      <c r="L387" s="176"/>
      <c r="M387" s="176"/>
      <c r="N387" s="385">
        <f ca="1">IFERROR(__xludf.DUMMYFUNCTION("IMPORTRANGE(""https://docs.google.com/spreadsheets/d/1IYY_tgx_IHuhSq3AJ5eI5OnqOPBNLWSHKh2a30DoXe8/edit?usp=sharing"",""นราธิวาส!M282"")"),0)</f>
        <v>0</v>
      </c>
      <c r="O387" s="176"/>
      <c r="P387" s="176"/>
    </row>
    <row r="388" spans="1:16" ht="21.75" customHeight="1" x14ac:dyDescent="0.35">
      <c r="A388" s="381"/>
      <c r="B388" s="382"/>
      <c r="C388" s="163"/>
      <c r="D388" s="383"/>
      <c r="E388" s="165"/>
      <c r="F388" s="165"/>
      <c r="G388" s="384" t="s">
        <v>133</v>
      </c>
      <c r="H388" s="167" t="s">
        <v>12</v>
      </c>
      <c r="I388" s="195"/>
      <c r="J388" s="195"/>
      <c r="K388" s="231"/>
      <c r="L388" s="176"/>
      <c r="M388" s="176"/>
      <c r="N388" s="385">
        <f ca="1">IFERROR(__xludf.DUMMYFUNCTION("IMPORTRANGE(""https://docs.google.com/spreadsheets/d/1IYY_tgx_IHuhSq3AJ5eI5OnqOPBNLWSHKh2a30DoXe8/edit?usp=sharing"",""นราธิวาส!M283"")"),0)</f>
        <v>0</v>
      </c>
      <c r="O388" s="176"/>
      <c r="P388" s="176"/>
    </row>
    <row r="389" spans="1:16" ht="21.75" customHeight="1" x14ac:dyDescent="0.35">
      <c r="A389" s="381"/>
      <c r="B389" s="382"/>
      <c r="C389" s="163"/>
      <c r="D389" s="383"/>
      <c r="E389" s="165"/>
      <c r="F389" s="165"/>
      <c r="G389" s="384" t="s">
        <v>134</v>
      </c>
      <c r="H389" s="167" t="s">
        <v>12</v>
      </c>
      <c r="I389" s="195"/>
      <c r="J389" s="195"/>
      <c r="K389" s="231"/>
      <c r="L389" s="176"/>
      <c r="M389" s="176"/>
      <c r="N389" s="385">
        <f ca="1">IFERROR(__xludf.DUMMYFUNCTION("IMPORTRANGE(""https://docs.google.com/spreadsheets/d/1IYY_tgx_IHuhSq3AJ5eI5OnqOPBNLWSHKh2a30DoXe8/edit?usp=sharing"",""นราธิวาส!M284"")"),17740)</f>
        <v>17740</v>
      </c>
      <c r="O389" s="176"/>
      <c r="P389" s="176"/>
    </row>
    <row r="390" spans="1:16" ht="21.75" customHeight="1" x14ac:dyDescent="0.35">
      <c r="A390" s="183"/>
      <c r="B390" s="184"/>
      <c r="C390" s="163" t="s">
        <v>16</v>
      </c>
      <c r="D390" s="185" t="s">
        <v>44</v>
      </c>
      <c r="E390" s="186"/>
      <c r="F390" s="186"/>
      <c r="G390" s="187"/>
      <c r="H390" s="188"/>
      <c r="I390" s="168"/>
      <c r="J390" s="168"/>
      <c r="K390" s="169"/>
      <c r="L390" s="189"/>
      <c r="M390" s="189"/>
      <c r="N390" s="189"/>
      <c r="O390" s="189"/>
      <c r="P390" s="189"/>
    </row>
    <row r="391" spans="1:16" ht="21.75" customHeight="1" x14ac:dyDescent="0.35">
      <c r="A391" s="183"/>
      <c r="B391" s="184"/>
      <c r="C391" s="184"/>
      <c r="D391" s="190">
        <v>1</v>
      </c>
      <c r="E391" s="191" t="s">
        <v>45</v>
      </c>
      <c r="F391" s="192"/>
      <c r="G391" s="193"/>
      <c r="H391" s="194"/>
      <c r="I391" s="195"/>
      <c r="J391" s="205">
        <f ca="1">IFERROR(__xludf.DUMMYFUNCTION("IMPORTRANGE(""https://docs.google.com/spreadsheets/d/1IYY_tgx_IHuhSq3AJ5eI5OnqOPBNLWSHKh2a30DoXe8/edit?usp=sharing"",""นราธิวาส!J286"")"),0)</f>
        <v>0</v>
      </c>
      <c r="K391" s="169"/>
      <c r="L391" s="189"/>
      <c r="M391" s="189"/>
      <c r="N391" s="189"/>
      <c r="O391" s="189"/>
      <c r="P391" s="189"/>
    </row>
    <row r="392" spans="1:16" ht="21.75" customHeight="1" x14ac:dyDescent="0.35">
      <c r="A392" s="183"/>
      <c r="B392" s="184"/>
      <c r="C392" s="184"/>
      <c r="D392" s="197">
        <v>2</v>
      </c>
      <c r="E392" s="198" t="s">
        <v>46</v>
      </c>
      <c r="F392" s="199"/>
      <c r="G392" s="200"/>
      <c r="H392" s="194"/>
      <c r="I392" s="195"/>
      <c r="J392" s="196">
        <f ca="1">IFERROR(__xludf.DUMMYFUNCTION("IMPORTRANGE(""https://docs.google.com/spreadsheets/d/1IYY_tgx_IHuhSq3AJ5eI5OnqOPBNLWSHKh2a30DoXe8/edit?usp=sharing"",""นราธิวาส!J287"")"),1)</f>
        <v>1</v>
      </c>
      <c r="K392" s="169"/>
      <c r="L392" s="189" t="s">
        <v>40</v>
      </c>
      <c r="M392" s="189"/>
      <c r="N392" s="189" t="s">
        <v>40</v>
      </c>
      <c r="O392" s="189"/>
      <c r="P392" s="189"/>
    </row>
    <row r="393" spans="1:16" ht="21.75" customHeight="1" x14ac:dyDescent="0.35">
      <c r="A393" s="183"/>
      <c r="B393" s="184"/>
      <c r="C393" s="184"/>
      <c r="D393" s="201"/>
      <c r="E393" s="202" t="s">
        <v>47</v>
      </c>
      <c r="F393" s="203"/>
      <c r="G393" s="204"/>
      <c r="H393" s="194"/>
      <c r="I393" s="195"/>
      <c r="J393" s="196">
        <f ca="1">IFERROR(__xludf.DUMMYFUNCTION("IMPORTRANGE(""https://docs.google.com/spreadsheets/d/1IYY_tgx_IHuhSq3AJ5eI5OnqOPBNLWSHKh2a30DoXe8/edit?usp=sharing"",""นราธิวาส!J288"")"),1)</f>
        <v>1</v>
      </c>
      <c r="K393" s="169"/>
      <c r="L393" s="189"/>
      <c r="M393" s="189"/>
      <c r="N393" s="189"/>
      <c r="O393" s="189"/>
      <c r="P393" s="189"/>
    </row>
    <row r="394" spans="1:16" ht="21.75" customHeight="1" x14ac:dyDescent="0.35">
      <c r="A394" s="183"/>
      <c r="B394" s="184"/>
      <c r="C394" s="184"/>
      <c r="D394" s="201"/>
      <c r="E394" s="202" t="s">
        <v>48</v>
      </c>
      <c r="F394" s="203"/>
      <c r="G394" s="204"/>
      <c r="H394" s="194"/>
      <c r="I394" s="195"/>
      <c r="J394" s="205">
        <f ca="1">IFERROR(__xludf.DUMMYFUNCTION("IMPORTRANGE(""https://docs.google.com/spreadsheets/d/1IYY_tgx_IHuhSq3AJ5eI5OnqOPBNLWSHKh2a30DoXe8/edit?usp=sharing"",""นราธิวาส!J289"")"),1)</f>
        <v>1</v>
      </c>
      <c r="K394" s="169"/>
      <c r="L394" s="189"/>
      <c r="M394" s="189"/>
      <c r="N394" s="189"/>
      <c r="O394" s="189"/>
      <c r="P394" s="189"/>
    </row>
    <row r="395" spans="1:16" ht="21.75" customHeight="1" x14ac:dyDescent="0.35">
      <c r="A395" s="183"/>
      <c r="B395" s="184"/>
      <c r="C395" s="184"/>
      <c r="D395" s="201"/>
      <c r="E395" s="206"/>
      <c r="F395" s="202" t="s">
        <v>146</v>
      </c>
      <c r="G395" s="203"/>
      <c r="H395" s="194"/>
      <c r="I395" s="195"/>
      <c r="J395" s="195"/>
      <c r="K395" s="169"/>
      <c r="L395" s="189"/>
      <c r="M395" s="189"/>
      <c r="N395" s="189"/>
      <c r="O395" s="189"/>
      <c r="P395" s="189"/>
    </row>
    <row r="396" spans="1:16" ht="21.75" customHeight="1" x14ac:dyDescent="0.35">
      <c r="A396" s="183"/>
      <c r="B396" s="184"/>
      <c r="C396" s="184"/>
      <c r="D396" s="201"/>
      <c r="E396" s="206"/>
      <c r="F396" s="203"/>
      <c r="G396" s="299" t="s">
        <v>70</v>
      </c>
      <c r="H396" s="194" t="s">
        <v>37</v>
      </c>
      <c r="I396" s="195">
        <f ca="1">IFERROR(__xludf.DUMMYFUNCTION("IMPORTRANGE(""https://docs.google.com/spreadsheets/d/1IYY_tgx_IHuhSq3AJ5eI5OnqOPBNLWSHKh2a30DoXe8/edit?usp=sharing"",""นราธิวาส!I291"")"),10)</f>
        <v>10</v>
      </c>
      <c r="J396" s="205">
        <f ca="1">IFERROR(__xludf.DUMMYFUNCTION("IMPORTRANGE(""https://docs.google.com/spreadsheets/d/1IYY_tgx_IHuhSq3AJ5eI5OnqOPBNLWSHKh2a30DoXe8/edit?usp=sharing"",""นราธิวาส!J291"")"),10)</f>
        <v>10</v>
      </c>
      <c r="K396" s="169">
        <f t="shared" ref="K396:K398" ca="1" si="110">IF(I396&gt;0,J396*100/I396,0)</f>
        <v>100</v>
      </c>
      <c r="L396" s="189"/>
      <c r="M396" s="189"/>
      <c r="N396" s="189"/>
      <c r="O396" s="189"/>
      <c r="P396" s="189"/>
    </row>
    <row r="397" spans="1:16" ht="21.75" customHeight="1" x14ac:dyDescent="0.35">
      <c r="A397" s="183"/>
      <c r="B397" s="184"/>
      <c r="C397" s="184"/>
      <c r="D397" s="201"/>
      <c r="E397" s="206"/>
      <c r="F397" s="203"/>
      <c r="G397" s="204" t="s">
        <v>53</v>
      </c>
      <c r="H397" s="194" t="s">
        <v>122</v>
      </c>
      <c r="I397" s="195">
        <f ca="1">IFERROR(__xludf.DUMMYFUNCTION("IMPORTRANGE(""https://docs.google.com/spreadsheets/d/1IYY_tgx_IHuhSq3AJ5eI5OnqOPBNLWSHKh2a30DoXe8/edit?usp=sharing"",""นราธิวาส!I292"")"),100)</f>
        <v>100</v>
      </c>
      <c r="J397" s="205">
        <f ca="1">IFERROR(__xludf.DUMMYFUNCTION("IMPORTRANGE(""https://docs.google.com/spreadsheets/d/1IYY_tgx_IHuhSq3AJ5eI5OnqOPBNLWSHKh2a30DoXe8/edit?usp=sharing"",""นราธิวาส!J292"")"),0)</f>
        <v>0</v>
      </c>
      <c r="K397" s="169">
        <f t="shared" ca="1" si="110"/>
        <v>0</v>
      </c>
      <c r="L397" s="189"/>
      <c r="M397" s="189"/>
      <c r="N397" s="189"/>
      <c r="O397" s="189"/>
      <c r="P397" s="189"/>
    </row>
    <row r="398" spans="1:16" ht="21.75" customHeight="1" x14ac:dyDescent="0.35">
      <c r="A398" s="183"/>
      <c r="B398" s="184"/>
      <c r="C398" s="184"/>
      <c r="D398" s="201"/>
      <c r="E398" s="206"/>
      <c r="F398" s="203"/>
      <c r="G398" s="204"/>
      <c r="H398" s="194" t="s">
        <v>37</v>
      </c>
      <c r="I398" s="195">
        <f ca="1">IFERROR(__xludf.DUMMYFUNCTION("IMPORTRANGE(""https://docs.google.com/spreadsheets/d/1IYY_tgx_IHuhSq3AJ5eI5OnqOPBNLWSHKh2a30DoXe8/edit?usp=sharing"",""นราธิวาส!I293"")"),10)</f>
        <v>10</v>
      </c>
      <c r="J398" s="205">
        <f ca="1">IFERROR(__xludf.DUMMYFUNCTION("IMPORTRANGE(""https://docs.google.com/spreadsheets/d/1IYY_tgx_IHuhSq3AJ5eI5OnqOPBNLWSHKh2a30DoXe8/edit?usp=sharing"",""นราธิวาส!J293"")"),0)</f>
        <v>0</v>
      </c>
      <c r="K398" s="169">
        <f t="shared" ca="1" si="110"/>
        <v>0</v>
      </c>
      <c r="L398" s="189"/>
      <c r="M398" s="189"/>
      <c r="N398" s="189"/>
      <c r="O398" s="189"/>
      <c r="P398" s="189"/>
    </row>
    <row r="399" spans="1:16" ht="21.75" customHeight="1" x14ac:dyDescent="0.35">
      <c r="A399" s="183"/>
      <c r="B399" s="184"/>
      <c r="C399" s="184"/>
      <c r="D399" s="201"/>
      <c r="E399" s="202" t="s">
        <v>54</v>
      </c>
      <c r="F399" s="203"/>
      <c r="G399" s="204"/>
      <c r="H399" s="194"/>
      <c r="I399" s="195"/>
      <c r="J399" s="205">
        <f ca="1">IFERROR(__xludf.DUMMYFUNCTION("IMPORTRANGE(""https://docs.google.com/spreadsheets/d/1IYY_tgx_IHuhSq3AJ5eI5OnqOPBNLWSHKh2a30DoXe8/edit?usp=sharing"",""นราธิวาส!J294"")"),0)</f>
        <v>0</v>
      </c>
      <c r="K399" s="169"/>
      <c r="L399" s="189"/>
      <c r="M399" s="189"/>
      <c r="N399" s="189"/>
      <c r="O399" s="189"/>
      <c r="P399" s="189"/>
    </row>
    <row r="400" spans="1:16" ht="21.75" customHeight="1" x14ac:dyDescent="0.35">
      <c r="A400" s="183"/>
      <c r="B400" s="184"/>
      <c r="C400" s="184"/>
      <c r="D400" s="213">
        <v>3</v>
      </c>
      <c r="E400" s="214" t="s">
        <v>55</v>
      </c>
      <c r="F400" s="215"/>
      <c r="G400" s="216"/>
      <c r="H400" s="194"/>
      <c r="I400" s="195"/>
      <c r="J400" s="217">
        <f ca="1">IFERROR(__xludf.DUMMYFUNCTION("IMPORTRANGE(""https://docs.google.com/spreadsheets/d/1IYY_tgx_IHuhSq3AJ5eI5OnqOPBNLWSHKh2a30DoXe8/edit?usp=sharing"",""นราธิวาส!J295"")"),0)</f>
        <v>0</v>
      </c>
      <c r="K400" s="169"/>
      <c r="L400" s="189"/>
      <c r="M400" s="189"/>
      <c r="N400" s="189"/>
      <c r="O400" s="189"/>
      <c r="P400" s="189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IFERROR(__xludf.DUMMYFUNCTION("IMPORTRANGE(""https://docs.google.com/spreadsheets/d/1IYY_tgx_IHuhSq3AJ5eI5OnqOPBNLWSHKh2a30DoXe8/edit?usp=sharing"",""นราธิวาส!I296"")"),165)</f>
        <v>165</v>
      </c>
      <c r="J401" s="377">
        <f ca="1">IFERROR(__xludf.DUMMYFUNCTION("IMPORTRANGE(""https://docs.google.com/spreadsheets/d/1IYY_tgx_IHuhSq3AJ5eI5OnqOPBNLWSHKh2a30DoXe8/edit?usp=sharing"",""นราธิวาส!J296"")"),165)</f>
        <v>165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IFERROR(__xludf.DUMMYFUNCTION("IMPORTRANGE(""https://docs.google.com/spreadsheets/d/1IYY_tgx_IHuhSq3AJ5eI5OnqOPBNLWSHKh2a30DoXe8/edit?usp=sharing"",""นราธิวาส!L296"")"),195740)</f>
        <v>195740</v>
      </c>
      <c r="M401" s="379"/>
      <c r="N401" s="379">
        <f ca="1">IFERROR(__xludf.DUMMYFUNCTION("IMPORTRANGE(""https://docs.google.com/spreadsheets/d/1IYY_tgx_IHuhSq3AJ5eI5OnqOPBNLWSHKh2a30DoXe8/edit?usp=sharing"",""นราธิวาส!M296"")"),178400)</f>
        <v>178400</v>
      </c>
      <c r="O401" s="379">
        <f ca="1">+IF(L401&gt;0,N401*100/L401,0)</f>
        <v>91.141309900888928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IFERROR(__xludf.DUMMYFUNCTION("IMPORTRANGE(""https://docs.google.com/spreadsheets/d/1IYY_tgx_IHuhSq3AJ5eI5OnqOPBNLWSHKh2a30DoXe8/edit?usp=sharing"",""นราธิวาส!I297"")"),55)</f>
        <v>55</v>
      </c>
      <c r="J402" s="377">
        <f ca="1">IFERROR(__xludf.DUMMYFUNCTION("IMPORTRANGE(""https://docs.google.com/spreadsheets/d/1IYY_tgx_IHuhSq3AJ5eI5OnqOPBNLWSHKh2a30DoXe8/edit?usp=sharing"",""นราธิวาส!J297"")"),55)</f>
        <v>55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164" t="s">
        <v>38</v>
      </c>
      <c r="E403" s="165"/>
      <c r="F403" s="165"/>
      <c r="G403" s="166" t="s">
        <v>39</v>
      </c>
      <c r="H403" s="167" t="s">
        <v>12</v>
      </c>
      <c r="I403" s="168" t="s">
        <v>40</v>
      </c>
      <c r="J403" s="168"/>
      <c r="K403" s="169"/>
      <c r="L403" s="170">
        <f ca="1">IFERROR(__xludf.DUMMYFUNCTION("IMPORTRANGE(""https://docs.google.com/spreadsheets/d/1IYY_tgx_IHuhSq3AJ5eI5OnqOPBNLWSHKh2a30DoXe8/edit?usp=sharing"",""นราธิวาส!L298"")"),0)</f>
        <v>0</v>
      </c>
      <c r="M403" s="170"/>
      <c r="N403" s="176">
        <f ca="1">IFERROR(__xludf.DUMMYFUNCTION("IMPORTRANGE(""https://docs.google.com/spreadsheets/d/1IYY_tgx_IHuhSq3AJ5eI5OnqOPBNLWSHKh2a30DoXe8/edit?usp=sharing"",""นราธิวาส!M298"")"),0)</f>
        <v>0</v>
      </c>
      <c r="O403" s="176">
        <f t="shared" ref="O403:O406" ca="1" si="112">+IF(L403&gt;0,N403*100/L403,0)</f>
        <v>0</v>
      </c>
      <c r="P403" s="176"/>
    </row>
    <row r="404" spans="1:16" ht="21.75" customHeight="1" x14ac:dyDescent="0.35">
      <c r="A404" s="162"/>
      <c r="B404" s="163"/>
      <c r="C404" s="163"/>
      <c r="D404" s="172"/>
      <c r="E404" s="165"/>
      <c r="F404" s="165" t="s">
        <v>40</v>
      </c>
      <c r="G404" s="166" t="s">
        <v>41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IFERROR(__xludf.DUMMYFUNCTION("IMPORTRANGE(""https://docs.google.com/spreadsheets/d/1IYY_tgx_IHuhSq3AJ5eI5OnqOPBNLWSHKh2a30DoXe8/edit?usp=sharing"",""นราธิวาส!L299"")"),195740)</f>
        <v>195740</v>
      </c>
      <c r="M404" s="171"/>
      <c r="N404" s="176">
        <f ca="1">IFERROR(__xludf.DUMMYFUNCTION("IMPORTRANGE(""https://docs.google.com/spreadsheets/d/1IYY_tgx_IHuhSq3AJ5eI5OnqOPBNLWSHKh2a30DoXe8/edit?usp=sharing"",""นราธิวาส!M299"")"),178400)</f>
        <v>178400</v>
      </c>
      <c r="O404" s="176">
        <f t="shared" ca="1" si="112"/>
        <v>91.141309900888928</v>
      </c>
      <c r="P404" s="176"/>
    </row>
    <row r="405" spans="1:16" ht="21.75" customHeight="1" x14ac:dyDescent="0.35">
      <c r="A405" s="162"/>
      <c r="B405" s="163"/>
      <c r="C405" s="163"/>
      <c r="D405" s="172"/>
      <c r="E405" s="165"/>
      <c r="F405" s="165"/>
      <c r="G405" s="380" t="s">
        <v>129</v>
      </c>
      <c r="H405" s="167" t="s">
        <v>12</v>
      </c>
      <c r="I405" s="168"/>
      <c r="J405" s="168"/>
      <c r="K405" s="169"/>
      <c r="L405" s="176">
        <f ca="1">IFERROR(__xludf.DUMMYFUNCTION("IMPORTRANGE(""https://docs.google.com/spreadsheets/d/1IYY_tgx_IHuhSq3AJ5eI5OnqOPBNLWSHKh2a30DoXe8/edit?usp=sharing"",""นราธิวาส!L300"")"),0)</f>
        <v>0</v>
      </c>
      <c r="M405" s="176"/>
      <c r="N405" s="176">
        <f ca="1">IFERROR(__xludf.DUMMYFUNCTION("IMPORTRANGE(""https://docs.google.com/spreadsheets/d/1IYY_tgx_IHuhSq3AJ5eI5OnqOPBNLWSHKh2a30DoXe8/edit?usp=sharing"",""นราธิวาส!M300"")"),0)</f>
        <v>0</v>
      </c>
      <c r="O405" s="176">
        <f t="shared" ca="1" si="112"/>
        <v>0</v>
      </c>
      <c r="P405" s="176"/>
    </row>
    <row r="406" spans="1:16" ht="21.75" customHeight="1" x14ac:dyDescent="0.35">
      <c r="A406" s="162"/>
      <c r="B406" s="163"/>
      <c r="C406" s="163"/>
      <c r="D406" s="172"/>
      <c r="E406" s="165"/>
      <c r="F406" s="165"/>
      <c r="G406" s="380" t="s">
        <v>130</v>
      </c>
      <c r="H406" s="167" t="s">
        <v>12</v>
      </c>
      <c r="I406" s="168"/>
      <c r="J406" s="168"/>
      <c r="K406" s="169"/>
      <c r="L406" s="176">
        <f ca="1">IFERROR(__xludf.DUMMYFUNCTION("IMPORTRANGE(""https://docs.google.com/spreadsheets/d/1IYY_tgx_IHuhSq3AJ5eI5OnqOPBNLWSHKh2a30DoXe8/edit?usp=sharing"",""นราธิวาส!L301"")"),195740)</f>
        <v>195740</v>
      </c>
      <c r="M406" s="176"/>
      <c r="N406" s="176">
        <f ca="1">IFERROR(__xludf.DUMMYFUNCTION("IMPORTRANGE(""https://docs.google.com/spreadsheets/d/1IYY_tgx_IHuhSq3AJ5eI5OnqOPBNLWSHKh2a30DoXe8/edit?usp=sharing"",""นราธิวาส!M301"")"),178400)</f>
        <v>178400</v>
      </c>
      <c r="O406" s="176">
        <f t="shared" ca="1" si="112"/>
        <v>91.141309900888928</v>
      </c>
      <c r="P406" s="176"/>
    </row>
    <row r="407" spans="1:16" ht="21.75" customHeight="1" x14ac:dyDescent="0.35">
      <c r="A407" s="381"/>
      <c r="B407" s="382"/>
      <c r="C407" s="163"/>
      <c r="D407" s="383"/>
      <c r="E407" s="165"/>
      <c r="F407" s="165"/>
      <c r="G407" s="384" t="s">
        <v>131</v>
      </c>
      <c r="H407" s="167" t="s">
        <v>12</v>
      </c>
      <c r="I407" s="195"/>
      <c r="J407" s="195"/>
      <c r="K407" s="231"/>
      <c r="L407" s="176"/>
      <c r="M407" s="176"/>
      <c r="N407" s="385">
        <f ca="1">IFERROR(__xludf.DUMMYFUNCTION("IMPORTRANGE(""https://docs.google.com/spreadsheets/d/1IYY_tgx_IHuhSq3AJ5eI5OnqOPBNLWSHKh2a30DoXe8/edit?usp=sharing"",""นราธิวาส!M302"")"),111900)</f>
        <v>111900</v>
      </c>
      <c r="O407" s="176"/>
      <c r="P407" s="176"/>
    </row>
    <row r="408" spans="1:16" ht="21.75" customHeight="1" x14ac:dyDescent="0.35">
      <c r="A408" s="381"/>
      <c r="B408" s="382"/>
      <c r="C408" s="163"/>
      <c r="D408" s="383"/>
      <c r="E408" s="165"/>
      <c r="F408" s="165"/>
      <c r="G408" s="384" t="s">
        <v>132</v>
      </c>
      <c r="H408" s="167" t="s">
        <v>12</v>
      </c>
      <c r="I408" s="195"/>
      <c r="J408" s="195"/>
      <c r="K408" s="231"/>
      <c r="L408" s="176"/>
      <c r="M408" s="176"/>
      <c r="N408" s="385">
        <f ca="1">IFERROR(__xludf.DUMMYFUNCTION("IMPORTRANGE(""https://docs.google.com/spreadsheets/d/1IYY_tgx_IHuhSq3AJ5eI5OnqOPBNLWSHKh2a30DoXe8/edit?usp=sharing"",""นราธิวาส!M303"")"),51500)</f>
        <v>51500</v>
      </c>
      <c r="O408" s="176"/>
      <c r="P408" s="176"/>
    </row>
    <row r="409" spans="1:16" ht="21.75" customHeight="1" x14ac:dyDescent="0.35">
      <c r="A409" s="381"/>
      <c r="B409" s="382"/>
      <c r="C409" s="163"/>
      <c r="D409" s="383"/>
      <c r="E409" s="165"/>
      <c r="F409" s="165"/>
      <c r="G409" s="384" t="s">
        <v>133</v>
      </c>
      <c r="H409" s="167" t="s">
        <v>12</v>
      </c>
      <c r="I409" s="195"/>
      <c r="J409" s="195"/>
      <c r="K409" s="231"/>
      <c r="L409" s="176"/>
      <c r="M409" s="176"/>
      <c r="N409" s="385">
        <f ca="1">IFERROR(__xludf.DUMMYFUNCTION("IMPORTRANGE(""https://docs.google.com/spreadsheets/d/1IYY_tgx_IHuhSq3AJ5eI5OnqOPBNLWSHKh2a30DoXe8/edit?usp=sharing"",""นราธิวาส!M304"")"),0)</f>
        <v>0</v>
      </c>
      <c r="O409" s="176"/>
      <c r="P409" s="176"/>
    </row>
    <row r="410" spans="1:16" ht="21.75" customHeight="1" x14ac:dyDescent="0.35">
      <c r="A410" s="381"/>
      <c r="B410" s="382"/>
      <c r="C410" s="163"/>
      <c r="D410" s="383"/>
      <c r="E410" s="165"/>
      <c r="F410" s="165"/>
      <c r="G410" s="384" t="s">
        <v>134</v>
      </c>
      <c r="H410" s="167" t="s">
        <v>12</v>
      </c>
      <c r="I410" s="195"/>
      <c r="J410" s="195"/>
      <c r="K410" s="231"/>
      <c r="L410" s="176"/>
      <c r="M410" s="176"/>
      <c r="N410" s="385">
        <f ca="1">IFERROR(__xludf.DUMMYFUNCTION("IMPORTRANGE(""https://docs.google.com/spreadsheets/d/1IYY_tgx_IHuhSq3AJ5eI5OnqOPBNLWSHKh2a30DoXe8/edit?usp=sharing"",""นราธิวาส!M305"")"),15000)</f>
        <v>15000</v>
      </c>
      <c r="O410" s="176"/>
      <c r="P410" s="176"/>
    </row>
    <row r="411" spans="1:16" ht="21.75" customHeight="1" x14ac:dyDescent="0.35">
      <c r="A411" s="183"/>
      <c r="B411" s="184"/>
      <c r="C411" s="163" t="s">
        <v>16</v>
      </c>
      <c r="D411" s="185" t="s">
        <v>44</v>
      </c>
      <c r="E411" s="186"/>
      <c r="F411" s="186"/>
      <c r="G411" s="187"/>
      <c r="H411" s="188"/>
      <c r="I411" s="168"/>
      <c r="J411" s="168"/>
      <c r="K411" s="169"/>
      <c r="L411" s="189"/>
      <c r="M411" s="189"/>
      <c r="N411" s="189"/>
      <c r="O411" s="189"/>
      <c r="P411" s="189"/>
    </row>
    <row r="412" spans="1:16" ht="21.75" customHeight="1" x14ac:dyDescent="0.35">
      <c r="A412" s="183"/>
      <c r="B412" s="184"/>
      <c r="C412" s="184"/>
      <c r="D412" s="190">
        <v>1</v>
      </c>
      <c r="E412" s="191" t="s">
        <v>45</v>
      </c>
      <c r="F412" s="192"/>
      <c r="G412" s="193"/>
      <c r="H412" s="194"/>
      <c r="I412" s="195"/>
      <c r="J412" s="205">
        <f ca="1">IFERROR(__xludf.DUMMYFUNCTION("IMPORTRANGE(""https://docs.google.com/spreadsheets/d/1IYY_tgx_IHuhSq3AJ5eI5OnqOPBNLWSHKh2a30DoXe8/edit?usp=sharing"",""นราธิวาส!J307"")"),0)</f>
        <v>0</v>
      </c>
      <c r="K412" s="169"/>
      <c r="L412" s="189"/>
      <c r="M412" s="189"/>
      <c r="N412" s="189"/>
      <c r="O412" s="189"/>
      <c r="P412" s="189"/>
    </row>
    <row r="413" spans="1:16" ht="21.75" customHeight="1" x14ac:dyDescent="0.35">
      <c r="A413" s="183"/>
      <c r="B413" s="184"/>
      <c r="C413" s="184"/>
      <c r="D413" s="197">
        <v>2</v>
      </c>
      <c r="E413" s="198" t="s">
        <v>46</v>
      </c>
      <c r="F413" s="199"/>
      <c r="G413" s="200"/>
      <c r="H413" s="194"/>
      <c r="I413" s="195"/>
      <c r="J413" s="196">
        <f ca="1">IFERROR(__xludf.DUMMYFUNCTION("IMPORTRANGE(""https://docs.google.com/spreadsheets/d/1IYY_tgx_IHuhSq3AJ5eI5OnqOPBNLWSHKh2a30DoXe8/edit?usp=sharing"",""นราธิวาส!J308"")"),1)</f>
        <v>1</v>
      </c>
      <c r="K413" s="169"/>
      <c r="L413" s="189" t="s">
        <v>40</v>
      </c>
      <c r="M413" s="189"/>
      <c r="N413" s="189" t="s">
        <v>40</v>
      </c>
      <c r="O413" s="189"/>
      <c r="P413" s="189"/>
    </row>
    <row r="414" spans="1:16" ht="21.75" customHeight="1" x14ac:dyDescent="0.35">
      <c r="A414" s="183"/>
      <c r="B414" s="184"/>
      <c r="C414" s="184"/>
      <c r="D414" s="201"/>
      <c r="E414" s="202" t="s">
        <v>47</v>
      </c>
      <c r="F414" s="203"/>
      <c r="G414" s="204"/>
      <c r="H414" s="194"/>
      <c r="I414" s="195"/>
      <c r="J414" s="196">
        <f ca="1">IFERROR(__xludf.DUMMYFUNCTION("IMPORTRANGE(""https://docs.google.com/spreadsheets/d/1IYY_tgx_IHuhSq3AJ5eI5OnqOPBNLWSHKh2a30DoXe8/edit?usp=sharing"",""นราธิวาส!J309"")"),1)</f>
        <v>1</v>
      </c>
      <c r="K414" s="169"/>
      <c r="L414" s="189"/>
      <c r="M414" s="189"/>
      <c r="N414" s="189"/>
      <c r="O414" s="189"/>
      <c r="P414" s="189"/>
    </row>
    <row r="415" spans="1:16" ht="21.75" customHeight="1" x14ac:dyDescent="0.35">
      <c r="A415" s="183"/>
      <c r="B415" s="184"/>
      <c r="C415" s="184"/>
      <c r="D415" s="201"/>
      <c r="E415" s="202" t="s">
        <v>48</v>
      </c>
      <c r="F415" s="203"/>
      <c r="G415" s="204"/>
      <c r="H415" s="194"/>
      <c r="I415" s="195"/>
      <c r="J415" s="205">
        <f ca="1">IFERROR(__xludf.DUMMYFUNCTION("IMPORTRANGE(""https://docs.google.com/spreadsheets/d/1IYY_tgx_IHuhSq3AJ5eI5OnqOPBNLWSHKh2a30DoXe8/edit?usp=sharing"",""นราธิวาส!J310"")"),1)</f>
        <v>1</v>
      </c>
      <c r="K415" s="169"/>
      <c r="L415" s="189"/>
      <c r="M415" s="189"/>
      <c r="N415" s="189"/>
      <c r="O415" s="189"/>
      <c r="P415" s="189"/>
    </row>
    <row r="416" spans="1:16" ht="21.75" customHeight="1" x14ac:dyDescent="0.35">
      <c r="A416" s="183"/>
      <c r="B416" s="184"/>
      <c r="C416" s="184"/>
      <c r="D416" s="201"/>
      <c r="E416" s="206"/>
      <c r="F416" s="202" t="s">
        <v>70</v>
      </c>
      <c r="G416" s="394"/>
      <c r="H416" s="395" t="s">
        <v>37</v>
      </c>
      <c r="I416" s="208">
        <f ca="1">IFERROR(__xludf.DUMMYFUNCTION("IMPORTRANGE(""https://docs.google.com/spreadsheets/d/1IYY_tgx_IHuhSq3AJ5eI5OnqOPBNLWSHKh2a30DoXe8/edit?usp=sharing"",""นราธิวาส!I311"")"),55)</f>
        <v>55</v>
      </c>
      <c r="J416" s="208">
        <f ca="1">IFERROR(__xludf.DUMMYFUNCTION("IMPORTRANGE(""https://docs.google.com/spreadsheets/d/1IYY_tgx_IHuhSq3AJ5eI5OnqOPBNLWSHKh2a30DoXe8/edit?usp=sharing"",""นราธิวาส!J311"")"),55)</f>
        <v>55</v>
      </c>
      <c r="K416" s="209">
        <f t="shared" ref="K416:K432" ca="1" si="113">IF(I416&gt;0,J416*100/I416,0)</f>
        <v>100</v>
      </c>
      <c r="L416" s="189"/>
      <c r="M416" s="189"/>
      <c r="N416" s="189"/>
      <c r="O416" s="189"/>
      <c r="P416" s="189"/>
    </row>
    <row r="417" spans="1:16" ht="21.75" customHeight="1" x14ac:dyDescent="0.45">
      <c r="A417" s="183"/>
      <c r="B417" s="184"/>
      <c r="C417" s="184"/>
      <c r="D417" s="201"/>
      <c r="E417" s="206"/>
      <c r="F417" s="396" t="s">
        <v>148</v>
      </c>
      <c r="G417" s="204"/>
      <c r="H417" s="207" t="s">
        <v>37</v>
      </c>
      <c r="I417" s="397">
        <f ca="1">IFERROR(__xludf.DUMMYFUNCTION("IMPORTRANGE(""https://docs.google.com/spreadsheets/d/1IYY_tgx_IHuhSq3AJ5eI5OnqOPBNLWSHKh2a30DoXe8/edit?usp=sharing"",""นราธิวาส!I312"")"),25)</f>
        <v>25</v>
      </c>
      <c r="J417" s="398">
        <f ca="1">IFERROR(__xludf.DUMMYFUNCTION("IMPORTRANGE(""https://docs.google.com/spreadsheets/d/1IYY_tgx_IHuhSq3AJ5eI5OnqOPBNLWSHKh2a30DoXe8/edit?usp=sharing"",""นราธิวาส!J312"")"),25)</f>
        <v>25</v>
      </c>
      <c r="K417" s="209">
        <f t="shared" ca="1" si="113"/>
        <v>100</v>
      </c>
      <c r="L417" s="189"/>
      <c r="M417" s="189"/>
      <c r="N417" s="189"/>
      <c r="O417" s="189"/>
      <c r="P417" s="189"/>
    </row>
    <row r="418" spans="1:16" ht="21.75" customHeight="1" x14ac:dyDescent="0.45">
      <c r="A418" s="183"/>
      <c r="B418" s="184"/>
      <c r="C418" s="184"/>
      <c r="D418" s="201"/>
      <c r="E418" s="206"/>
      <c r="F418" s="203"/>
      <c r="G418" s="204"/>
      <c r="H418" s="207" t="s">
        <v>122</v>
      </c>
      <c r="I418" s="397">
        <f ca="1">IFERROR(__xludf.DUMMYFUNCTION("IMPORTRANGE(""https://docs.google.com/spreadsheets/d/1IYY_tgx_IHuhSq3AJ5eI5OnqOPBNLWSHKh2a30DoXe8/edit?usp=sharing"",""นราธิวาส!I313"")"),75)</f>
        <v>75</v>
      </c>
      <c r="J418" s="399">
        <f ca="1">IFERROR(__xludf.DUMMYFUNCTION("IMPORTRANGE(""https://docs.google.com/spreadsheets/d/1IYY_tgx_IHuhSq3AJ5eI5OnqOPBNLWSHKh2a30DoXe8/edit?usp=sharing"",""นราธิวาส!J313"")"),75)</f>
        <v>75</v>
      </c>
      <c r="K418" s="209">
        <f t="shared" ca="1" si="113"/>
        <v>100</v>
      </c>
      <c r="L418" s="189"/>
      <c r="M418" s="189"/>
      <c r="N418" s="189"/>
      <c r="O418" s="189"/>
      <c r="P418" s="189"/>
    </row>
    <row r="419" spans="1:16" ht="21.75" customHeight="1" x14ac:dyDescent="0.45">
      <c r="A419" s="183"/>
      <c r="B419" s="184"/>
      <c r="C419" s="184"/>
      <c r="D419" s="201"/>
      <c r="E419" s="206"/>
      <c r="F419" s="203"/>
      <c r="G419" s="233" t="s">
        <v>149</v>
      </c>
      <c r="H419" s="188" t="s">
        <v>37</v>
      </c>
      <c r="I419" s="347">
        <f ca="1">IFERROR(__xludf.DUMMYFUNCTION("IMPORTRANGE(""https://docs.google.com/spreadsheets/d/1IYY_tgx_IHuhSq3AJ5eI5OnqOPBNLWSHKh2a30DoXe8/edit?usp=sharing"",""นราธิวาส!I314"")"),25)</f>
        <v>25</v>
      </c>
      <c r="J419" s="400">
        <f ca="1">IFERROR(__xludf.DUMMYFUNCTION("IMPORTRANGE(""https://docs.google.com/spreadsheets/d/1IYY_tgx_IHuhSq3AJ5eI5OnqOPBNLWSHKh2a30DoXe8/edit?usp=sharing"",""นราธิวาส!J314"")"),25)</f>
        <v>25</v>
      </c>
      <c r="K419" s="169">
        <f t="shared" ca="1" si="113"/>
        <v>100</v>
      </c>
      <c r="L419" s="189"/>
      <c r="M419" s="189"/>
      <c r="N419" s="189"/>
      <c r="O419" s="189"/>
      <c r="P419" s="189"/>
    </row>
    <row r="420" spans="1:16" ht="21.75" customHeight="1" x14ac:dyDescent="0.45">
      <c r="A420" s="241"/>
      <c r="B420" s="242"/>
      <c r="C420" s="242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IFERROR(__xludf.DUMMYFUNCTION("IMPORTRANGE(""https://docs.google.com/spreadsheets/d/1IYY_tgx_IHuhSq3AJ5eI5OnqOPBNLWSHKh2a30DoXe8/edit?usp=sharing"",""นราธิวาส!I315"")"),25)</f>
        <v>25</v>
      </c>
      <c r="J420" s="400">
        <f ca="1">IFERROR(__xludf.DUMMYFUNCTION("IMPORTRANGE(""https://docs.google.com/spreadsheets/d/1IYY_tgx_IHuhSq3AJ5eI5OnqOPBNLWSHKh2a30DoXe8/edit?usp=sharing"",""นราธิวาส!J315"")"),25)</f>
        <v>25</v>
      </c>
      <c r="K420" s="294">
        <f t="shared" ca="1" si="113"/>
        <v>100</v>
      </c>
      <c r="L420" s="252"/>
      <c r="M420" s="252"/>
      <c r="N420" s="252"/>
      <c r="O420" s="252"/>
      <c r="P420" s="252"/>
    </row>
    <row r="421" spans="1:16" ht="21.75" customHeight="1" x14ac:dyDescent="0.45">
      <c r="A421" s="183"/>
      <c r="B421" s="184"/>
      <c r="C421" s="184"/>
      <c r="D421" s="201"/>
      <c r="E421" s="206"/>
      <c r="F421" s="396" t="s">
        <v>151</v>
      </c>
      <c r="G421" s="204"/>
      <c r="H421" s="207" t="s">
        <v>37</v>
      </c>
      <c r="I421" s="397">
        <f ca="1">IFERROR(__xludf.DUMMYFUNCTION("IMPORTRANGE(""https://docs.google.com/spreadsheets/d/1IYY_tgx_IHuhSq3AJ5eI5OnqOPBNLWSHKh2a30DoXe8/edit?usp=sharing"",""นราธิวาส!I316"")"),20)</f>
        <v>20</v>
      </c>
      <c r="J421" s="398">
        <f ca="1">IFERROR(__xludf.DUMMYFUNCTION("IMPORTRANGE(""https://docs.google.com/spreadsheets/d/1IYY_tgx_IHuhSq3AJ5eI5OnqOPBNLWSHKh2a30DoXe8/edit?usp=sharing"",""นราธิวาส!J316"")"),20)</f>
        <v>20</v>
      </c>
      <c r="K421" s="209">
        <f t="shared" ca="1" si="113"/>
        <v>100</v>
      </c>
      <c r="L421" s="189"/>
      <c r="M421" s="189"/>
      <c r="N421" s="189"/>
      <c r="O421" s="189"/>
      <c r="P421" s="189"/>
    </row>
    <row r="422" spans="1:16" ht="21.75" customHeight="1" x14ac:dyDescent="0.45">
      <c r="A422" s="183"/>
      <c r="B422" s="184"/>
      <c r="C422" s="184"/>
      <c r="D422" s="201"/>
      <c r="E422" s="206"/>
      <c r="F422" s="203"/>
      <c r="G422" s="204"/>
      <c r="H422" s="207" t="s">
        <v>122</v>
      </c>
      <c r="I422" s="397">
        <f ca="1">IFERROR(__xludf.DUMMYFUNCTION("IMPORTRANGE(""https://docs.google.com/spreadsheets/d/1IYY_tgx_IHuhSq3AJ5eI5OnqOPBNLWSHKh2a30DoXe8/edit?usp=sharing"",""นราธิวาส!I317"")"),60)</f>
        <v>60</v>
      </c>
      <c r="J422" s="399">
        <f ca="1">IFERROR(__xludf.DUMMYFUNCTION("IMPORTRANGE(""https://docs.google.com/spreadsheets/d/1IYY_tgx_IHuhSq3AJ5eI5OnqOPBNLWSHKh2a30DoXe8/edit?usp=sharing"",""นราธิวาส!J317"")"),60)</f>
        <v>60</v>
      </c>
      <c r="K422" s="209">
        <f t="shared" ca="1" si="113"/>
        <v>100</v>
      </c>
      <c r="L422" s="189"/>
      <c r="M422" s="189"/>
      <c r="N422" s="189"/>
      <c r="O422" s="189"/>
      <c r="P422" s="189"/>
    </row>
    <row r="423" spans="1:16" ht="21.75" customHeight="1" x14ac:dyDescent="0.45">
      <c r="A423" s="183"/>
      <c r="B423" s="184"/>
      <c r="C423" s="184"/>
      <c r="D423" s="201"/>
      <c r="E423" s="206"/>
      <c r="F423" s="203"/>
      <c r="G423" s="233" t="s">
        <v>152</v>
      </c>
      <c r="H423" s="188" t="s">
        <v>37</v>
      </c>
      <c r="I423" s="347">
        <f ca="1">IFERROR(__xludf.DUMMYFUNCTION("IMPORTRANGE(""https://docs.google.com/spreadsheets/d/1IYY_tgx_IHuhSq3AJ5eI5OnqOPBNLWSHKh2a30DoXe8/edit?usp=sharing"",""นราธิวาส!I318"")"),20)</f>
        <v>20</v>
      </c>
      <c r="J423" s="400">
        <f ca="1">IFERROR(__xludf.DUMMYFUNCTION("IMPORTRANGE(""https://docs.google.com/spreadsheets/d/1IYY_tgx_IHuhSq3AJ5eI5OnqOPBNLWSHKh2a30DoXe8/edit?usp=sharing"",""นราธิวาส!J318"")"),20)</f>
        <v>20</v>
      </c>
      <c r="K423" s="169">
        <f t="shared" ca="1" si="113"/>
        <v>100</v>
      </c>
      <c r="L423" s="189"/>
      <c r="M423" s="189"/>
      <c r="N423" s="189"/>
      <c r="O423" s="189"/>
      <c r="P423" s="189"/>
    </row>
    <row r="424" spans="1:16" ht="21.75" customHeight="1" x14ac:dyDescent="0.45">
      <c r="A424" s="183"/>
      <c r="B424" s="184"/>
      <c r="C424" s="184"/>
      <c r="D424" s="201"/>
      <c r="E424" s="206"/>
      <c r="F424" s="203"/>
      <c r="G424" s="233" t="s">
        <v>153</v>
      </c>
      <c r="H424" s="188" t="s">
        <v>37</v>
      </c>
      <c r="I424" s="347">
        <f ca="1">IFERROR(__xludf.DUMMYFUNCTION("IMPORTRANGE(""https://docs.google.com/spreadsheets/d/1IYY_tgx_IHuhSq3AJ5eI5OnqOPBNLWSHKh2a30DoXe8/edit?usp=sharing"",""นราธิวาส!I319"")"),20)</f>
        <v>20</v>
      </c>
      <c r="J424" s="400">
        <f ca="1">IFERROR(__xludf.DUMMYFUNCTION("IMPORTRANGE(""https://docs.google.com/spreadsheets/d/1IYY_tgx_IHuhSq3AJ5eI5OnqOPBNLWSHKh2a30DoXe8/edit?usp=sharing"",""นราธิวาส!J319"")"),20)</f>
        <v>20</v>
      </c>
      <c r="K424" s="169">
        <f t="shared" ca="1" si="113"/>
        <v>100</v>
      </c>
      <c r="L424" s="189"/>
      <c r="M424" s="189"/>
      <c r="N424" s="189"/>
      <c r="O424" s="189"/>
      <c r="P424" s="189"/>
    </row>
    <row r="425" spans="1:16" ht="21.75" customHeight="1" x14ac:dyDescent="0.45">
      <c r="A425" s="183"/>
      <c r="B425" s="184"/>
      <c r="C425" s="184"/>
      <c r="D425" s="201"/>
      <c r="E425" s="206"/>
      <c r="F425" s="203"/>
      <c r="G425" s="233" t="s">
        <v>154</v>
      </c>
      <c r="H425" s="188" t="s">
        <v>37</v>
      </c>
      <c r="I425" s="347">
        <f ca="1">IFERROR(__xludf.DUMMYFUNCTION("IMPORTRANGE(""https://docs.google.com/spreadsheets/d/1IYY_tgx_IHuhSq3AJ5eI5OnqOPBNLWSHKh2a30DoXe8/edit?usp=sharing"",""นราธิวาส!I320"")"),20)</f>
        <v>20</v>
      </c>
      <c r="J425" s="400">
        <f ca="1">IFERROR(__xludf.DUMMYFUNCTION("IMPORTRANGE(""https://docs.google.com/spreadsheets/d/1IYY_tgx_IHuhSq3AJ5eI5OnqOPBNLWSHKh2a30DoXe8/edit?usp=sharing"",""นราธิวาส!J320"")"),20)</f>
        <v>20</v>
      </c>
      <c r="K425" s="169">
        <f t="shared" ca="1" si="113"/>
        <v>100</v>
      </c>
      <c r="L425" s="189"/>
      <c r="M425" s="189"/>
      <c r="N425" s="189"/>
      <c r="O425" s="189"/>
      <c r="P425" s="189"/>
    </row>
    <row r="426" spans="1:16" ht="21.75" customHeight="1" x14ac:dyDescent="0.45">
      <c r="A426" s="183"/>
      <c r="B426" s="184"/>
      <c r="C426" s="184"/>
      <c r="D426" s="201"/>
      <c r="E426" s="206"/>
      <c r="F426" s="405" t="s">
        <v>155</v>
      </c>
      <c r="G426" s="204"/>
      <c r="H426" s="207" t="s">
        <v>37</v>
      </c>
      <c r="I426" s="397">
        <f ca="1">IFERROR(__xludf.DUMMYFUNCTION("IMPORTRANGE(""https://docs.google.com/spreadsheets/d/1IYY_tgx_IHuhSq3AJ5eI5OnqOPBNLWSHKh2a30DoXe8/edit?usp=sharing"",""นราธิวาส!I321"")"),10)</f>
        <v>10</v>
      </c>
      <c r="J426" s="398">
        <f ca="1">IFERROR(__xludf.DUMMYFUNCTION("IMPORTRANGE(""https://docs.google.com/spreadsheets/d/1IYY_tgx_IHuhSq3AJ5eI5OnqOPBNLWSHKh2a30DoXe8/edit?usp=sharing"",""นราธิวาส!J321"")"),10)</f>
        <v>10</v>
      </c>
      <c r="K426" s="209">
        <f t="shared" ca="1" si="113"/>
        <v>100</v>
      </c>
      <c r="L426" s="189"/>
      <c r="M426" s="189"/>
      <c r="N426" s="189"/>
      <c r="O426" s="189"/>
      <c r="P426" s="189"/>
    </row>
    <row r="427" spans="1:16" ht="21.75" customHeight="1" x14ac:dyDescent="0.45">
      <c r="A427" s="183"/>
      <c r="B427" s="184"/>
      <c r="C427" s="184"/>
      <c r="D427" s="201"/>
      <c r="E427" s="206"/>
      <c r="F427" s="203"/>
      <c r="G427" s="204"/>
      <c r="H427" s="207" t="s">
        <v>122</v>
      </c>
      <c r="I427" s="397">
        <f ca="1">IFERROR(__xludf.DUMMYFUNCTION("IMPORTRANGE(""https://docs.google.com/spreadsheets/d/1IYY_tgx_IHuhSq3AJ5eI5OnqOPBNLWSHKh2a30DoXe8/edit?usp=sharing"",""นราธิวาส!I322"")"),30)</f>
        <v>30</v>
      </c>
      <c r="J427" s="399">
        <f ca="1">IFERROR(__xludf.DUMMYFUNCTION("IMPORTRANGE(""https://docs.google.com/spreadsheets/d/1IYY_tgx_IHuhSq3AJ5eI5OnqOPBNLWSHKh2a30DoXe8/edit?usp=sharing"",""นราธิวาส!J322"")"),30)</f>
        <v>30</v>
      </c>
      <c r="K427" s="209">
        <f t="shared" ca="1" si="113"/>
        <v>100</v>
      </c>
      <c r="L427" s="189"/>
      <c r="M427" s="189"/>
      <c r="N427" s="189"/>
      <c r="O427" s="189"/>
      <c r="P427" s="189"/>
    </row>
    <row r="428" spans="1:16" ht="21.75" customHeight="1" x14ac:dyDescent="0.45">
      <c r="A428" s="183"/>
      <c r="B428" s="184"/>
      <c r="C428" s="184"/>
      <c r="D428" s="201"/>
      <c r="E428" s="206"/>
      <c r="F428" s="203"/>
      <c r="G428" s="233" t="s">
        <v>156</v>
      </c>
      <c r="H428" s="188" t="s">
        <v>37</v>
      </c>
      <c r="I428" s="406">
        <f ca="1">IFERROR(__xludf.DUMMYFUNCTION("IMPORTRANGE(""https://docs.google.com/spreadsheets/d/1IYY_tgx_IHuhSq3AJ5eI5OnqOPBNLWSHKh2a30DoXe8/edit?usp=sharing"",""นราธิวาส!I323"")"),10)</f>
        <v>10</v>
      </c>
      <c r="J428" s="400">
        <f ca="1">IFERROR(__xludf.DUMMYFUNCTION("IMPORTRANGE(""https://docs.google.com/spreadsheets/d/1IYY_tgx_IHuhSq3AJ5eI5OnqOPBNLWSHKh2a30DoXe8/edit?usp=sharing"",""นราธิวาส!J323"")"),10)</f>
        <v>10</v>
      </c>
      <c r="K428" s="169">
        <f t="shared" ca="1" si="113"/>
        <v>100</v>
      </c>
      <c r="L428" s="189"/>
      <c r="M428" s="189"/>
      <c r="N428" s="189"/>
      <c r="O428" s="189"/>
      <c r="P428" s="189"/>
    </row>
    <row r="429" spans="1:16" ht="21.75" customHeight="1" x14ac:dyDescent="0.45">
      <c r="A429" s="183"/>
      <c r="B429" s="184"/>
      <c r="C429" s="184"/>
      <c r="D429" s="201"/>
      <c r="E429" s="206"/>
      <c r="F429" s="203"/>
      <c r="G429" s="233" t="s">
        <v>157</v>
      </c>
      <c r="H429" s="188" t="s">
        <v>37</v>
      </c>
      <c r="I429" s="406">
        <f ca="1">IFERROR(__xludf.DUMMYFUNCTION("IMPORTRANGE(""https://docs.google.com/spreadsheets/d/1IYY_tgx_IHuhSq3AJ5eI5OnqOPBNLWSHKh2a30DoXe8/edit?usp=sharing"",""นราธิวาส!I324"")"),10)</f>
        <v>10</v>
      </c>
      <c r="J429" s="400">
        <f ca="1">IFERROR(__xludf.DUMMYFUNCTION("IMPORTRANGE(""https://docs.google.com/spreadsheets/d/1IYY_tgx_IHuhSq3AJ5eI5OnqOPBNLWSHKh2a30DoXe8/edit?usp=sharing"",""นราธิวาส!J324"")"),10)</f>
        <v>10</v>
      </c>
      <c r="K429" s="169">
        <f t="shared" ca="1" si="113"/>
        <v>100</v>
      </c>
      <c r="L429" s="189"/>
      <c r="M429" s="189"/>
      <c r="N429" s="189"/>
      <c r="O429" s="189"/>
      <c r="P429" s="189"/>
    </row>
    <row r="430" spans="1:16" ht="21.75" customHeight="1" x14ac:dyDescent="0.45">
      <c r="A430" s="183"/>
      <c r="B430" s="184"/>
      <c r="C430" s="184"/>
      <c r="D430" s="201"/>
      <c r="E430" s="206"/>
      <c r="F430" s="202" t="s">
        <v>53</v>
      </c>
      <c r="G430" s="394"/>
      <c r="H430" s="407" t="s">
        <v>37</v>
      </c>
      <c r="I430" s="208">
        <f ca="1">IFERROR(__xludf.DUMMYFUNCTION("IMPORTRANGE(""https://docs.google.com/spreadsheets/d/1IYY_tgx_IHuhSq3AJ5eI5OnqOPBNLWSHKh2a30DoXe8/edit?usp=sharing"",""นราธิวาส!I325"")"),45)</f>
        <v>45</v>
      </c>
      <c r="J430" s="398">
        <f ca="1">IFERROR(__xludf.DUMMYFUNCTION("IMPORTRANGE(""https://docs.google.com/spreadsheets/d/1IYY_tgx_IHuhSq3AJ5eI5OnqOPBNLWSHKh2a30DoXe8/edit?usp=sharing"",""นราธิวาส!J325"")"),45)</f>
        <v>45</v>
      </c>
      <c r="K430" s="209">
        <f t="shared" ca="1" si="113"/>
        <v>100</v>
      </c>
      <c r="L430" s="189"/>
      <c r="M430" s="189"/>
      <c r="N430" s="189"/>
      <c r="O430" s="189"/>
      <c r="P430" s="189"/>
    </row>
    <row r="431" spans="1:16" ht="21.75" customHeight="1" x14ac:dyDescent="0.45">
      <c r="A431" s="408"/>
      <c r="B431" s="409"/>
      <c r="C431" s="409"/>
      <c r="D431" s="410"/>
      <c r="E431" s="206"/>
      <c r="F431" s="203"/>
      <c r="G431" s="233" t="s">
        <v>158</v>
      </c>
      <c r="H431" s="188" t="s">
        <v>37</v>
      </c>
      <c r="I431" s="406">
        <f ca="1">IFERROR(__xludf.DUMMYFUNCTION("IMPORTRANGE(""https://docs.google.com/spreadsheets/d/1IYY_tgx_IHuhSq3AJ5eI5OnqOPBNLWSHKh2a30DoXe8/edit?usp=sharing"",""นราธิวาส!I326"")"),25)</f>
        <v>25</v>
      </c>
      <c r="J431" s="400">
        <f ca="1">IFERROR(__xludf.DUMMYFUNCTION("IMPORTRANGE(""https://docs.google.com/spreadsheets/d/1IYY_tgx_IHuhSq3AJ5eI5OnqOPBNLWSHKh2a30DoXe8/edit?usp=sharing"",""นราธิวาส!J326"")"),25)</f>
        <v>25</v>
      </c>
      <c r="K431" s="169">
        <f t="shared" ca="1" si="113"/>
        <v>100</v>
      </c>
      <c r="L431" s="189"/>
      <c r="M431" s="189"/>
      <c r="N431" s="189"/>
      <c r="O431" s="189"/>
      <c r="P431" s="189"/>
    </row>
    <row r="432" spans="1:16" ht="21.75" customHeight="1" x14ac:dyDescent="0.45">
      <c r="A432" s="408"/>
      <c r="B432" s="409"/>
      <c r="C432" s="409"/>
      <c r="D432" s="410"/>
      <c r="E432" s="206"/>
      <c r="F432" s="203"/>
      <c r="G432" s="233" t="s">
        <v>159</v>
      </c>
      <c r="H432" s="188" t="s">
        <v>37</v>
      </c>
      <c r="I432" s="406">
        <f ca="1">IFERROR(__xludf.DUMMYFUNCTION("IMPORTRANGE(""https://docs.google.com/spreadsheets/d/1IYY_tgx_IHuhSq3AJ5eI5OnqOPBNLWSHKh2a30DoXe8/edit?usp=sharing"",""นราธิวาส!I327"")"),20)</f>
        <v>20</v>
      </c>
      <c r="J432" s="400">
        <f ca="1">IFERROR(__xludf.DUMMYFUNCTION("IMPORTRANGE(""https://docs.google.com/spreadsheets/d/1IYY_tgx_IHuhSq3AJ5eI5OnqOPBNLWSHKh2a30DoXe8/edit?usp=sharing"",""นราธิวาส!J327"")"),20)</f>
        <v>20</v>
      </c>
      <c r="K432" s="169">
        <f t="shared" ca="1" si="113"/>
        <v>100</v>
      </c>
      <c r="L432" s="189"/>
      <c r="M432" s="189"/>
      <c r="N432" s="189"/>
      <c r="O432" s="189"/>
      <c r="P432" s="189"/>
    </row>
    <row r="433" spans="1:16" ht="21.75" customHeight="1" x14ac:dyDescent="0.35">
      <c r="A433" s="183"/>
      <c r="B433" s="184"/>
      <c r="C433" s="184"/>
      <c r="D433" s="201"/>
      <c r="E433" s="202" t="s">
        <v>54</v>
      </c>
      <c r="F433" s="203"/>
      <c r="G433" s="204"/>
      <c r="H433" s="194"/>
      <c r="I433" s="195"/>
      <c r="J433" s="205">
        <f ca="1">IFERROR(__xludf.DUMMYFUNCTION("IMPORTRANGE(""https://docs.google.com/spreadsheets/d/1IYY_tgx_IHuhSq3AJ5eI5OnqOPBNLWSHKh2a30DoXe8/edit?usp=sharing"",""นราธิวาส!J328"")"),0)</f>
        <v>0</v>
      </c>
      <c r="K433" s="169"/>
      <c r="L433" s="189"/>
      <c r="M433" s="189"/>
      <c r="N433" s="189"/>
      <c r="O433" s="189"/>
      <c r="P433" s="189"/>
    </row>
    <row r="434" spans="1:16" ht="21.75" customHeight="1" x14ac:dyDescent="0.35">
      <c r="A434" s="183"/>
      <c r="B434" s="184"/>
      <c r="C434" s="184"/>
      <c r="D434" s="213">
        <v>3</v>
      </c>
      <c r="E434" s="214" t="s">
        <v>55</v>
      </c>
      <c r="F434" s="215"/>
      <c r="G434" s="216"/>
      <c r="H434" s="194"/>
      <c r="I434" s="195"/>
      <c r="J434" s="217">
        <f ca="1">IFERROR(__xludf.DUMMYFUNCTION("IMPORTRANGE(""https://docs.google.com/spreadsheets/d/1IYY_tgx_IHuhSq3AJ5eI5OnqOPBNLWSHKh2a30DoXe8/edit?usp=sharing"",""นราธิวาส!J329"")"),0)</f>
        <v>0</v>
      </c>
      <c r="K434" s="169"/>
      <c r="L434" s="189"/>
      <c r="M434" s="189"/>
      <c r="N434" s="189"/>
      <c r="O434" s="189"/>
      <c r="P434" s="189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IFERROR(__xludf.DUMMYFUNCTION("IMPORTRANGE(""https://docs.google.com/spreadsheets/d/1IYY_tgx_IHuhSq3AJ5eI5OnqOPBNLWSHKh2a30DoXe8/edit?usp=sharing"",""นราธิวาส!I330"")"),10)</f>
        <v>10</v>
      </c>
      <c r="J435" s="416">
        <f ca="1">IFERROR(__xludf.DUMMYFUNCTION("IMPORTRANGE(""https://docs.google.com/spreadsheets/d/1IYY_tgx_IHuhSq3AJ5eI5OnqOPBNLWSHKh2a30DoXe8/edit?usp=sharing"",""นราธิวาส!J330"")"),10)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IFERROR(__xludf.DUMMYFUNCTION("IMPORTRANGE(""https://docs.google.com/spreadsheets/d/1IYY_tgx_IHuhSq3AJ5eI5OnqOPBNLWSHKh2a30DoXe8/edit?usp=sharing"",""นราธิวาส!L330"")"),980000)</f>
        <v>980000</v>
      </c>
      <c r="M435" s="418"/>
      <c r="N435" s="418">
        <f ca="1">IFERROR(__xludf.DUMMYFUNCTION("IMPORTRANGE(""https://docs.google.com/spreadsheets/d/1IYY_tgx_IHuhSq3AJ5eI5OnqOPBNLWSHKh2a30DoXe8/edit?usp=sharing"",""นราธิวาส!M330"")"),54087.74)</f>
        <v>54087.74</v>
      </c>
      <c r="O435" s="418">
        <f t="shared" ref="O435:O439" ca="1" si="114">+IF(L435&gt;0,N435*100/L435,0)</f>
        <v>5.5191571428571429</v>
      </c>
      <c r="P435" s="418"/>
    </row>
    <row r="436" spans="1:16" ht="21.75" customHeight="1" x14ac:dyDescent="0.35">
      <c r="A436" s="162"/>
      <c r="B436" s="163"/>
      <c r="C436" s="163" t="s">
        <v>16</v>
      </c>
      <c r="D436" s="164" t="s">
        <v>38</v>
      </c>
      <c r="E436" s="165"/>
      <c r="F436" s="165"/>
      <c r="G436" s="166" t="s">
        <v>39</v>
      </c>
      <c r="H436" s="167" t="s">
        <v>12</v>
      </c>
      <c r="I436" s="168" t="s">
        <v>40</v>
      </c>
      <c r="J436" s="168"/>
      <c r="K436" s="169"/>
      <c r="L436" s="170">
        <f ca="1">IFERROR(__xludf.DUMMYFUNCTION("IMPORTRANGE(""https://docs.google.com/spreadsheets/d/1IYY_tgx_IHuhSq3AJ5eI5OnqOPBNLWSHKh2a30DoXe8/edit?usp=sharing"",""นราธิวาส!L331"")"),0)</f>
        <v>0</v>
      </c>
      <c r="M436" s="170"/>
      <c r="N436" s="176">
        <f ca="1">IFERROR(__xludf.DUMMYFUNCTION("IMPORTRANGE(""https://docs.google.com/spreadsheets/d/1IYY_tgx_IHuhSq3AJ5eI5OnqOPBNLWSHKh2a30DoXe8/edit?usp=sharing"",""นราธิวาส!M331"")"),0)</f>
        <v>0</v>
      </c>
      <c r="O436" s="176">
        <f t="shared" ca="1" si="114"/>
        <v>0</v>
      </c>
      <c r="P436" s="176"/>
    </row>
    <row r="437" spans="1:16" ht="21.75" customHeight="1" x14ac:dyDescent="0.35">
      <c r="A437" s="162"/>
      <c r="B437" s="163"/>
      <c r="C437" s="163"/>
      <c r="D437" s="172"/>
      <c r="E437" s="165"/>
      <c r="F437" s="165" t="s">
        <v>40</v>
      </c>
      <c r="G437" s="384" t="s">
        <v>248</v>
      </c>
      <c r="H437" s="167" t="s">
        <v>12</v>
      </c>
      <c r="I437" s="168"/>
      <c r="J437" s="168"/>
      <c r="K437" s="169"/>
      <c r="L437" s="526">
        <f ca="1">IFERROR(__xludf.DUMMYFUNCTION("IMPORTRANGE(""https://docs.google.com/spreadsheets/d/1IYY_tgx_IHuhSq3AJ5eI5OnqOPBNLWSHKh2a30DoXe8/edit?usp=sharing"",""นราธิวาส!L332"")"),980000)</f>
        <v>980000</v>
      </c>
      <c r="M437" s="171"/>
      <c r="N437" s="176">
        <f ca="1">IFERROR(__xludf.DUMMYFUNCTION("IMPORTRANGE(""https://docs.google.com/spreadsheets/d/1IYY_tgx_IHuhSq3AJ5eI5OnqOPBNLWSHKh2a30DoXe8/edit?usp=sharing"",""นราธิวาส!M332"")"),54087.74)</f>
        <v>54087.74</v>
      </c>
      <c r="O437" s="176">
        <f t="shared" ca="1" si="114"/>
        <v>5.5191571428571429</v>
      </c>
      <c r="P437" s="176"/>
    </row>
    <row r="438" spans="1:16" ht="21.75" customHeight="1" x14ac:dyDescent="0.35">
      <c r="A438" s="162"/>
      <c r="B438" s="163"/>
      <c r="C438" s="163"/>
      <c r="D438" s="172"/>
      <c r="E438" s="165"/>
      <c r="F438" s="165"/>
      <c r="G438" s="380" t="s">
        <v>129</v>
      </c>
      <c r="H438" s="167" t="s">
        <v>12</v>
      </c>
      <c r="I438" s="168"/>
      <c r="J438" s="168"/>
      <c r="K438" s="169"/>
      <c r="L438" s="176">
        <f ca="1">IFERROR(__xludf.DUMMYFUNCTION("IMPORTRANGE(""https://docs.google.com/spreadsheets/d/1IYY_tgx_IHuhSq3AJ5eI5OnqOPBNLWSHKh2a30DoXe8/edit?usp=sharing"",""นราธิวาส!L333"")"),0)</f>
        <v>0</v>
      </c>
      <c r="M438" s="176"/>
      <c r="N438" s="176">
        <f ca="1">IFERROR(__xludf.DUMMYFUNCTION("IMPORTRANGE(""https://docs.google.com/spreadsheets/d/1IYY_tgx_IHuhSq3AJ5eI5OnqOPBNLWSHKh2a30DoXe8/edit?usp=sharing"",""นราธิวาส!M333"")"),0)</f>
        <v>0</v>
      </c>
      <c r="O438" s="176">
        <f t="shared" ca="1" si="114"/>
        <v>0</v>
      </c>
      <c r="P438" s="176"/>
    </row>
    <row r="439" spans="1:16" ht="21.75" customHeight="1" x14ac:dyDescent="0.35">
      <c r="A439" s="162"/>
      <c r="B439" s="163"/>
      <c r="C439" s="163"/>
      <c r="D439" s="172"/>
      <c r="E439" s="165"/>
      <c r="F439" s="165"/>
      <c r="G439" s="380" t="s">
        <v>130</v>
      </c>
      <c r="H439" s="167" t="s">
        <v>12</v>
      </c>
      <c r="I439" s="168"/>
      <c r="J439" s="168"/>
      <c r="K439" s="169"/>
      <c r="L439" s="176">
        <f ca="1">IFERROR(__xludf.DUMMYFUNCTION("IMPORTRANGE(""https://docs.google.com/spreadsheets/d/1IYY_tgx_IHuhSq3AJ5eI5OnqOPBNLWSHKh2a30DoXe8/edit?usp=sharing"",""นราธิวาส!L334"")"),76000)</f>
        <v>76000</v>
      </c>
      <c r="M439" s="176"/>
      <c r="N439" s="176">
        <f ca="1">IFERROR(__xludf.DUMMYFUNCTION("IMPORTRANGE(""https://docs.google.com/spreadsheets/d/1IYY_tgx_IHuhSq3AJ5eI5OnqOPBNLWSHKh2a30DoXe8/edit?usp=sharing"",""นราธิวาส!M334"")"),54087.74)</f>
        <v>54087.74</v>
      </c>
      <c r="O439" s="176">
        <f t="shared" ca="1" si="114"/>
        <v>71.168078947368414</v>
      </c>
      <c r="P439" s="176"/>
    </row>
    <row r="440" spans="1:16" ht="21.75" customHeight="1" x14ac:dyDescent="0.35">
      <c r="A440" s="381"/>
      <c r="B440" s="382"/>
      <c r="C440" s="163"/>
      <c r="D440" s="383"/>
      <c r="E440" s="165"/>
      <c r="F440" s="165"/>
      <c r="G440" s="384" t="s">
        <v>131</v>
      </c>
      <c r="H440" s="167" t="s">
        <v>12</v>
      </c>
      <c r="I440" s="195"/>
      <c r="J440" s="195"/>
      <c r="K440" s="231"/>
      <c r="L440" s="176"/>
      <c r="M440" s="176"/>
      <c r="N440" s="385">
        <f ca="1">IFERROR(__xludf.DUMMYFUNCTION("IMPORTRANGE(""https://docs.google.com/spreadsheets/d/1IYY_tgx_IHuhSq3AJ5eI5OnqOPBNLWSHKh2a30DoXe8/edit?usp=sharing"",""นราธิวาส!M335"")"),20200)</f>
        <v>20200</v>
      </c>
      <c r="O440" s="176"/>
      <c r="P440" s="176"/>
    </row>
    <row r="441" spans="1:16" ht="21.75" customHeight="1" x14ac:dyDescent="0.35">
      <c r="A441" s="381"/>
      <c r="B441" s="382"/>
      <c r="C441" s="163"/>
      <c r="D441" s="383"/>
      <c r="E441" s="165"/>
      <c r="F441" s="165"/>
      <c r="G441" s="384" t="s">
        <v>132</v>
      </c>
      <c r="H441" s="167" t="s">
        <v>12</v>
      </c>
      <c r="I441" s="195"/>
      <c r="J441" s="195"/>
      <c r="K441" s="231"/>
      <c r="L441" s="176"/>
      <c r="M441" s="176"/>
      <c r="N441" s="385">
        <f ca="1">IFERROR(__xludf.DUMMYFUNCTION("IMPORTRANGE(""https://docs.google.com/spreadsheets/d/1IYY_tgx_IHuhSq3AJ5eI5OnqOPBNLWSHKh2a30DoXe8/edit?usp=sharing"",""นราธิวาส!M336"")"),0)</f>
        <v>0</v>
      </c>
      <c r="O441" s="176"/>
      <c r="P441" s="176"/>
    </row>
    <row r="442" spans="1:16" ht="21.75" customHeight="1" x14ac:dyDescent="0.35">
      <c r="A442" s="381"/>
      <c r="B442" s="382"/>
      <c r="C442" s="163"/>
      <c r="D442" s="383"/>
      <c r="E442" s="165"/>
      <c r="F442" s="165"/>
      <c r="G442" s="384" t="s">
        <v>133</v>
      </c>
      <c r="H442" s="167" t="s">
        <v>12</v>
      </c>
      <c r="I442" s="195"/>
      <c r="J442" s="195"/>
      <c r="K442" s="231"/>
      <c r="L442" s="176"/>
      <c r="M442" s="176"/>
      <c r="N442" s="385">
        <f ca="1">IFERROR(__xludf.DUMMYFUNCTION("IMPORTRANGE(""https://docs.google.com/spreadsheets/d/1IYY_tgx_IHuhSq3AJ5eI5OnqOPBNLWSHKh2a30DoXe8/edit?usp=sharing"",""นราธิวาส!M337"")"),0)</f>
        <v>0</v>
      </c>
      <c r="O442" s="176"/>
      <c r="P442" s="176"/>
    </row>
    <row r="443" spans="1:16" ht="21.75" customHeight="1" x14ac:dyDescent="0.35">
      <c r="A443" s="381"/>
      <c r="B443" s="382"/>
      <c r="C443" s="163"/>
      <c r="D443" s="383"/>
      <c r="E443" s="165"/>
      <c r="F443" s="165"/>
      <c r="G443" s="384" t="s">
        <v>134</v>
      </c>
      <c r="H443" s="167" t="s">
        <v>12</v>
      </c>
      <c r="I443" s="195"/>
      <c r="J443" s="195"/>
      <c r="K443" s="231"/>
      <c r="L443" s="176"/>
      <c r="M443" s="176"/>
      <c r="N443" s="385">
        <f ca="1">IFERROR(__xludf.DUMMYFUNCTION("IMPORTRANGE(""https://docs.google.com/spreadsheets/d/1IYY_tgx_IHuhSq3AJ5eI5OnqOPBNLWSHKh2a30DoXe8/edit?usp=sharing"",""นราธิวาส!M338"")"),33887.74)</f>
        <v>33887.74</v>
      </c>
      <c r="O443" s="176"/>
      <c r="P443" s="176"/>
    </row>
    <row r="444" spans="1:16" ht="21.75" customHeight="1" x14ac:dyDescent="0.35">
      <c r="A444" s="183"/>
      <c r="B444" s="184"/>
      <c r="C444" s="163" t="s">
        <v>16</v>
      </c>
      <c r="D444" s="185" t="s">
        <v>44</v>
      </c>
      <c r="E444" s="186"/>
      <c r="F444" s="186"/>
      <c r="G444" s="187"/>
      <c r="H444" s="188"/>
      <c r="I444" s="168"/>
      <c r="J444" s="168"/>
      <c r="K444" s="169"/>
      <c r="L444" s="189"/>
      <c r="M444" s="189"/>
      <c r="N444" s="189"/>
      <c r="O444" s="189"/>
      <c r="P444" s="189"/>
    </row>
    <row r="445" spans="1:16" ht="21.75" customHeight="1" x14ac:dyDescent="0.35">
      <c r="A445" s="183"/>
      <c r="B445" s="184"/>
      <c r="C445" s="184"/>
      <c r="D445" s="190">
        <v>1</v>
      </c>
      <c r="E445" s="191" t="s">
        <v>45</v>
      </c>
      <c r="F445" s="192"/>
      <c r="G445" s="193"/>
      <c r="H445" s="194"/>
      <c r="I445" s="195"/>
      <c r="J445" s="217">
        <f ca="1">IFERROR(__xludf.DUMMYFUNCTION("IMPORTRANGE(""https://docs.google.com/spreadsheets/d/1IYY_tgx_IHuhSq3AJ5eI5OnqOPBNLWSHKh2a30DoXe8/edit?usp=sharing"",""นราธิวาส!J340"")"),0)</f>
        <v>0</v>
      </c>
      <c r="K445" s="169"/>
      <c r="L445" s="189"/>
      <c r="M445" s="189"/>
      <c r="N445" s="189"/>
      <c r="O445" s="189"/>
      <c r="P445" s="189"/>
    </row>
    <row r="446" spans="1:16" ht="21.75" customHeight="1" x14ac:dyDescent="0.35">
      <c r="A446" s="183"/>
      <c r="B446" s="184"/>
      <c r="C446" s="184"/>
      <c r="D446" s="197">
        <v>2</v>
      </c>
      <c r="E446" s="198" t="s">
        <v>46</v>
      </c>
      <c r="F446" s="199"/>
      <c r="G446" s="200"/>
      <c r="H446" s="194"/>
      <c r="I446" s="195"/>
      <c r="J446" s="419">
        <f ca="1">IFERROR(__xludf.DUMMYFUNCTION("IMPORTRANGE(""https://docs.google.com/spreadsheets/d/1IYY_tgx_IHuhSq3AJ5eI5OnqOPBNLWSHKh2a30DoXe8/edit?usp=sharing"",""นราธิวาส!J341"")"),1)</f>
        <v>1</v>
      </c>
      <c r="K446" s="169"/>
      <c r="L446" s="189" t="s">
        <v>40</v>
      </c>
      <c r="M446" s="189"/>
      <c r="N446" s="189" t="s">
        <v>40</v>
      </c>
      <c r="O446" s="189"/>
      <c r="P446" s="189"/>
    </row>
    <row r="447" spans="1:16" ht="21.75" customHeight="1" x14ac:dyDescent="0.35">
      <c r="A447" s="183"/>
      <c r="B447" s="184"/>
      <c r="C447" s="184"/>
      <c r="D447" s="201"/>
      <c r="E447" s="202" t="s">
        <v>161</v>
      </c>
      <c r="F447" s="203"/>
      <c r="G447" s="204"/>
      <c r="H447" s="194"/>
      <c r="I447" s="195"/>
      <c r="J447" s="196">
        <f ca="1">IFERROR(__xludf.DUMMYFUNCTION("IMPORTRANGE(""https://docs.google.com/spreadsheets/d/1IYY_tgx_IHuhSq3AJ5eI5OnqOPBNLWSHKh2a30DoXe8/edit?usp=sharing"",""นราธิวาส!J342"")"),1)</f>
        <v>1</v>
      </c>
      <c r="K447" s="169"/>
      <c r="L447" s="189"/>
      <c r="M447" s="189"/>
      <c r="N447" s="189"/>
      <c r="O447" s="189"/>
      <c r="P447" s="189"/>
    </row>
    <row r="448" spans="1:16" ht="21.75" customHeight="1" x14ac:dyDescent="0.35">
      <c r="A448" s="183"/>
      <c r="B448" s="184"/>
      <c r="C448" s="184"/>
      <c r="D448" s="201"/>
      <c r="E448" s="202" t="s">
        <v>48</v>
      </c>
      <c r="F448" s="203"/>
      <c r="G448" s="204"/>
      <c r="H448" s="194"/>
      <c r="I448" s="195"/>
      <c r="J448" s="196">
        <f ca="1">IFERROR(__xludf.DUMMYFUNCTION("IMPORTRANGE(""https://docs.google.com/spreadsheets/d/1IYY_tgx_IHuhSq3AJ5eI5OnqOPBNLWSHKh2a30DoXe8/edit?usp=sharing"",""นราธิวาส!J343"")"),1)</f>
        <v>1</v>
      </c>
      <c r="K448" s="169"/>
      <c r="L448" s="189"/>
      <c r="M448" s="189"/>
      <c r="N448" s="189"/>
      <c r="O448" s="189"/>
      <c r="P448" s="189"/>
    </row>
    <row r="449" spans="1:16" ht="21.75" customHeight="1" x14ac:dyDescent="0.35">
      <c r="A449" s="183"/>
      <c r="B449" s="184"/>
      <c r="C449" s="184"/>
      <c r="D449" s="201"/>
      <c r="E449" s="206"/>
      <c r="F449" s="420" t="s">
        <v>101</v>
      </c>
      <c r="G449" s="204"/>
      <c r="H449" s="194" t="s">
        <v>37</v>
      </c>
      <c r="I449" s="397">
        <f ca="1">IFERROR(__xludf.DUMMYFUNCTION("IMPORTRANGE(""https://docs.google.com/spreadsheets/d/1IYY_tgx_IHuhSq3AJ5eI5OnqOPBNLWSHKh2a30DoXe8/edit?usp=sharing"",""นราธิวาส!I344"")"),10)</f>
        <v>10</v>
      </c>
      <c r="J449" s="208">
        <f ca="1">IFERROR(__xludf.DUMMYFUNCTION("IMPORTRANGE(""https://docs.google.com/spreadsheets/d/1IYY_tgx_IHuhSq3AJ5eI5OnqOPBNLWSHKh2a30DoXe8/edit?usp=sharing"",""นราธิวาส!J344"")"),10)</f>
        <v>10</v>
      </c>
      <c r="K449" s="169">
        <f t="shared" ref="K449:K452" ca="1" si="115">IF(I449&gt;0,J449*100/I449,0)</f>
        <v>100</v>
      </c>
      <c r="L449" s="189"/>
      <c r="M449" s="189"/>
      <c r="N449" s="189"/>
      <c r="O449" s="189"/>
      <c r="P449" s="189"/>
    </row>
    <row r="450" spans="1:16" ht="21.75" customHeight="1" x14ac:dyDescent="0.35">
      <c r="A450" s="183"/>
      <c r="B450" s="184"/>
      <c r="C450" s="184"/>
      <c r="D450" s="201"/>
      <c r="E450" s="206"/>
      <c r="F450" s="203"/>
      <c r="G450" s="233" t="s">
        <v>162</v>
      </c>
      <c r="H450" s="194" t="s">
        <v>37</v>
      </c>
      <c r="I450" s="347">
        <f ca="1">IFERROR(__xludf.DUMMYFUNCTION("IMPORTRANGE(""https://docs.google.com/spreadsheets/d/1IYY_tgx_IHuhSq3AJ5eI5OnqOPBNLWSHKh2a30DoXe8/edit?usp=sharing"",""นราธิวาส!I345"")"),10)</f>
        <v>10</v>
      </c>
      <c r="J450" s="196">
        <f ca="1">IFERROR(__xludf.DUMMYFUNCTION("IMPORTRANGE(""https://docs.google.com/spreadsheets/d/1IYY_tgx_IHuhSq3AJ5eI5OnqOPBNLWSHKh2a30DoXe8/edit?usp=sharing"",""นราธิวาส!J345"")"),10)</f>
        <v>10</v>
      </c>
      <c r="K450" s="169">
        <f t="shared" ca="1" si="115"/>
        <v>100</v>
      </c>
      <c r="L450" s="189"/>
      <c r="M450" s="189"/>
      <c r="N450" s="189"/>
      <c r="O450" s="189"/>
      <c r="P450" s="189"/>
    </row>
    <row r="451" spans="1:16" ht="21.75" customHeight="1" x14ac:dyDescent="0.35">
      <c r="A451" s="183"/>
      <c r="B451" s="184"/>
      <c r="C451" s="184"/>
      <c r="D451" s="201"/>
      <c r="E451" s="206"/>
      <c r="F451" s="203"/>
      <c r="G451" s="287" t="s">
        <v>163</v>
      </c>
      <c r="H451" s="194" t="s">
        <v>37</v>
      </c>
      <c r="I451" s="347">
        <f ca="1">IFERROR(__xludf.DUMMYFUNCTION("IMPORTRANGE(""https://docs.google.com/spreadsheets/d/1IYY_tgx_IHuhSq3AJ5eI5OnqOPBNLWSHKh2a30DoXe8/edit?usp=sharing"",""นราธิวาส!I346"")"),0)</f>
        <v>0</v>
      </c>
      <c r="J451" s="195">
        <f ca="1">IFERROR(__xludf.DUMMYFUNCTION("IMPORTRANGE(""https://docs.google.com/spreadsheets/d/1IYY_tgx_IHuhSq3AJ5eI5OnqOPBNLWSHKh2a30DoXe8/edit?usp=sharing"",""นราธิวาส!J346"")"),0)</f>
        <v>0</v>
      </c>
      <c r="K451" s="169">
        <f t="shared" ca="1" si="115"/>
        <v>0</v>
      </c>
      <c r="L451" s="189"/>
      <c r="M451" s="189"/>
      <c r="N451" s="189"/>
      <c r="O451" s="189"/>
      <c r="P451" s="189"/>
    </row>
    <row r="452" spans="1:16" ht="21.75" customHeight="1" x14ac:dyDescent="0.35">
      <c r="A452" s="183"/>
      <c r="B452" s="184"/>
      <c r="C452" s="184"/>
      <c r="D452" s="201"/>
      <c r="E452" s="206"/>
      <c r="F452" s="203"/>
      <c r="G452" s="204" t="s">
        <v>164</v>
      </c>
      <c r="H452" s="194" t="s">
        <v>37</v>
      </c>
      <c r="I452" s="195">
        <f ca="1">IFERROR(__xludf.DUMMYFUNCTION("IMPORTRANGE(""https://docs.google.com/spreadsheets/d/1IYY_tgx_IHuhSq3AJ5eI5OnqOPBNLWSHKh2a30DoXe8/edit?usp=sharing"",""นราธิวาส!I347"")"),0)</f>
        <v>0</v>
      </c>
      <c r="J452" s="195">
        <f ca="1">IFERROR(__xludf.DUMMYFUNCTION("IMPORTRANGE(""https://docs.google.com/spreadsheets/d/1IYY_tgx_IHuhSq3AJ5eI5OnqOPBNLWSHKh2a30DoXe8/edit?usp=sharing"",""นราธิวาส!J347"")"),0)</f>
        <v>0</v>
      </c>
      <c r="K452" s="169">
        <f t="shared" ca="1" si="115"/>
        <v>0</v>
      </c>
      <c r="L452" s="189"/>
      <c r="M452" s="189"/>
      <c r="N452" s="189"/>
      <c r="O452" s="189"/>
      <c r="P452" s="189"/>
    </row>
    <row r="453" spans="1:16" ht="21.75" customHeight="1" x14ac:dyDescent="0.35">
      <c r="A453" s="183"/>
      <c r="B453" s="184"/>
      <c r="C453" s="184"/>
      <c r="D453" s="201"/>
      <c r="E453" s="202" t="s">
        <v>54</v>
      </c>
      <c r="F453" s="203"/>
      <c r="G453" s="204"/>
      <c r="H453" s="194"/>
      <c r="I453" s="195"/>
      <c r="J453" s="205">
        <f ca="1">IFERROR(__xludf.DUMMYFUNCTION("IMPORTRANGE(""https://docs.google.com/spreadsheets/d/1IYY_tgx_IHuhSq3AJ5eI5OnqOPBNLWSHKh2a30DoXe8/edit?usp=sharing"",""นราธิวาส!J348"")"),0)</f>
        <v>0</v>
      </c>
      <c r="K453" s="169"/>
      <c r="L453" s="189"/>
      <c r="M453" s="189"/>
      <c r="N453" s="189"/>
      <c r="O453" s="189"/>
      <c r="P453" s="189"/>
    </row>
    <row r="454" spans="1:16" ht="21.75" customHeight="1" x14ac:dyDescent="0.35">
      <c r="A454" s="183"/>
      <c r="B454" s="184"/>
      <c r="C454" s="184"/>
      <c r="D454" s="213">
        <v>3</v>
      </c>
      <c r="E454" s="214" t="s">
        <v>55</v>
      </c>
      <c r="F454" s="215"/>
      <c r="G454" s="216"/>
      <c r="H454" s="194"/>
      <c r="I454" s="195"/>
      <c r="J454" s="217">
        <f ca="1">IFERROR(__xludf.DUMMYFUNCTION("IMPORTRANGE(""https://docs.google.com/spreadsheets/d/1IYY_tgx_IHuhSq3AJ5eI5OnqOPBNLWSHKh2a30DoXe8/edit?usp=sharing"",""นราธิวาส!J349"")"),0)</f>
        <v>0</v>
      </c>
      <c r="K454" s="169"/>
      <c r="L454" s="189"/>
      <c r="M454" s="189"/>
      <c r="N454" s="189"/>
      <c r="O454" s="189"/>
      <c r="P454" s="189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IFERROR(__xludf.DUMMYFUNCTION("IMPORTRANGE(""https://docs.google.com/spreadsheets/d/1IYY_tgx_IHuhSq3AJ5eI5OnqOPBNLWSHKh2a30DoXe8/edit?usp=sharing"",""นราธิวาส!I350"")"),3019)</f>
        <v>3019</v>
      </c>
      <c r="J455" s="377">
        <f ca="1">IFERROR(__xludf.DUMMYFUNCTION("IMPORTRANGE(""https://docs.google.com/spreadsheets/d/1IYY_tgx_IHuhSq3AJ5eI5OnqOPBNLWSHKh2a30DoXe8/edit?usp=sharing"",""นราธิวาส!J350"")"),3020)</f>
        <v>3020</v>
      </c>
      <c r="K455" s="378">
        <f ca="1">IF(I455&gt;0,J455*100/I455,0)</f>
        <v>100.03312355084465</v>
      </c>
      <c r="L455" s="379">
        <f ca="1">IFERROR(__xludf.DUMMYFUNCTION("IMPORTRANGE(""https://docs.google.com/spreadsheets/d/1IYY_tgx_IHuhSq3AJ5eI5OnqOPBNLWSHKh2a30DoXe8/edit?usp=sharing"",""นราธิวาส!L350"")"),54258)</f>
        <v>54258</v>
      </c>
      <c r="M455" s="379"/>
      <c r="N455" s="379">
        <f ca="1">IFERROR(__xludf.DUMMYFUNCTION("IMPORTRANGE(""https://docs.google.com/spreadsheets/d/1IYY_tgx_IHuhSq3AJ5eI5OnqOPBNLWSHKh2a30DoXe8/edit?usp=sharing"",""นราธิวาส!M350"")"),24624)</f>
        <v>24624</v>
      </c>
      <c r="O455" s="379">
        <f t="shared" ref="O455:O459" ca="1" si="116">+IF(L455&gt;0,N455*100/L455,0)</f>
        <v>45.383169302222711</v>
      </c>
      <c r="P455" s="379"/>
    </row>
    <row r="456" spans="1:16" ht="21.75" customHeight="1" x14ac:dyDescent="0.35">
      <c r="A456" s="162"/>
      <c r="B456" s="163"/>
      <c r="C456" s="163" t="s">
        <v>16</v>
      </c>
      <c r="D456" s="164" t="s">
        <v>38</v>
      </c>
      <c r="E456" s="165"/>
      <c r="F456" s="165"/>
      <c r="G456" s="166" t="s">
        <v>39</v>
      </c>
      <c r="H456" s="167" t="s">
        <v>12</v>
      </c>
      <c r="I456" s="168" t="s">
        <v>40</v>
      </c>
      <c r="J456" s="168"/>
      <c r="K456" s="169"/>
      <c r="L456" s="170">
        <f ca="1">IFERROR(__xludf.DUMMYFUNCTION("IMPORTRANGE(""https://docs.google.com/spreadsheets/d/1IYY_tgx_IHuhSq3AJ5eI5OnqOPBNLWSHKh2a30DoXe8/edit?usp=sharing"",""นราธิวาส!L351"")"),0)</f>
        <v>0</v>
      </c>
      <c r="M456" s="170"/>
      <c r="N456" s="176">
        <f ca="1">IFERROR(__xludf.DUMMYFUNCTION("IMPORTRANGE(""https://docs.google.com/spreadsheets/d/1IYY_tgx_IHuhSq3AJ5eI5OnqOPBNLWSHKh2a30DoXe8/edit?usp=sharing"",""นราธิวาส!M351"")"),0)</f>
        <v>0</v>
      </c>
      <c r="O456" s="176">
        <f t="shared" ca="1" si="116"/>
        <v>0</v>
      </c>
      <c r="P456" s="176"/>
    </row>
    <row r="457" spans="1:16" ht="21.75" customHeight="1" x14ac:dyDescent="0.35">
      <c r="A457" s="162"/>
      <c r="B457" s="163"/>
      <c r="C457" s="163"/>
      <c r="D457" s="172"/>
      <c r="E457" s="165"/>
      <c r="F457" s="165" t="s">
        <v>40</v>
      </c>
      <c r="G457" s="166" t="s">
        <v>41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IFERROR(__xludf.DUMMYFUNCTION("IMPORTRANGE(""https://docs.google.com/spreadsheets/d/1IYY_tgx_IHuhSq3AJ5eI5OnqOPBNLWSHKh2a30DoXe8/edit?usp=sharing"",""นราธิวาส!L352"")"),54258)</f>
        <v>54258</v>
      </c>
      <c r="M457" s="171"/>
      <c r="N457" s="176">
        <f ca="1">IFERROR(__xludf.DUMMYFUNCTION("IMPORTRANGE(""https://docs.google.com/spreadsheets/d/1IYY_tgx_IHuhSq3AJ5eI5OnqOPBNLWSHKh2a30DoXe8/edit?usp=sharing"",""นราธิวาส!M352"")"),24624)</f>
        <v>24624</v>
      </c>
      <c r="O457" s="176">
        <f t="shared" ca="1" si="116"/>
        <v>45.383169302222711</v>
      </c>
      <c r="P457" s="176"/>
    </row>
    <row r="458" spans="1:16" ht="21.75" customHeight="1" x14ac:dyDescent="0.35">
      <c r="A458" s="162"/>
      <c r="B458" s="163"/>
      <c r="C458" s="163"/>
      <c r="D458" s="172"/>
      <c r="E458" s="165"/>
      <c r="F458" s="165"/>
      <c r="G458" s="380" t="s">
        <v>129</v>
      </c>
      <c r="H458" s="167" t="s">
        <v>12</v>
      </c>
      <c r="I458" s="168"/>
      <c r="J458" s="168"/>
      <c r="K458" s="169"/>
      <c r="L458" s="176">
        <f ca="1">IFERROR(__xludf.DUMMYFUNCTION("IMPORTRANGE(""https://docs.google.com/spreadsheets/d/1IYY_tgx_IHuhSq3AJ5eI5OnqOPBNLWSHKh2a30DoXe8/edit?usp=sharing"",""นราธิวาส!L353"")"),0)</f>
        <v>0</v>
      </c>
      <c r="M458" s="176"/>
      <c r="N458" s="176">
        <f ca="1">IFERROR(__xludf.DUMMYFUNCTION("IMPORTRANGE(""https://docs.google.com/spreadsheets/d/1IYY_tgx_IHuhSq3AJ5eI5OnqOPBNLWSHKh2a30DoXe8/edit?usp=sharing"",""นราธิวาส!M353"")"),0)</f>
        <v>0</v>
      </c>
      <c r="O458" s="176">
        <f t="shared" ca="1" si="116"/>
        <v>0</v>
      </c>
      <c r="P458" s="176"/>
    </row>
    <row r="459" spans="1:16" ht="21.75" customHeight="1" x14ac:dyDescent="0.35">
      <c r="A459" s="162"/>
      <c r="B459" s="163"/>
      <c r="C459" s="163"/>
      <c r="D459" s="172"/>
      <c r="E459" s="165"/>
      <c r="F459" s="165"/>
      <c r="G459" s="380" t="s">
        <v>130</v>
      </c>
      <c r="H459" s="167" t="s">
        <v>12</v>
      </c>
      <c r="I459" s="168"/>
      <c r="J459" s="168"/>
      <c r="K459" s="169"/>
      <c r="L459" s="176">
        <f ca="1">IFERROR(__xludf.DUMMYFUNCTION("IMPORTRANGE(""https://docs.google.com/spreadsheets/d/1IYY_tgx_IHuhSq3AJ5eI5OnqOPBNLWSHKh2a30DoXe8/edit?usp=sharing"",""นราธิวาส!L354"")"),54258)</f>
        <v>54258</v>
      </c>
      <c r="M459" s="176"/>
      <c r="N459" s="176">
        <f ca="1">IFERROR(__xludf.DUMMYFUNCTION("IMPORTRANGE(""https://docs.google.com/spreadsheets/d/1IYY_tgx_IHuhSq3AJ5eI5OnqOPBNLWSHKh2a30DoXe8/edit?usp=sharing"",""นราธิวาส!M354"")"),24624)</f>
        <v>24624</v>
      </c>
      <c r="O459" s="176">
        <f t="shared" ca="1" si="116"/>
        <v>45.383169302222711</v>
      </c>
      <c r="P459" s="176"/>
    </row>
    <row r="460" spans="1:16" ht="21.75" customHeight="1" x14ac:dyDescent="0.35">
      <c r="A460" s="381"/>
      <c r="B460" s="382"/>
      <c r="C460" s="163"/>
      <c r="D460" s="383"/>
      <c r="E460" s="165"/>
      <c r="F460" s="165"/>
      <c r="G460" s="384" t="s">
        <v>131</v>
      </c>
      <c r="H460" s="167" t="s">
        <v>12</v>
      </c>
      <c r="I460" s="195"/>
      <c r="J460" s="195"/>
      <c r="K460" s="231"/>
      <c r="L460" s="176"/>
      <c r="M460" s="176"/>
      <c r="N460" s="173">
        <f ca="1">IFERROR(__xludf.DUMMYFUNCTION("IMPORTRANGE(""https://docs.google.com/spreadsheets/d/1IYY_tgx_IHuhSq3AJ5eI5OnqOPBNLWSHKh2a30DoXe8/edit?usp=sharing"",""นราธิวาส!M355"")"),0)</f>
        <v>0</v>
      </c>
      <c r="O460" s="176"/>
      <c r="P460" s="176"/>
    </row>
    <row r="461" spans="1:16" ht="21.75" customHeight="1" x14ac:dyDescent="0.35">
      <c r="A461" s="381"/>
      <c r="B461" s="382"/>
      <c r="C461" s="163"/>
      <c r="D461" s="383"/>
      <c r="E461" s="165"/>
      <c r="F461" s="165"/>
      <c r="G461" s="384" t="s">
        <v>132</v>
      </c>
      <c r="H461" s="167" t="s">
        <v>12</v>
      </c>
      <c r="I461" s="195"/>
      <c r="J461" s="195"/>
      <c r="K461" s="231"/>
      <c r="L461" s="176"/>
      <c r="M461" s="176"/>
      <c r="N461" s="173">
        <f ca="1">IFERROR(__xludf.DUMMYFUNCTION("IMPORTRANGE(""https://docs.google.com/spreadsheets/d/1IYY_tgx_IHuhSq3AJ5eI5OnqOPBNLWSHKh2a30DoXe8/edit?usp=sharing"",""นราธิวาส!M356"")"),0)</f>
        <v>0</v>
      </c>
      <c r="O461" s="176"/>
      <c r="P461" s="176"/>
    </row>
    <row r="462" spans="1:16" ht="21.75" customHeight="1" x14ac:dyDescent="0.35">
      <c r="A462" s="381"/>
      <c r="B462" s="382"/>
      <c r="C462" s="163"/>
      <c r="D462" s="383"/>
      <c r="E462" s="165"/>
      <c r="F462" s="165"/>
      <c r="G462" s="384" t="s">
        <v>133</v>
      </c>
      <c r="H462" s="167" t="s">
        <v>12</v>
      </c>
      <c r="I462" s="195"/>
      <c r="J462" s="195"/>
      <c r="K462" s="231"/>
      <c r="L462" s="176"/>
      <c r="M462" s="176"/>
      <c r="N462" s="385">
        <f ca="1">IFERROR(__xludf.DUMMYFUNCTION("IMPORTRANGE(""https://docs.google.com/spreadsheets/d/1IYY_tgx_IHuhSq3AJ5eI5OnqOPBNLWSHKh2a30DoXe8/edit?usp=sharing"",""นราธิวาส!M357"")"),0)</f>
        <v>0</v>
      </c>
      <c r="O462" s="176"/>
      <c r="P462" s="176"/>
    </row>
    <row r="463" spans="1:16" ht="21.75" customHeight="1" x14ac:dyDescent="0.35">
      <c r="A463" s="381"/>
      <c r="B463" s="382"/>
      <c r="C463" s="163"/>
      <c r="D463" s="383"/>
      <c r="E463" s="165"/>
      <c r="F463" s="165"/>
      <c r="G463" s="384" t="s">
        <v>134</v>
      </c>
      <c r="H463" s="167" t="s">
        <v>12</v>
      </c>
      <c r="I463" s="195"/>
      <c r="J463" s="195"/>
      <c r="K463" s="231"/>
      <c r="L463" s="176"/>
      <c r="M463" s="176"/>
      <c r="N463" s="385">
        <f ca="1">IFERROR(__xludf.DUMMYFUNCTION("IMPORTRANGE(""https://docs.google.com/spreadsheets/d/1IYY_tgx_IHuhSq3AJ5eI5OnqOPBNLWSHKh2a30DoXe8/edit?usp=sharing"",""นราธิวาส!M358"")"),24624)</f>
        <v>24624</v>
      </c>
      <c r="O463" s="176"/>
      <c r="P463" s="176"/>
    </row>
    <row r="464" spans="1:16" ht="21.75" customHeight="1" x14ac:dyDescent="0.35">
      <c r="A464" s="183"/>
      <c r="B464" s="184"/>
      <c r="C464" s="421" t="s">
        <v>166</v>
      </c>
      <c r="D464" s="421"/>
      <c r="E464" s="422"/>
      <c r="F464" s="422"/>
      <c r="G464" s="423"/>
      <c r="H464" s="273" t="s">
        <v>122</v>
      </c>
      <c r="I464" s="274">
        <f ca="1">IFERROR(__xludf.DUMMYFUNCTION("IMPORTRANGE(""https://docs.google.com/spreadsheets/d/1IYY_tgx_IHuhSq3AJ5eI5OnqOPBNLWSHKh2a30DoXe8/edit?usp=sharing"",""นราธิวาส!I359"")"),3019)</f>
        <v>3019</v>
      </c>
      <c r="J464" s="274">
        <f ca="1">IFERROR(__xludf.DUMMYFUNCTION("IMPORTRANGE(""https://docs.google.com/spreadsheets/d/1IYY_tgx_IHuhSq3AJ5eI5OnqOPBNLWSHKh2a30DoXe8/edit?usp=sharing"",""นราธิวาส!J359"")"),3020)</f>
        <v>3020</v>
      </c>
      <c r="K464" s="275">
        <f t="shared" ref="K464:K515" ca="1" si="117">IF(I464&gt;0,J464*100/I464,0)</f>
        <v>100.03312355084465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1" t="s">
        <v>167</v>
      </c>
      <c r="F465" s="203"/>
      <c r="G465" s="204"/>
      <c r="H465" s="424" t="s">
        <v>122</v>
      </c>
      <c r="I465" s="425">
        <f ca="1">IFERROR(__xludf.DUMMYFUNCTION("IMPORTRANGE(""https://docs.google.com/spreadsheets/d/1IYY_tgx_IHuhSq3AJ5eI5OnqOPBNLWSHKh2a30DoXe8/edit?usp=sharing"",""นราธิวาส!I360"")"),3019)</f>
        <v>3019</v>
      </c>
      <c r="J465" s="426">
        <f ca="1">IFERROR(__xludf.DUMMYFUNCTION("IMPORTRANGE(""https://docs.google.com/spreadsheets/d/1IYY_tgx_IHuhSq3AJ5eI5OnqOPBNLWSHKh2a30DoXe8/edit?usp=sharing"",""นราธิวาส!J360"")"),3020)</f>
        <v>3020</v>
      </c>
      <c r="K465" s="209">
        <f t="shared" ca="1" si="117"/>
        <v>100.03312355084465</v>
      </c>
      <c r="L465" s="189"/>
      <c r="M465" s="189"/>
      <c r="N465" s="189"/>
      <c r="O465" s="189"/>
      <c r="P465" s="189"/>
    </row>
    <row r="466" spans="1:16" ht="21.75" customHeight="1" x14ac:dyDescent="0.35">
      <c r="A466" s="408"/>
      <c r="B466" s="409"/>
      <c r="C466" s="409"/>
      <c r="D466" s="410"/>
      <c r="E466" s="203"/>
      <c r="F466" s="203"/>
      <c r="G466" s="204"/>
      <c r="H466" s="424" t="s">
        <v>36</v>
      </c>
      <c r="I466" s="425">
        <f ca="1">IFERROR(__xludf.DUMMYFUNCTION("IMPORTRANGE(""https://docs.google.com/spreadsheets/d/1IYY_tgx_IHuhSq3AJ5eI5OnqOPBNLWSHKh2a30DoXe8/edit?usp=sharing"",""นราธิวาส!I361"")"),902)</f>
        <v>902</v>
      </c>
      <c r="J466" s="426">
        <f ca="1">IFERROR(__xludf.DUMMYFUNCTION("IMPORTRANGE(""https://docs.google.com/spreadsheets/d/1IYY_tgx_IHuhSq3AJ5eI5OnqOPBNLWSHKh2a30DoXe8/edit?usp=sharing"",""นราธิวาส!J361"")"),902)</f>
        <v>902</v>
      </c>
      <c r="K466" s="209">
        <f t="shared" ca="1" si="117"/>
        <v>100</v>
      </c>
      <c r="L466" s="189"/>
      <c r="M466" s="189"/>
      <c r="N466" s="189"/>
      <c r="O466" s="189"/>
      <c r="P466" s="189"/>
    </row>
    <row r="467" spans="1:16" ht="21.75" customHeight="1" x14ac:dyDescent="0.35">
      <c r="A467" s="408"/>
      <c r="B467" s="409"/>
      <c r="C467" s="409"/>
      <c r="D467" s="410"/>
      <c r="E467" s="203"/>
      <c r="F467" s="396" t="s">
        <v>168</v>
      </c>
      <c r="G467" s="427"/>
      <c r="H467" s="428" t="s">
        <v>122</v>
      </c>
      <c r="I467" s="210">
        <f ca="1">IFERROR(__xludf.DUMMYFUNCTION("IMPORTRANGE(""https://docs.google.com/spreadsheets/d/1IYY_tgx_IHuhSq3AJ5eI5OnqOPBNLWSHKh2a30DoXe8/edit?usp=sharing"",""นราธิวาส!I362"")"),0)</f>
        <v>0</v>
      </c>
      <c r="J467" s="196">
        <f ca="1">IFERROR(__xludf.DUMMYFUNCTION("IMPORTRANGE(""https://docs.google.com/spreadsheets/d/1IYY_tgx_IHuhSq3AJ5eI5OnqOPBNLWSHKh2a30DoXe8/edit?usp=sharing"",""นราธิวาส!J362"")"),2999)</f>
        <v>2999</v>
      </c>
      <c r="K467" s="169">
        <f t="shared" ca="1" si="117"/>
        <v>0</v>
      </c>
      <c r="L467" s="189"/>
      <c r="M467" s="189"/>
      <c r="N467" s="189"/>
      <c r="O467" s="189"/>
      <c r="P467" s="189"/>
    </row>
    <row r="468" spans="1:16" ht="21.75" customHeight="1" x14ac:dyDescent="0.35">
      <c r="A468" s="408"/>
      <c r="B468" s="409"/>
      <c r="C468" s="409"/>
      <c r="D468" s="410"/>
      <c r="E468" s="203"/>
      <c r="F468" s="203"/>
      <c r="G468" s="427"/>
      <c r="H468" s="428" t="s">
        <v>36</v>
      </c>
      <c r="I468" s="210">
        <f ca="1">IFERROR(__xludf.DUMMYFUNCTION("IMPORTRANGE(""https://docs.google.com/spreadsheets/d/1IYY_tgx_IHuhSq3AJ5eI5OnqOPBNLWSHKh2a30DoXe8/edit?usp=sharing"",""นราธิวาส!I363"")"),0)</f>
        <v>0</v>
      </c>
      <c r="J468" s="196">
        <f ca="1">IFERROR(__xludf.DUMMYFUNCTION("IMPORTRANGE(""https://docs.google.com/spreadsheets/d/1IYY_tgx_IHuhSq3AJ5eI5OnqOPBNLWSHKh2a30DoXe8/edit?usp=sharing"",""นราธิวาส!J363"")"),894)</f>
        <v>894</v>
      </c>
      <c r="K468" s="169">
        <f t="shared" ca="1" si="117"/>
        <v>0</v>
      </c>
      <c r="L468" s="189"/>
      <c r="M468" s="189"/>
      <c r="N468" s="189"/>
      <c r="O468" s="189"/>
      <c r="P468" s="189"/>
    </row>
    <row r="469" spans="1:16" ht="21.75" customHeight="1" x14ac:dyDescent="0.35">
      <c r="A469" s="408"/>
      <c r="B469" s="409"/>
      <c r="C469" s="409"/>
      <c r="D469" s="410"/>
      <c r="E469" s="203"/>
      <c r="F469" s="396" t="s">
        <v>169</v>
      </c>
      <c r="G469" s="427"/>
      <c r="H469" s="428" t="s">
        <v>122</v>
      </c>
      <c r="I469" s="210">
        <f ca="1">IFERROR(__xludf.DUMMYFUNCTION("IMPORTRANGE(""https://docs.google.com/spreadsheets/d/1IYY_tgx_IHuhSq3AJ5eI5OnqOPBNLWSHKh2a30DoXe8/edit?usp=sharing"",""นราธิวาส!I364"")"),0)</f>
        <v>0</v>
      </c>
      <c r="J469" s="196">
        <f ca="1">IFERROR(__xludf.DUMMYFUNCTION("IMPORTRANGE(""https://docs.google.com/spreadsheets/d/1IYY_tgx_IHuhSq3AJ5eI5OnqOPBNLWSHKh2a30DoXe8/edit?usp=sharing"",""นราธิวาส!J364"")"),0)</f>
        <v>0</v>
      </c>
      <c r="K469" s="169">
        <f t="shared" ca="1" si="117"/>
        <v>0</v>
      </c>
      <c r="L469" s="189"/>
      <c r="M469" s="189"/>
      <c r="N469" s="189"/>
      <c r="O469" s="189"/>
      <c r="P469" s="189"/>
    </row>
    <row r="470" spans="1:16" ht="21.75" customHeight="1" x14ac:dyDescent="0.35">
      <c r="A470" s="408"/>
      <c r="B470" s="409"/>
      <c r="C470" s="409"/>
      <c r="D470" s="410"/>
      <c r="E470" s="203"/>
      <c r="F470" s="203"/>
      <c r="G470" s="427"/>
      <c r="H470" s="428" t="s">
        <v>36</v>
      </c>
      <c r="I470" s="210">
        <f ca="1">IFERROR(__xludf.DUMMYFUNCTION("IMPORTRANGE(""https://docs.google.com/spreadsheets/d/1IYY_tgx_IHuhSq3AJ5eI5OnqOPBNLWSHKh2a30DoXe8/edit?usp=sharing"",""นราธิวาส!I365"")"),0)</f>
        <v>0</v>
      </c>
      <c r="J470" s="196">
        <f ca="1">IFERROR(__xludf.DUMMYFUNCTION("IMPORTRANGE(""https://docs.google.com/spreadsheets/d/1IYY_tgx_IHuhSq3AJ5eI5OnqOPBNLWSHKh2a30DoXe8/edit?usp=sharing"",""นราธิวาส!J365"")"),0)</f>
        <v>0</v>
      </c>
      <c r="K470" s="169">
        <f t="shared" ca="1" si="117"/>
        <v>0</v>
      </c>
      <c r="L470" s="189"/>
      <c r="M470" s="189"/>
      <c r="N470" s="189"/>
      <c r="O470" s="189"/>
      <c r="P470" s="189"/>
    </row>
    <row r="471" spans="1:16" ht="21.75" customHeight="1" x14ac:dyDescent="0.35">
      <c r="A471" s="408"/>
      <c r="B471" s="409"/>
      <c r="C471" s="409"/>
      <c r="D471" s="410"/>
      <c r="E471" s="203"/>
      <c r="F471" s="396" t="s">
        <v>170</v>
      </c>
      <c r="G471" s="427"/>
      <c r="H471" s="428" t="s">
        <v>122</v>
      </c>
      <c r="I471" s="210">
        <f ca="1">IFERROR(__xludf.DUMMYFUNCTION("IMPORTRANGE(""https://docs.google.com/spreadsheets/d/1IYY_tgx_IHuhSq3AJ5eI5OnqOPBNLWSHKh2a30DoXe8/edit?usp=sharing"",""นราธิวาส!I366"")"),0)</f>
        <v>0</v>
      </c>
      <c r="J471" s="196">
        <f ca="1">IFERROR(__xludf.DUMMYFUNCTION("IMPORTRANGE(""https://docs.google.com/spreadsheets/d/1IYY_tgx_IHuhSq3AJ5eI5OnqOPBNLWSHKh2a30DoXe8/edit?usp=sharing"",""นราธิวาส!J366"")"),21)</f>
        <v>21</v>
      </c>
      <c r="K471" s="169">
        <f t="shared" ca="1" si="117"/>
        <v>0</v>
      </c>
      <c r="L471" s="189"/>
      <c r="M471" s="189"/>
      <c r="N471" s="189"/>
      <c r="O471" s="189"/>
      <c r="P471" s="189"/>
    </row>
    <row r="472" spans="1:16" ht="21.75" customHeight="1" x14ac:dyDescent="0.35">
      <c r="A472" s="408"/>
      <c r="B472" s="409"/>
      <c r="C472" s="409"/>
      <c r="D472" s="410"/>
      <c r="E472" s="203"/>
      <c r="F472" s="203"/>
      <c r="G472" s="203"/>
      <c r="H472" s="428" t="s">
        <v>36</v>
      </c>
      <c r="I472" s="210">
        <f ca="1">IFERROR(__xludf.DUMMYFUNCTION("IMPORTRANGE(""https://docs.google.com/spreadsheets/d/1IYY_tgx_IHuhSq3AJ5eI5OnqOPBNLWSHKh2a30DoXe8/edit?usp=sharing"",""นราธิวาส!I367"")"),0)</f>
        <v>0</v>
      </c>
      <c r="J472" s="196">
        <f ca="1">IFERROR(__xludf.DUMMYFUNCTION("IMPORTRANGE(""https://docs.google.com/spreadsheets/d/1IYY_tgx_IHuhSq3AJ5eI5OnqOPBNLWSHKh2a30DoXe8/edit?usp=sharing"",""นราธิวาส!J367"")"),8)</f>
        <v>8</v>
      </c>
      <c r="K472" s="169">
        <f t="shared" ca="1" si="117"/>
        <v>0</v>
      </c>
      <c r="L472" s="189"/>
      <c r="M472" s="189"/>
      <c r="N472" s="189"/>
      <c r="O472" s="189"/>
      <c r="P472" s="189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3"/>
      <c r="G473" s="204"/>
      <c r="H473" s="424" t="s">
        <v>122</v>
      </c>
      <c r="I473" s="426">
        <f ca="1">IFERROR(__xludf.DUMMYFUNCTION("IMPORTRANGE(""https://docs.google.com/spreadsheets/d/1IYY_tgx_IHuhSq3AJ5eI5OnqOPBNLWSHKh2a30DoXe8/edit?usp=sharing"",""นราธิวาส!I368"")"),3019)</f>
        <v>3019</v>
      </c>
      <c r="J473" s="426">
        <f ca="1">IFERROR(__xludf.DUMMYFUNCTION("IMPORTRANGE(""https://docs.google.com/spreadsheets/d/1IYY_tgx_IHuhSq3AJ5eI5OnqOPBNLWSHKh2a30DoXe8/edit?usp=sharing"",""นราธิวาส!J368"")"),3020)</f>
        <v>3020</v>
      </c>
      <c r="K473" s="209">
        <f t="shared" ca="1" si="117"/>
        <v>100.03312355084465</v>
      </c>
      <c r="L473" s="189"/>
      <c r="M473" s="189"/>
      <c r="N473" s="189"/>
      <c r="O473" s="189"/>
      <c r="P473" s="189"/>
    </row>
    <row r="474" spans="1:16" ht="21.75" customHeight="1" x14ac:dyDescent="0.35">
      <c r="A474" s="408"/>
      <c r="B474" s="409"/>
      <c r="C474" s="409"/>
      <c r="D474" s="410"/>
      <c r="E474" s="203"/>
      <c r="F474" s="203"/>
      <c r="G474" s="204"/>
      <c r="H474" s="424" t="s">
        <v>36</v>
      </c>
      <c r="I474" s="425">
        <f ca="1">IFERROR(__xludf.DUMMYFUNCTION("IMPORTRANGE(""https://docs.google.com/spreadsheets/d/1IYY_tgx_IHuhSq3AJ5eI5OnqOPBNLWSHKh2a30DoXe8/edit?usp=sharing"",""นราธิวาส!I369"")"),902)</f>
        <v>902</v>
      </c>
      <c r="J474" s="426">
        <f ca="1">IFERROR(__xludf.DUMMYFUNCTION("IMPORTRANGE(""https://docs.google.com/spreadsheets/d/1IYY_tgx_IHuhSq3AJ5eI5OnqOPBNLWSHKh2a30DoXe8/edit?usp=sharing"",""นราธิวาส!J369"")"),902)</f>
        <v>902</v>
      </c>
      <c r="K474" s="169">
        <f t="shared" ca="1" si="117"/>
        <v>100</v>
      </c>
      <c r="L474" s="189"/>
      <c r="M474" s="189"/>
      <c r="N474" s="189"/>
      <c r="O474" s="189"/>
      <c r="P474" s="189"/>
    </row>
    <row r="475" spans="1:16" ht="21.75" customHeight="1" x14ac:dyDescent="0.35">
      <c r="A475" s="408"/>
      <c r="B475" s="409"/>
      <c r="C475" s="409"/>
      <c r="D475" s="410"/>
      <c r="E475" s="203"/>
      <c r="F475" s="202" t="s">
        <v>172</v>
      </c>
      <c r="G475" s="427"/>
      <c r="H475" s="428" t="s">
        <v>122</v>
      </c>
      <c r="I475" s="210">
        <f ca="1">IFERROR(__xludf.DUMMYFUNCTION("IMPORTRANGE(""https://docs.google.com/spreadsheets/d/1IYY_tgx_IHuhSq3AJ5eI5OnqOPBNLWSHKh2a30DoXe8/edit?usp=sharing"",""นราธิวาส!I370"")"),0)</f>
        <v>0</v>
      </c>
      <c r="J475" s="196">
        <f ca="1">IFERROR(__xludf.DUMMYFUNCTION("IMPORTRANGE(""https://docs.google.com/spreadsheets/d/1IYY_tgx_IHuhSq3AJ5eI5OnqOPBNLWSHKh2a30DoXe8/edit?usp=sharing"",""นราธิวาส!J370"")"),2999)</f>
        <v>2999</v>
      </c>
      <c r="K475" s="169">
        <f t="shared" ca="1" si="117"/>
        <v>0</v>
      </c>
      <c r="L475" s="189"/>
      <c r="M475" s="189"/>
      <c r="N475" s="189"/>
      <c r="O475" s="189"/>
      <c r="P475" s="189"/>
    </row>
    <row r="476" spans="1:16" ht="21.75" customHeight="1" x14ac:dyDescent="0.35">
      <c r="A476" s="408"/>
      <c r="B476" s="409"/>
      <c r="C476" s="409"/>
      <c r="D476" s="410"/>
      <c r="E476" s="203"/>
      <c r="F476" s="203"/>
      <c r="G476" s="427"/>
      <c r="H476" s="428" t="s">
        <v>36</v>
      </c>
      <c r="I476" s="210">
        <f ca="1">IFERROR(__xludf.DUMMYFUNCTION("IMPORTRANGE(""https://docs.google.com/spreadsheets/d/1IYY_tgx_IHuhSq3AJ5eI5OnqOPBNLWSHKh2a30DoXe8/edit?usp=sharing"",""นราธิวาส!I371"")"),0)</f>
        <v>0</v>
      </c>
      <c r="J476" s="196">
        <f ca="1">IFERROR(__xludf.DUMMYFUNCTION("IMPORTRANGE(""https://docs.google.com/spreadsheets/d/1IYY_tgx_IHuhSq3AJ5eI5OnqOPBNLWSHKh2a30DoXe8/edit?usp=sharing"",""นราธิวาส!J371"")"),894)</f>
        <v>894</v>
      </c>
      <c r="K476" s="169">
        <f t="shared" ca="1" si="117"/>
        <v>0</v>
      </c>
      <c r="L476" s="189"/>
      <c r="M476" s="189"/>
      <c r="N476" s="189"/>
      <c r="O476" s="189"/>
      <c r="P476" s="189"/>
    </row>
    <row r="477" spans="1:16" ht="21.75" customHeight="1" x14ac:dyDescent="0.35">
      <c r="A477" s="408"/>
      <c r="B477" s="409"/>
      <c r="C477" s="409"/>
      <c r="D477" s="410"/>
      <c r="E477" s="203"/>
      <c r="F477" s="202" t="s">
        <v>173</v>
      </c>
      <c r="G477" s="427"/>
      <c r="H477" s="428" t="s">
        <v>122</v>
      </c>
      <c r="I477" s="210">
        <f ca="1">IFERROR(__xludf.DUMMYFUNCTION("IMPORTRANGE(""https://docs.google.com/spreadsheets/d/1IYY_tgx_IHuhSq3AJ5eI5OnqOPBNLWSHKh2a30DoXe8/edit?usp=sharing"",""นราธิวาส!I372"")"),0)</f>
        <v>0</v>
      </c>
      <c r="J477" s="196">
        <f ca="1">IFERROR(__xludf.DUMMYFUNCTION("IMPORTRANGE(""https://docs.google.com/spreadsheets/d/1IYY_tgx_IHuhSq3AJ5eI5OnqOPBNLWSHKh2a30DoXe8/edit?usp=sharing"",""นราธิวาส!J372"")"),0)</f>
        <v>0</v>
      </c>
      <c r="K477" s="169">
        <f t="shared" ca="1" si="117"/>
        <v>0</v>
      </c>
      <c r="L477" s="189"/>
      <c r="M477" s="189"/>
      <c r="N477" s="189"/>
      <c r="O477" s="189"/>
      <c r="P477" s="189"/>
    </row>
    <row r="478" spans="1:16" ht="21.75" customHeight="1" x14ac:dyDescent="0.35">
      <c r="A478" s="408"/>
      <c r="B478" s="409"/>
      <c r="C478" s="409"/>
      <c r="D478" s="410"/>
      <c r="E478" s="203"/>
      <c r="F478" s="203"/>
      <c r="G478" s="427"/>
      <c r="H478" s="428" t="s">
        <v>36</v>
      </c>
      <c r="I478" s="210">
        <f ca="1">IFERROR(__xludf.DUMMYFUNCTION("IMPORTRANGE(""https://docs.google.com/spreadsheets/d/1IYY_tgx_IHuhSq3AJ5eI5OnqOPBNLWSHKh2a30DoXe8/edit?usp=sharing"",""นราธิวาส!I373"")"),0)</f>
        <v>0</v>
      </c>
      <c r="J478" s="196">
        <f ca="1">IFERROR(__xludf.DUMMYFUNCTION("IMPORTRANGE(""https://docs.google.com/spreadsheets/d/1IYY_tgx_IHuhSq3AJ5eI5OnqOPBNLWSHKh2a30DoXe8/edit?usp=sharing"",""นราธิวาส!J373"")"),0)</f>
        <v>0</v>
      </c>
      <c r="K478" s="169">
        <f t="shared" ca="1" si="117"/>
        <v>0</v>
      </c>
      <c r="L478" s="189"/>
      <c r="M478" s="189"/>
      <c r="N478" s="189"/>
      <c r="O478" s="189"/>
      <c r="P478" s="189"/>
    </row>
    <row r="479" spans="1:16" ht="21.75" customHeight="1" x14ac:dyDescent="0.35">
      <c r="A479" s="408"/>
      <c r="B479" s="409"/>
      <c r="C479" s="409"/>
      <c r="D479" s="410"/>
      <c r="E479" s="203"/>
      <c r="F479" s="202" t="s">
        <v>174</v>
      </c>
      <c r="G479" s="427"/>
      <c r="H479" s="428" t="s">
        <v>122</v>
      </c>
      <c r="I479" s="210">
        <f ca="1">IFERROR(__xludf.DUMMYFUNCTION("IMPORTRANGE(""https://docs.google.com/spreadsheets/d/1IYY_tgx_IHuhSq3AJ5eI5OnqOPBNLWSHKh2a30DoXe8/edit?usp=sharing"",""นราธิวาส!I374"")"),0)</f>
        <v>0</v>
      </c>
      <c r="J479" s="196">
        <f ca="1">IFERROR(__xludf.DUMMYFUNCTION("IMPORTRANGE(""https://docs.google.com/spreadsheets/d/1IYY_tgx_IHuhSq3AJ5eI5OnqOPBNLWSHKh2a30DoXe8/edit?usp=sharing"",""นราธิวาส!J374"")"),21)</f>
        <v>21</v>
      </c>
      <c r="K479" s="169">
        <f t="shared" ca="1" si="117"/>
        <v>0</v>
      </c>
      <c r="L479" s="189"/>
      <c r="M479" s="189"/>
      <c r="N479" s="189"/>
      <c r="O479" s="189"/>
      <c r="P479" s="189"/>
    </row>
    <row r="480" spans="1:16" ht="21.75" customHeight="1" x14ac:dyDescent="0.35">
      <c r="A480" s="408"/>
      <c r="B480" s="409"/>
      <c r="C480" s="409"/>
      <c r="D480" s="410"/>
      <c r="E480" s="203"/>
      <c r="F480" s="203"/>
      <c r="G480" s="204"/>
      <c r="H480" s="428" t="s">
        <v>36</v>
      </c>
      <c r="I480" s="210">
        <f ca="1">IFERROR(__xludf.DUMMYFUNCTION("IMPORTRANGE(""https://docs.google.com/spreadsheets/d/1IYY_tgx_IHuhSq3AJ5eI5OnqOPBNLWSHKh2a30DoXe8/edit?usp=sharing"",""นราธิวาส!I375"")"),0)</f>
        <v>0</v>
      </c>
      <c r="J480" s="196">
        <f ca="1">IFERROR(__xludf.DUMMYFUNCTION("IMPORTRANGE(""https://docs.google.com/spreadsheets/d/1IYY_tgx_IHuhSq3AJ5eI5OnqOPBNLWSHKh2a30DoXe8/edit?usp=sharing"",""นราธิวาส!J375"")"),8)</f>
        <v>8</v>
      </c>
      <c r="K480" s="169">
        <f t="shared" ca="1" si="117"/>
        <v>0</v>
      </c>
      <c r="L480" s="189"/>
      <c r="M480" s="189"/>
      <c r="N480" s="189"/>
      <c r="O480" s="189"/>
      <c r="P480" s="189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IFERROR(__xludf.DUMMYFUNCTION("IMPORTRANGE(""https://docs.google.com/spreadsheets/d/1IYY_tgx_IHuhSq3AJ5eI5OnqOPBNLWSHKh2a30DoXe8/edit?usp=sharing"",""นราธิวาส!I376"")"),3019)</f>
        <v>3019</v>
      </c>
      <c r="J481" s="426">
        <f ca="1">IFERROR(__xludf.DUMMYFUNCTION("IMPORTRANGE(""https://docs.google.com/spreadsheets/d/1IYY_tgx_IHuhSq3AJ5eI5OnqOPBNLWSHKh2a30DoXe8/edit?usp=sharing"",""นราธิวาส!J376"")"),3020)</f>
        <v>3020</v>
      </c>
      <c r="K481" s="209">
        <f t="shared" ca="1" si="117"/>
        <v>100.03312355084465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3"/>
      <c r="F482" s="203"/>
      <c r="G482" s="204"/>
      <c r="H482" s="424" t="s">
        <v>36</v>
      </c>
      <c r="I482" s="425">
        <f ca="1">IFERROR(__xludf.DUMMYFUNCTION("IMPORTRANGE(""https://docs.google.com/spreadsheets/d/1IYY_tgx_IHuhSq3AJ5eI5OnqOPBNLWSHKh2a30DoXe8/edit?usp=sharing"",""นราธิวาส!I377"")"),902)</f>
        <v>902</v>
      </c>
      <c r="J482" s="426">
        <f ca="1">IFERROR(__xludf.DUMMYFUNCTION("IMPORTRANGE(""https://docs.google.com/spreadsheets/d/1IYY_tgx_IHuhSq3AJ5eI5OnqOPBNLWSHKh2a30DoXe8/edit?usp=sharing"",""นราธิวาส!J377"")"),902)</f>
        <v>902</v>
      </c>
      <c r="K482" s="169">
        <f t="shared" ca="1" si="117"/>
        <v>100</v>
      </c>
      <c r="L482" s="189"/>
      <c r="M482" s="189"/>
      <c r="N482" s="189"/>
      <c r="O482" s="189"/>
      <c r="P482" s="189"/>
    </row>
    <row r="483" spans="1:16" ht="21.75" customHeight="1" x14ac:dyDescent="0.35">
      <c r="A483" s="408"/>
      <c r="B483" s="409"/>
      <c r="C483" s="409"/>
      <c r="D483" s="410"/>
      <c r="E483" s="203"/>
      <c r="F483" s="202" t="s">
        <v>176</v>
      </c>
      <c r="G483" s="427"/>
      <c r="H483" s="428" t="s">
        <v>122</v>
      </c>
      <c r="I483" s="210">
        <f ca="1">IFERROR(__xludf.DUMMYFUNCTION("IMPORTRANGE(""https://docs.google.com/spreadsheets/d/1IYY_tgx_IHuhSq3AJ5eI5OnqOPBNLWSHKh2a30DoXe8/edit?usp=sharing"",""นราธิวาส!I378"")"),0)</f>
        <v>0</v>
      </c>
      <c r="J483" s="196">
        <f ca="1">IFERROR(__xludf.DUMMYFUNCTION("IMPORTRANGE(""https://docs.google.com/spreadsheets/d/1IYY_tgx_IHuhSq3AJ5eI5OnqOPBNLWSHKh2a30DoXe8/edit?usp=sharing"",""นราธิวาส!J378"")"),2999)</f>
        <v>2999</v>
      </c>
      <c r="K483" s="169">
        <f t="shared" ca="1" si="117"/>
        <v>0</v>
      </c>
      <c r="L483" s="189"/>
      <c r="M483" s="189"/>
      <c r="N483" s="189"/>
      <c r="O483" s="189"/>
      <c r="P483" s="189"/>
    </row>
    <row r="484" spans="1:16" ht="21.75" customHeight="1" x14ac:dyDescent="0.35">
      <c r="A484" s="408"/>
      <c r="B484" s="409"/>
      <c r="C484" s="409"/>
      <c r="D484" s="410"/>
      <c r="E484" s="203"/>
      <c r="F484" s="203"/>
      <c r="G484" s="427"/>
      <c r="H484" s="428" t="s">
        <v>36</v>
      </c>
      <c r="I484" s="210">
        <f ca="1">IFERROR(__xludf.DUMMYFUNCTION("IMPORTRANGE(""https://docs.google.com/spreadsheets/d/1IYY_tgx_IHuhSq3AJ5eI5OnqOPBNLWSHKh2a30DoXe8/edit?usp=sharing"",""นราธิวาส!I379"")"),0)</f>
        <v>0</v>
      </c>
      <c r="J484" s="196">
        <f ca="1">IFERROR(__xludf.DUMMYFUNCTION("IMPORTRANGE(""https://docs.google.com/spreadsheets/d/1IYY_tgx_IHuhSq3AJ5eI5OnqOPBNLWSHKh2a30DoXe8/edit?usp=sharing"",""นราธิวาส!J379"")"),894)</f>
        <v>894</v>
      </c>
      <c r="K484" s="169">
        <f t="shared" ca="1" si="117"/>
        <v>0</v>
      </c>
      <c r="L484" s="189"/>
      <c r="M484" s="189"/>
      <c r="N484" s="189"/>
      <c r="O484" s="189"/>
      <c r="P484" s="189"/>
    </row>
    <row r="485" spans="1:16" ht="21.75" customHeight="1" x14ac:dyDescent="0.35">
      <c r="A485" s="408"/>
      <c r="B485" s="409"/>
      <c r="C485" s="409"/>
      <c r="D485" s="410"/>
      <c r="E485" s="203"/>
      <c r="F485" s="202" t="s">
        <v>177</v>
      </c>
      <c r="G485" s="427"/>
      <c r="H485" s="428" t="s">
        <v>122</v>
      </c>
      <c r="I485" s="210">
        <f ca="1">IFERROR(__xludf.DUMMYFUNCTION("IMPORTRANGE(""https://docs.google.com/spreadsheets/d/1IYY_tgx_IHuhSq3AJ5eI5OnqOPBNLWSHKh2a30DoXe8/edit?usp=sharing"",""นราธิวาส!I380"")"),0)</f>
        <v>0</v>
      </c>
      <c r="J485" s="196">
        <f ca="1">IFERROR(__xludf.DUMMYFUNCTION("IMPORTRANGE(""https://docs.google.com/spreadsheets/d/1IYY_tgx_IHuhSq3AJ5eI5OnqOPBNLWSHKh2a30DoXe8/edit?usp=sharing"",""นราธิวาส!J380"")"),0)</f>
        <v>0</v>
      </c>
      <c r="K485" s="169">
        <f t="shared" ca="1" si="117"/>
        <v>0</v>
      </c>
      <c r="L485" s="189"/>
      <c r="M485" s="189"/>
      <c r="N485" s="189"/>
      <c r="O485" s="189"/>
      <c r="P485" s="189"/>
    </row>
    <row r="486" spans="1:16" ht="21.75" customHeight="1" x14ac:dyDescent="0.35">
      <c r="A486" s="408"/>
      <c r="B486" s="409"/>
      <c r="C486" s="409"/>
      <c r="D486" s="410"/>
      <c r="E486" s="203"/>
      <c r="F486" s="203"/>
      <c r="G486" s="427"/>
      <c r="H486" s="428" t="s">
        <v>36</v>
      </c>
      <c r="I486" s="210">
        <f ca="1">IFERROR(__xludf.DUMMYFUNCTION("IMPORTRANGE(""https://docs.google.com/spreadsheets/d/1IYY_tgx_IHuhSq3AJ5eI5OnqOPBNLWSHKh2a30DoXe8/edit?usp=sharing"",""นราธิวาส!I381"")"),0)</f>
        <v>0</v>
      </c>
      <c r="J486" s="196">
        <f ca="1">IFERROR(__xludf.DUMMYFUNCTION("IMPORTRANGE(""https://docs.google.com/spreadsheets/d/1IYY_tgx_IHuhSq3AJ5eI5OnqOPBNLWSHKh2a30DoXe8/edit?usp=sharing"",""นราธิวาส!J381"")"),0)</f>
        <v>0</v>
      </c>
      <c r="K486" s="169">
        <f t="shared" ca="1" si="117"/>
        <v>0</v>
      </c>
      <c r="L486" s="189"/>
      <c r="M486" s="189"/>
      <c r="N486" s="189"/>
      <c r="O486" s="189"/>
      <c r="P486" s="189"/>
    </row>
    <row r="487" spans="1:16" ht="21.75" customHeight="1" x14ac:dyDescent="0.35">
      <c r="A487" s="408"/>
      <c r="B487" s="409"/>
      <c r="C487" s="409"/>
      <c r="D487" s="410"/>
      <c r="E487" s="203"/>
      <c r="F487" s="202" t="s">
        <v>178</v>
      </c>
      <c r="G487" s="427"/>
      <c r="H487" s="428" t="s">
        <v>122</v>
      </c>
      <c r="I487" s="210">
        <f ca="1">IFERROR(__xludf.DUMMYFUNCTION("IMPORTRANGE(""https://docs.google.com/spreadsheets/d/1IYY_tgx_IHuhSq3AJ5eI5OnqOPBNLWSHKh2a30DoXe8/edit?usp=sharing"",""นราธิวาส!I382"")"),0)</f>
        <v>0</v>
      </c>
      <c r="J487" s="426">
        <f ca="1">IFERROR(__xludf.DUMMYFUNCTION("IMPORTRANGE(""https://docs.google.com/spreadsheets/d/1IYY_tgx_IHuhSq3AJ5eI5OnqOPBNLWSHKh2a30DoXe8/edit?usp=sharing"",""นราธิวาส!J382"")"),21)</f>
        <v>21</v>
      </c>
      <c r="K487" s="169">
        <f t="shared" ca="1" si="117"/>
        <v>0</v>
      </c>
      <c r="L487" s="189"/>
      <c r="M487" s="189"/>
      <c r="N487" s="189"/>
      <c r="O487" s="189"/>
      <c r="P487" s="189"/>
    </row>
    <row r="488" spans="1:16" ht="21.75" customHeight="1" x14ac:dyDescent="0.35">
      <c r="A488" s="408"/>
      <c r="B488" s="409"/>
      <c r="C488" s="409"/>
      <c r="D488" s="410"/>
      <c r="E488" s="203"/>
      <c r="F488" s="203"/>
      <c r="G488" s="203"/>
      <c r="H488" s="428" t="s">
        <v>36</v>
      </c>
      <c r="I488" s="210">
        <f ca="1">IFERROR(__xludf.DUMMYFUNCTION("IMPORTRANGE(""https://docs.google.com/spreadsheets/d/1IYY_tgx_IHuhSq3AJ5eI5OnqOPBNLWSHKh2a30DoXe8/edit?usp=sharing"",""นราธิวาส!I383"")"),0)</f>
        <v>0</v>
      </c>
      <c r="J488" s="426">
        <f ca="1">IFERROR(__xludf.DUMMYFUNCTION("IMPORTRANGE(""https://docs.google.com/spreadsheets/d/1IYY_tgx_IHuhSq3AJ5eI5OnqOPBNLWSHKh2a30DoXe8/edit?usp=sharing"",""นราธิวาส!J383"")"),8)</f>
        <v>8</v>
      </c>
      <c r="K488" s="169">
        <f t="shared" ca="1" si="117"/>
        <v>0</v>
      </c>
      <c r="L488" s="189"/>
      <c r="M488" s="189"/>
      <c r="N488" s="189"/>
      <c r="O488" s="189"/>
      <c r="P488" s="189"/>
    </row>
    <row r="489" spans="1:16" ht="21.75" customHeight="1" x14ac:dyDescent="0.35">
      <c r="A489" s="408"/>
      <c r="B489" s="409"/>
      <c r="C489" s="409"/>
      <c r="D489" s="410"/>
      <c r="E489" s="203"/>
      <c r="F489" s="203"/>
      <c r="G489" s="202" t="s">
        <v>179</v>
      </c>
      <c r="H489" s="428" t="s">
        <v>122</v>
      </c>
      <c r="I489" s="210">
        <f ca="1">IFERROR(__xludf.DUMMYFUNCTION("IMPORTRANGE(""https://docs.google.com/spreadsheets/d/1IYY_tgx_IHuhSq3AJ5eI5OnqOPBNLWSHKh2a30DoXe8/edit?usp=sharing"",""นราธิวาส!I384"")"),0)</f>
        <v>0</v>
      </c>
      <c r="J489" s="196">
        <f ca="1">IFERROR(__xludf.DUMMYFUNCTION("IMPORTRANGE(""https://docs.google.com/spreadsheets/d/1IYY_tgx_IHuhSq3AJ5eI5OnqOPBNLWSHKh2a30DoXe8/edit?usp=sharing"",""นราธิวาส!J384"")"),21)</f>
        <v>21</v>
      </c>
      <c r="K489" s="169">
        <f t="shared" ca="1" si="117"/>
        <v>0</v>
      </c>
      <c r="L489" s="189"/>
      <c r="M489" s="189"/>
      <c r="N489" s="189"/>
      <c r="O489" s="189"/>
      <c r="P489" s="189"/>
    </row>
    <row r="490" spans="1:16" ht="21.75" customHeight="1" x14ac:dyDescent="0.35">
      <c r="A490" s="408"/>
      <c r="B490" s="409"/>
      <c r="C490" s="409"/>
      <c r="D490" s="410"/>
      <c r="E490" s="203"/>
      <c r="F490" s="203"/>
      <c r="G490" s="203"/>
      <c r="H490" s="428" t="s">
        <v>36</v>
      </c>
      <c r="I490" s="210">
        <f ca="1">IFERROR(__xludf.DUMMYFUNCTION("IMPORTRANGE(""https://docs.google.com/spreadsheets/d/1IYY_tgx_IHuhSq3AJ5eI5OnqOPBNLWSHKh2a30DoXe8/edit?usp=sharing"",""นราธิวาส!I385"")"),0)</f>
        <v>0</v>
      </c>
      <c r="J490" s="196">
        <f ca="1">IFERROR(__xludf.DUMMYFUNCTION("IMPORTRANGE(""https://docs.google.com/spreadsheets/d/1IYY_tgx_IHuhSq3AJ5eI5OnqOPBNLWSHKh2a30DoXe8/edit?usp=sharing"",""นราธิวาส!J385"")"),8)</f>
        <v>8</v>
      </c>
      <c r="K490" s="169">
        <f t="shared" ca="1" si="117"/>
        <v>0</v>
      </c>
      <c r="L490" s="189"/>
      <c r="M490" s="189"/>
      <c r="N490" s="189"/>
      <c r="O490" s="189"/>
      <c r="P490" s="189"/>
    </row>
    <row r="491" spans="1:16" ht="21.75" customHeight="1" x14ac:dyDescent="0.35">
      <c r="A491" s="408"/>
      <c r="B491" s="409"/>
      <c r="C491" s="409"/>
      <c r="D491" s="410"/>
      <c r="E491" s="203"/>
      <c r="F491" s="203"/>
      <c r="G491" s="202" t="s">
        <v>180</v>
      </c>
      <c r="H491" s="428" t="s">
        <v>122</v>
      </c>
      <c r="I491" s="210">
        <f ca="1">IFERROR(__xludf.DUMMYFUNCTION("IMPORTRANGE(""https://docs.google.com/spreadsheets/d/1IYY_tgx_IHuhSq3AJ5eI5OnqOPBNLWSHKh2a30DoXe8/edit?usp=sharing"",""นราธิวาส!I386"")"),0)</f>
        <v>0</v>
      </c>
      <c r="J491" s="196">
        <f ca="1">IFERROR(__xludf.DUMMYFUNCTION("IMPORTRANGE(""https://docs.google.com/spreadsheets/d/1IYY_tgx_IHuhSq3AJ5eI5OnqOPBNLWSHKh2a30DoXe8/edit?usp=sharing"",""นราธิวาส!J386"")"),0)</f>
        <v>0</v>
      </c>
      <c r="K491" s="169">
        <f t="shared" ca="1" si="117"/>
        <v>0</v>
      </c>
      <c r="L491" s="189"/>
      <c r="M491" s="189"/>
      <c r="N491" s="189"/>
      <c r="O491" s="189"/>
      <c r="P491" s="189"/>
    </row>
    <row r="492" spans="1:16" ht="21.75" customHeight="1" x14ac:dyDescent="0.35">
      <c r="A492" s="408"/>
      <c r="B492" s="409"/>
      <c r="C492" s="409"/>
      <c r="D492" s="410"/>
      <c r="E492" s="203"/>
      <c r="F492" s="203"/>
      <c r="G492" s="204"/>
      <c r="H492" s="428" t="s">
        <v>36</v>
      </c>
      <c r="I492" s="210">
        <f ca="1">IFERROR(__xludf.DUMMYFUNCTION("IMPORTRANGE(""https://docs.google.com/spreadsheets/d/1IYY_tgx_IHuhSq3AJ5eI5OnqOPBNLWSHKh2a30DoXe8/edit?usp=sharing"",""นราธิวาส!I387"")"),0)</f>
        <v>0</v>
      </c>
      <c r="J492" s="196">
        <f ca="1">IFERROR(__xludf.DUMMYFUNCTION("IMPORTRANGE(""https://docs.google.com/spreadsheets/d/1IYY_tgx_IHuhSq3AJ5eI5OnqOPBNLWSHKh2a30DoXe8/edit?usp=sharing"",""นราธิวาส!J387"")"),0)</f>
        <v>0</v>
      </c>
      <c r="K492" s="169">
        <f t="shared" ca="1" si="117"/>
        <v>0</v>
      </c>
      <c r="L492" s="189"/>
      <c r="M492" s="189"/>
      <c r="N492" s="189"/>
      <c r="O492" s="189"/>
      <c r="P492" s="189"/>
    </row>
    <row r="493" spans="1:16" ht="21.75" customHeight="1" x14ac:dyDescent="0.35">
      <c r="A493" s="408"/>
      <c r="B493" s="409"/>
      <c r="C493" s="409"/>
      <c r="D493" s="410"/>
      <c r="E493" s="203"/>
      <c r="F493" s="202" t="s">
        <v>181</v>
      </c>
      <c r="G493" s="427"/>
      <c r="H493" s="428" t="s">
        <v>122</v>
      </c>
      <c r="I493" s="210">
        <f ca="1">IFERROR(__xludf.DUMMYFUNCTION("IMPORTRANGE(""https://docs.google.com/spreadsheets/d/1IYY_tgx_IHuhSq3AJ5eI5OnqOPBNLWSHKh2a30DoXe8/edit?usp=sharing"",""นราธิวาส!I388"")"),0)</f>
        <v>0</v>
      </c>
      <c r="J493" s="196">
        <f ca="1">IFERROR(__xludf.DUMMYFUNCTION("IMPORTRANGE(""https://docs.google.com/spreadsheets/d/1IYY_tgx_IHuhSq3AJ5eI5OnqOPBNLWSHKh2a30DoXe8/edit?usp=sharing"",""นราธิวาส!J388"")"),0)</f>
        <v>0</v>
      </c>
      <c r="K493" s="169">
        <f t="shared" ca="1" si="117"/>
        <v>0</v>
      </c>
      <c r="L493" s="189"/>
      <c r="M493" s="189"/>
      <c r="N493" s="189"/>
      <c r="O493" s="189"/>
      <c r="P493" s="189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IFERROR(__xludf.DUMMYFUNCTION("IMPORTRANGE(""https://docs.google.com/spreadsheets/d/1IYY_tgx_IHuhSq3AJ5eI5OnqOPBNLWSHKh2a30DoXe8/edit?usp=sharing"",""นราธิวาส!I389"")"),0)</f>
        <v>0</v>
      </c>
      <c r="J494" s="442">
        <f ca="1">IFERROR(__xludf.DUMMYFUNCTION("IMPORTRANGE(""https://docs.google.com/spreadsheets/d/1IYY_tgx_IHuhSq3AJ5eI5OnqOPBNLWSHKh2a30DoXe8/edit?usp=sharing"",""นราธิวาส!J389"")"),0)</f>
        <v>0</v>
      </c>
      <c r="K494" s="294">
        <f t="shared" ca="1" si="117"/>
        <v>0</v>
      </c>
      <c r="L494" s="252"/>
      <c r="M494" s="252"/>
      <c r="N494" s="252"/>
      <c r="O494" s="252"/>
      <c r="P494" s="252"/>
    </row>
    <row r="495" spans="1:16" ht="21.75" customHeight="1" x14ac:dyDescent="0.35">
      <c r="A495" s="408"/>
      <c r="B495" s="409"/>
      <c r="C495" s="409"/>
      <c r="D495" s="410"/>
      <c r="E495" s="203"/>
      <c r="F495" s="203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IFERROR(__xludf.DUMMYFUNCTION("IMPORTRANGE(""https://docs.google.com/spreadsheets/d/1IYY_tgx_IHuhSq3AJ5eI5OnqOPBNLWSHKh2a30DoXe8/edit?usp=sharing"",""นราธิวาส!I390"")"),0)</f>
        <v>0</v>
      </c>
      <c r="J495" s="442">
        <f ca="1">IFERROR(__xludf.DUMMYFUNCTION("IMPORTRANGE(""https://docs.google.com/spreadsheets/d/1IYY_tgx_IHuhSq3AJ5eI5OnqOPBNLWSHKh2a30DoXe8/edit?usp=sharing"",""นราธิวาส!J390"")"),0)</f>
        <v>0</v>
      </c>
      <c r="K495" s="169">
        <f t="shared" ca="1" si="117"/>
        <v>0</v>
      </c>
      <c r="L495" s="189"/>
      <c r="M495" s="189"/>
      <c r="N495" s="189"/>
      <c r="O495" s="189"/>
      <c r="P495" s="189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IFERROR(__xludf.DUMMYFUNCTION("IMPORTRANGE(""https://docs.google.com/spreadsheets/d/1IYY_tgx_IHuhSq3AJ5eI5OnqOPBNLWSHKh2a30DoXe8/edit?usp=sharing"",""นราธิวาส!I391"")"),0)</f>
        <v>0</v>
      </c>
      <c r="J496" s="442">
        <f ca="1">IFERROR(__xludf.DUMMYFUNCTION("IMPORTRANGE(""https://docs.google.com/spreadsheets/d/1IYY_tgx_IHuhSq3AJ5eI5OnqOPBNLWSHKh2a30DoXe8/edit?usp=sharing"",""นราธิวาส!J391"")"),0)</f>
        <v>0</v>
      </c>
      <c r="K496" s="294">
        <f t="shared" ca="1" si="117"/>
        <v>0</v>
      </c>
      <c r="L496" s="252"/>
      <c r="M496" s="252"/>
      <c r="N496" s="252"/>
      <c r="O496" s="252"/>
      <c r="P496" s="252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IFERROR(__xludf.DUMMYFUNCTION("IMPORTRANGE(""https://docs.google.com/spreadsheets/d/1IYY_tgx_IHuhSq3AJ5eI5OnqOPBNLWSHKh2a30DoXe8/edit?usp=sharing"",""นราธิวาส!I392"")"),0)</f>
        <v>0</v>
      </c>
      <c r="J497" s="449">
        <f ca="1">IFERROR(__xludf.DUMMYFUNCTION("IMPORTRANGE(""https://docs.google.com/spreadsheets/d/1IYY_tgx_IHuhSq3AJ5eI5OnqOPBNLWSHKh2a30DoXe8/edit?usp=sharing"",""นราธิวาส!J392"")"),0)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3"/>
      <c r="B498" s="184"/>
      <c r="C498" s="184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IFERROR(__xludf.DUMMYFUNCTION("IMPORTRANGE(""https://docs.google.com/spreadsheets/d/1IYY_tgx_IHuhSq3AJ5eI5OnqOPBNLWSHKh2a30DoXe8/edit?usp=sharing"",""นราธิวาส!I393"")"),0)</f>
        <v>0</v>
      </c>
      <c r="J498" s="426">
        <f ca="1">IFERROR(__xludf.DUMMYFUNCTION("IMPORTRANGE(""https://docs.google.com/spreadsheets/d/1IYY_tgx_IHuhSq3AJ5eI5OnqOPBNLWSHKh2a30DoXe8/edit?usp=sharing"",""นราธิวาส!J393"")"),0)</f>
        <v>0</v>
      </c>
      <c r="K498" s="169">
        <f t="shared" ca="1" si="117"/>
        <v>0</v>
      </c>
      <c r="L498" s="189"/>
      <c r="M498" s="189"/>
      <c r="N498" s="189"/>
      <c r="O498" s="189"/>
      <c r="P498" s="189"/>
    </row>
    <row r="499" spans="1:16" ht="21.75" customHeight="1" x14ac:dyDescent="0.35">
      <c r="A499" s="183"/>
      <c r="B499" s="184"/>
      <c r="C499" s="184"/>
      <c r="D499" s="201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IFERROR(__xludf.DUMMYFUNCTION("IMPORTRANGE(""https://docs.google.com/spreadsheets/d/1IYY_tgx_IHuhSq3AJ5eI5OnqOPBNLWSHKh2a30DoXe8/edit?usp=sharing"",""นราธิวาส!I394"")"),0)</f>
        <v>0</v>
      </c>
      <c r="J499" s="426">
        <f ca="1">IFERROR(__xludf.DUMMYFUNCTION("IMPORTRANGE(""https://docs.google.com/spreadsheets/d/1IYY_tgx_IHuhSq3AJ5eI5OnqOPBNLWSHKh2a30DoXe8/edit?usp=sharing"",""นราธิวาส!J394"")"),0)</f>
        <v>0</v>
      </c>
      <c r="K499" s="209">
        <f t="shared" ca="1" si="117"/>
        <v>0</v>
      </c>
      <c r="L499" s="189"/>
      <c r="M499" s="189"/>
      <c r="N499" s="189"/>
      <c r="O499" s="189"/>
      <c r="P499" s="189"/>
    </row>
    <row r="500" spans="1:16" ht="21.75" customHeight="1" x14ac:dyDescent="0.35">
      <c r="A500" s="183"/>
      <c r="B500" s="184"/>
      <c r="C500" s="184"/>
      <c r="D500" s="410"/>
      <c r="E500" s="410" t="s">
        <v>185</v>
      </c>
      <c r="F500" s="203"/>
      <c r="G500" s="204"/>
      <c r="H500" s="428" t="s">
        <v>122</v>
      </c>
      <c r="I500" s="210">
        <f ca="1">IFERROR(__xludf.DUMMYFUNCTION("IMPORTRANGE(""https://docs.google.com/spreadsheets/d/1IYY_tgx_IHuhSq3AJ5eI5OnqOPBNLWSHKh2a30DoXe8/edit?usp=sharing"",""นราธิวาส!I395"")"),0)</f>
        <v>0</v>
      </c>
      <c r="J500" s="168">
        <f ca="1">IFERROR(__xludf.DUMMYFUNCTION("IMPORTRANGE(""https://docs.google.com/spreadsheets/d/1IYY_tgx_IHuhSq3AJ5eI5OnqOPBNLWSHKh2a30DoXe8/edit?usp=sharing"",""นราธิวาส!J395"")"),0)</f>
        <v>0</v>
      </c>
      <c r="K500" s="169">
        <f t="shared" ca="1" si="117"/>
        <v>0</v>
      </c>
      <c r="L500" s="189"/>
      <c r="M500" s="189"/>
      <c r="N500" s="189"/>
      <c r="O500" s="189"/>
      <c r="P500" s="189"/>
    </row>
    <row r="501" spans="1:16" ht="21.75" customHeight="1" x14ac:dyDescent="0.35">
      <c r="A501" s="183"/>
      <c r="B501" s="184"/>
      <c r="C501" s="184"/>
      <c r="D501" s="201"/>
      <c r="E501" s="203"/>
      <c r="F501" s="203"/>
      <c r="G501" s="204"/>
      <c r="H501" s="428" t="s">
        <v>36</v>
      </c>
      <c r="I501" s="210">
        <f ca="1">IFERROR(__xludf.DUMMYFUNCTION("IMPORTRANGE(""https://docs.google.com/spreadsheets/d/1IYY_tgx_IHuhSq3AJ5eI5OnqOPBNLWSHKh2a30DoXe8/edit?usp=sharing"",""นราธิวาส!I396"")"),0)</f>
        <v>0</v>
      </c>
      <c r="J501" s="168">
        <f ca="1">IFERROR(__xludf.DUMMYFUNCTION("IMPORTRANGE(""https://docs.google.com/spreadsheets/d/1IYY_tgx_IHuhSq3AJ5eI5OnqOPBNLWSHKh2a30DoXe8/edit?usp=sharing"",""นราธิวาส!J396"")"),0)</f>
        <v>0</v>
      </c>
      <c r="K501" s="169">
        <f t="shared" ca="1" si="117"/>
        <v>0</v>
      </c>
      <c r="L501" s="189"/>
      <c r="M501" s="189"/>
      <c r="N501" s="189"/>
      <c r="O501" s="189"/>
      <c r="P501" s="189"/>
    </row>
    <row r="502" spans="1:16" ht="21.75" customHeight="1" x14ac:dyDescent="0.35">
      <c r="A502" s="183"/>
      <c r="B502" s="184"/>
      <c r="C502" s="184"/>
      <c r="D502" s="201"/>
      <c r="E502" s="203"/>
      <c r="F502" s="405" t="s">
        <v>186</v>
      </c>
      <c r="G502" s="427"/>
      <c r="H502" s="428" t="s">
        <v>122</v>
      </c>
      <c r="I502" s="210">
        <f ca="1">IFERROR(__xludf.DUMMYFUNCTION("IMPORTRANGE(""https://docs.google.com/spreadsheets/d/1IYY_tgx_IHuhSq3AJ5eI5OnqOPBNLWSHKh2a30DoXe8/edit?usp=sharing"",""นราธิวาส!I397"")"),0)</f>
        <v>0</v>
      </c>
      <c r="J502" s="196">
        <f ca="1">IFERROR(__xludf.DUMMYFUNCTION("IMPORTRANGE(""https://docs.google.com/spreadsheets/d/1IYY_tgx_IHuhSq3AJ5eI5OnqOPBNLWSHKh2a30DoXe8/edit?usp=sharing"",""นราธิวาส!J397"")"),0)</f>
        <v>0</v>
      </c>
      <c r="K502" s="169">
        <f t="shared" ca="1" si="117"/>
        <v>0</v>
      </c>
      <c r="L502" s="189"/>
      <c r="M502" s="189"/>
      <c r="N502" s="189"/>
      <c r="O502" s="189"/>
      <c r="P502" s="189"/>
    </row>
    <row r="503" spans="1:16" ht="21.75" customHeight="1" x14ac:dyDescent="0.35">
      <c r="A503" s="183"/>
      <c r="B503" s="184"/>
      <c r="C503" s="184"/>
      <c r="D503" s="201"/>
      <c r="E503" s="203"/>
      <c r="F503" s="203"/>
      <c r="G503" s="427"/>
      <c r="H503" s="428" t="s">
        <v>36</v>
      </c>
      <c r="I503" s="195">
        <f ca="1">IFERROR(__xludf.DUMMYFUNCTION("IMPORTRANGE(""https://docs.google.com/spreadsheets/d/1IYY_tgx_IHuhSq3AJ5eI5OnqOPBNLWSHKh2a30DoXe8/edit?usp=sharing"",""นราธิวาส!I398"")"),0)</f>
        <v>0</v>
      </c>
      <c r="J503" s="205">
        <f ca="1">IFERROR(__xludf.DUMMYFUNCTION("IMPORTRANGE(""https://docs.google.com/spreadsheets/d/1IYY_tgx_IHuhSq3AJ5eI5OnqOPBNLWSHKh2a30DoXe8/edit?usp=sharing"",""นราธิวาส!J398"")"),0)</f>
        <v>0</v>
      </c>
      <c r="K503" s="169">
        <f t="shared" ca="1" si="117"/>
        <v>0</v>
      </c>
      <c r="L503" s="189"/>
      <c r="M503" s="189"/>
      <c r="N503" s="189"/>
      <c r="O503" s="189"/>
      <c r="P503" s="189"/>
    </row>
    <row r="504" spans="1:16" ht="21.75" customHeight="1" x14ac:dyDescent="0.35">
      <c r="A504" s="183"/>
      <c r="B504" s="184"/>
      <c r="C504" s="184"/>
      <c r="D504" s="201"/>
      <c r="E504" s="203"/>
      <c r="F504" s="396" t="s">
        <v>187</v>
      </c>
      <c r="G504" s="427"/>
      <c r="H504" s="428" t="s">
        <v>122</v>
      </c>
      <c r="I504" s="211">
        <f ca="1">IFERROR(__xludf.DUMMYFUNCTION("IMPORTRANGE(""https://docs.google.com/spreadsheets/d/1IYY_tgx_IHuhSq3AJ5eI5OnqOPBNLWSHKh2a30DoXe8/edit?usp=sharing"",""นราธิวาส!I399"")"),0)</f>
        <v>0</v>
      </c>
      <c r="J504" s="196">
        <f ca="1">IFERROR(__xludf.DUMMYFUNCTION("IMPORTRANGE(""https://docs.google.com/spreadsheets/d/1IYY_tgx_IHuhSq3AJ5eI5OnqOPBNLWSHKh2a30DoXe8/edit?usp=sharing"",""นราธิวาส!J399"")"),0)</f>
        <v>0</v>
      </c>
      <c r="K504" s="169">
        <f t="shared" ca="1" si="117"/>
        <v>0</v>
      </c>
      <c r="L504" s="189"/>
      <c r="M504" s="189"/>
      <c r="N504" s="189"/>
      <c r="O504" s="189"/>
      <c r="P504" s="189"/>
    </row>
    <row r="505" spans="1:16" ht="21.75" customHeight="1" x14ac:dyDescent="0.35">
      <c r="A505" s="183"/>
      <c r="B505" s="184"/>
      <c r="C505" s="184"/>
      <c r="D505" s="201"/>
      <c r="E505" s="203"/>
      <c r="F505" s="203"/>
      <c r="G505" s="427"/>
      <c r="H505" s="428" t="s">
        <v>36</v>
      </c>
      <c r="I505" s="195">
        <f ca="1">IFERROR(__xludf.DUMMYFUNCTION("IMPORTRANGE(""https://docs.google.com/spreadsheets/d/1IYY_tgx_IHuhSq3AJ5eI5OnqOPBNLWSHKh2a30DoXe8/edit?usp=sharing"",""นราธิวาส!I400"")"),0)</f>
        <v>0</v>
      </c>
      <c r="J505" s="205">
        <f ca="1">IFERROR(__xludf.DUMMYFUNCTION("IMPORTRANGE(""https://docs.google.com/spreadsheets/d/1IYY_tgx_IHuhSq3AJ5eI5OnqOPBNLWSHKh2a30DoXe8/edit?usp=sharing"",""นราธิวาส!J400"")"),0)</f>
        <v>0</v>
      </c>
      <c r="K505" s="169">
        <f t="shared" ca="1" si="117"/>
        <v>0</v>
      </c>
      <c r="L505" s="189"/>
      <c r="M505" s="189"/>
      <c r="N505" s="189"/>
      <c r="O505" s="189"/>
      <c r="P505" s="189"/>
    </row>
    <row r="506" spans="1:16" ht="21.75" customHeight="1" x14ac:dyDescent="0.35">
      <c r="A506" s="183"/>
      <c r="B506" s="184"/>
      <c r="C506" s="184"/>
      <c r="D506" s="201"/>
      <c r="E506" s="203"/>
      <c r="F506" s="405" t="s">
        <v>188</v>
      </c>
      <c r="G506" s="427"/>
      <c r="H506" s="428" t="s">
        <v>122</v>
      </c>
      <c r="I506" s="211">
        <f ca="1">IFERROR(__xludf.DUMMYFUNCTION("IMPORTRANGE(""https://docs.google.com/spreadsheets/d/1IYY_tgx_IHuhSq3AJ5eI5OnqOPBNLWSHKh2a30DoXe8/edit?usp=sharing"",""นราธิวาส!I401"")"),0)</f>
        <v>0</v>
      </c>
      <c r="J506" s="196">
        <f ca="1">IFERROR(__xludf.DUMMYFUNCTION("IMPORTRANGE(""https://docs.google.com/spreadsheets/d/1IYY_tgx_IHuhSq3AJ5eI5OnqOPBNLWSHKh2a30DoXe8/edit?usp=sharing"",""นราธิวาส!J401"")"),0)</f>
        <v>0</v>
      </c>
      <c r="K506" s="169">
        <f t="shared" ca="1" si="117"/>
        <v>0</v>
      </c>
      <c r="L506" s="189"/>
      <c r="M506" s="189"/>
      <c r="N506" s="189"/>
      <c r="O506" s="189"/>
      <c r="P506" s="189"/>
    </row>
    <row r="507" spans="1:16" ht="21.75" customHeight="1" x14ac:dyDescent="0.35">
      <c r="A507" s="183"/>
      <c r="B507" s="184"/>
      <c r="C507" s="184"/>
      <c r="D507" s="201"/>
      <c r="E507" s="203"/>
      <c r="F507" s="203"/>
      <c r="G507" s="203"/>
      <c r="H507" s="428" t="s">
        <v>36</v>
      </c>
      <c r="I507" s="195">
        <f ca="1">IFERROR(__xludf.DUMMYFUNCTION("IMPORTRANGE(""https://docs.google.com/spreadsheets/d/1IYY_tgx_IHuhSq3AJ5eI5OnqOPBNLWSHKh2a30DoXe8/edit?usp=sharing"",""นราธิวาส!I402"")"),0)</f>
        <v>0</v>
      </c>
      <c r="J507" s="205">
        <f ca="1">IFERROR(__xludf.DUMMYFUNCTION("IMPORTRANGE(""https://docs.google.com/spreadsheets/d/1IYY_tgx_IHuhSq3AJ5eI5OnqOPBNLWSHKh2a30DoXe8/edit?usp=sharing"",""นราธิวาส!J402"")"),0)</f>
        <v>0</v>
      </c>
      <c r="K507" s="169">
        <f t="shared" ca="1" si="117"/>
        <v>0</v>
      </c>
      <c r="L507" s="189"/>
      <c r="M507" s="189"/>
      <c r="N507" s="189"/>
      <c r="O507" s="189"/>
      <c r="P507" s="189"/>
    </row>
    <row r="508" spans="1:16" ht="21.75" customHeight="1" x14ac:dyDescent="0.35">
      <c r="A508" s="183"/>
      <c r="B508" s="184"/>
      <c r="C508" s="184"/>
      <c r="D508" s="201"/>
      <c r="E508" s="202" t="s">
        <v>189</v>
      </c>
      <c r="F508" s="203"/>
      <c r="G508" s="427"/>
      <c r="H508" s="428" t="s">
        <v>122</v>
      </c>
      <c r="I508" s="195">
        <f ca="1">IFERROR(__xludf.DUMMYFUNCTION("IMPORTRANGE(""https://docs.google.com/spreadsheets/d/1IYY_tgx_IHuhSq3AJ5eI5OnqOPBNLWSHKh2a30DoXe8/edit?usp=sharing"",""นราธิวาส!I403"")"),0)</f>
        <v>0</v>
      </c>
      <c r="J508" s="168">
        <f ca="1">IFERROR(__xludf.DUMMYFUNCTION("IMPORTRANGE(""https://docs.google.com/spreadsheets/d/1IYY_tgx_IHuhSq3AJ5eI5OnqOPBNLWSHKh2a30DoXe8/edit?usp=sharing"",""นราธิวาส!J403"")"),0)</f>
        <v>0</v>
      </c>
      <c r="K508" s="169">
        <f t="shared" ca="1" si="117"/>
        <v>0</v>
      </c>
      <c r="L508" s="189"/>
      <c r="M508" s="189"/>
      <c r="N508" s="189"/>
      <c r="O508" s="189"/>
      <c r="P508" s="189"/>
    </row>
    <row r="509" spans="1:16" ht="21.75" customHeight="1" x14ac:dyDescent="0.35">
      <c r="A509" s="183"/>
      <c r="B509" s="184"/>
      <c r="C509" s="184"/>
      <c r="D509" s="201"/>
      <c r="E509" s="203"/>
      <c r="F509" s="203"/>
      <c r="G509" s="203"/>
      <c r="H509" s="428" t="s">
        <v>36</v>
      </c>
      <c r="I509" s="195">
        <f ca="1">IFERROR(__xludf.DUMMYFUNCTION("IMPORTRANGE(""https://docs.google.com/spreadsheets/d/1IYY_tgx_IHuhSq3AJ5eI5OnqOPBNLWSHKh2a30DoXe8/edit?usp=sharing"",""นราธิวาส!I404"")"),0)</f>
        <v>0</v>
      </c>
      <c r="J509" s="168">
        <f ca="1">IFERROR(__xludf.DUMMYFUNCTION("IMPORTRANGE(""https://docs.google.com/spreadsheets/d/1IYY_tgx_IHuhSq3AJ5eI5OnqOPBNLWSHKh2a30DoXe8/edit?usp=sharing"",""นราธิวาส!J404"")"),0)</f>
        <v>0</v>
      </c>
      <c r="K509" s="169">
        <f t="shared" ca="1" si="117"/>
        <v>0</v>
      </c>
      <c r="L509" s="189"/>
      <c r="M509" s="189"/>
      <c r="N509" s="189"/>
      <c r="O509" s="189"/>
      <c r="P509" s="189"/>
    </row>
    <row r="510" spans="1:16" ht="21.75" customHeight="1" x14ac:dyDescent="0.35">
      <c r="A510" s="183"/>
      <c r="B510" s="184"/>
      <c r="C510" s="184"/>
      <c r="D510" s="201"/>
      <c r="E510" s="203"/>
      <c r="F510" s="202" t="s">
        <v>190</v>
      </c>
      <c r="G510" s="203"/>
      <c r="H510" s="428" t="s">
        <v>122</v>
      </c>
      <c r="I510" s="195">
        <f ca="1">IFERROR(__xludf.DUMMYFUNCTION("IMPORTRANGE(""https://docs.google.com/spreadsheets/d/1IYY_tgx_IHuhSq3AJ5eI5OnqOPBNLWSHKh2a30DoXe8/edit?usp=sharing"",""นราธิวาส!I405"")"),0)</f>
        <v>0</v>
      </c>
      <c r="J510" s="205">
        <f ca="1">IFERROR(__xludf.DUMMYFUNCTION("IMPORTRANGE(""https://docs.google.com/spreadsheets/d/1IYY_tgx_IHuhSq3AJ5eI5OnqOPBNLWSHKh2a30DoXe8/edit?usp=sharing"",""นราธิวาส!J405"")"),0)</f>
        <v>0</v>
      </c>
      <c r="K510" s="169">
        <f t="shared" ca="1" si="117"/>
        <v>0</v>
      </c>
      <c r="L510" s="189"/>
      <c r="M510" s="189"/>
      <c r="N510" s="189"/>
      <c r="O510" s="189"/>
      <c r="P510" s="189"/>
    </row>
    <row r="511" spans="1:16" ht="21.75" customHeight="1" x14ac:dyDescent="0.35">
      <c r="A511" s="183"/>
      <c r="B511" s="184"/>
      <c r="C511" s="184"/>
      <c r="D511" s="201"/>
      <c r="E511" s="203"/>
      <c r="F511" s="203"/>
      <c r="G511" s="203"/>
      <c r="H511" s="428" t="s">
        <v>36</v>
      </c>
      <c r="I511" s="195">
        <f ca="1">IFERROR(__xludf.DUMMYFUNCTION("IMPORTRANGE(""https://docs.google.com/spreadsheets/d/1IYY_tgx_IHuhSq3AJ5eI5OnqOPBNLWSHKh2a30DoXe8/edit?usp=sharing"",""นราธิวาส!I406"")"),0)</f>
        <v>0</v>
      </c>
      <c r="J511" s="205">
        <f ca="1">IFERROR(__xludf.DUMMYFUNCTION("IMPORTRANGE(""https://docs.google.com/spreadsheets/d/1IYY_tgx_IHuhSq3AJ5eI5OnqOPBNLWSHKh2a30DoXe8/edit?usp=sharing"",""นราธิวาส!J406"")"),0)</f>
        <v>0</v>
      </c>
      <c r="K511" s="169">
        <f t="shared" ca="1" si="117"/>
        <v>0</v>
      </c>
      <c r="L511" s="189"/>
      <c r="M511" s="189"/>
      <c r="N511" s="189"/>
      <c r="O511" s="189"/>
      <c r="P511" s="189"/>
    </row>
    <row r="512" spans="1:16" ht="21.75" customHeight="1" x14ac:dyDescent="0.35">
      <c r="A512" s="183"/>
      <c r="B512" s="184"/>
      <c r="C512" s="184"/>
      <c r="D512" s="201"/>
      <c r="E512" s="203"/>
      <c r="F512" s="202" t="s">
        <v>191</v>
      </c>
      <c r="G512" s="203"/>
      <c r="H512" s="428" t="s">
        <v>122</v>
      </c>
      <c r="I512" s="195">
        <f ca="1">IFERROR(__xludf.DUMMYFUNCTION("IMPORTRANGE(""https://docs.google.com/spreadsheets/d/1IYY_tgx_IHuhSq3AJ5eI5OnqOPBNLWSHKh2a30DoXe8/edit?usp=sharing"",""นราธิวาส!I407"")"),0)</f>
        <v>0</v>
      </c>
      <c r="J512" s="205">
        <f ca="1">IFERROR(__xludf.DUMMYFUNCTION("IMPORTRANGE(""https://docs.google.com/spreadsheets/d/1IYY_tgx_IHuhSq3AJ5eI5OnqOPBNLWSHKh2a30DoXe8/edit?usp=sharing"",""นราธิวาส!J407"")"),0)</f>
        <v>0</v>
      </c>
      <c r="K512" s="169">
        <f t="shared" ca="1" si="117"/>
        <v>0</v>
      </c>
      <c r="L512" s="189"/>
      <c r="M512" s="189"/>
      <c r="N512" s="189"/>
      <c r="O512" s="189"/>
      <c r="P512" s="189"/>
    </row>
    <row r="513" spans="1:16" ht="21.75" customHeight="1" x14ac:dyDescent="0.35">
      <c r="A513" s="183"/>
      <c r="B513" s="184"/>
      <c r="C513" s="184"/>
      <c r="D513" s="201"/>
      <c r="E513" s="203"/>
      <c r="F513" s="203"/>
      <c r="G513" s="204"/>
      <c r="H513" s="428" t="s">
        <v>36</v>
      </c>
      <c r="I513" s="195">
        <f ca="1">IFERROR(__xludf.DUMMYFUNCTION("IMPORTRANGE(""https://docs.google.com/spreadsheets/d/1IYY_tgx_IHuhSq3AJ5eI5OnqOPBNLWSHKh2a30DoXe8/edit?usp=sharing"",""นราธิวาส!I408"")"),0)</f>
        <v>0</v>
      </c>
      <c r="J513" s="205">
        <f ca="1">IFERROR(__xludf.DUMMYFUNCTION("IMPORTRANGE(""https://docs.google.com/spreadsheets/d/1IYY_tgx_IHuhSq3AJ5eI5OnqOPBNLWSHKh2a30DoXe8/edit?usp=sharing"",""นราธิวาส!J408"")"),0)</f>
        <v>0</v>
      </c>
      <c r="K513" s="169">
        <f t="shared" ca="1" si="117"/>
        <v>0</v>
      </c>
      <c r="L513" s="189"/>
      <c r="M513" s="189"/>
      <c r="N513" s="189"/>
      <c r="O513" s="189"/>
      <c r="P513" s="189"/>
    </row>
    <row r="514" spans="1:16" ht="21.75" customHeight="1" x14ac:dyDescent="0.35">
      <c r="A514" s="183"/>
      <c r="B514" s="184"/>
      <c r="C514" s="184"/>
      <c r="D514" s="410"/>
      <c r="E514" s="456" t="s">
        <v>192</v>
      </c>
      <c r="F514" s="203"/>
      <c r="G514" s="204"/>
      <c r="H514" s="428" t="s">
        <v>122</v>
      </c>
      <c r="I514" s="195">
        <f ca="1">IFERROR(__xludf.DUMMYFUNCTION("IMPORTRANGE(""https://docs.google.com/spreadsheets/d/1IYY_tgx_IHuhSq3AJ5eI5OnqOPBNLWSHKh2a30DoXe8/edit?usp=sharing"",""นราธิวาส!I409"")"),0)</f>
        <v>0</v>
      </c>
      <c r="J514" s="205">
        <f ca="1">IFERROR(__xludf.DUMMYFUNCTION("IMPORTRANGE(""https://docs.google.com/spreadsheets/d/1IYY_tgx_IHuhSq3AJ5eI5OnqOPBNLWSHKh2a30DoXe8/edit?usp=sharing"",""นราธิวาส!J409"")"),0)</f>
        <v>0</v>
      </c>
      <c r="K514" s="169">
        <f t="shared" ca="1" si="117"/>
        <v>0</v>
      </c>
      <c r="L514" s="189"/>
      <c r="M514" s="189"/>
      <c r="N514" s="189"/>
      <c r="O514" s="189"/>
      <c r="P514" s="189"/>
    </row>
    <row r="515" spans="1:16" ht="21.75" customHeight="1" x14ac:dyDescent="0.35">
      <c r="A515" s="183"/>
      <c r="B515" s="184"/>
      <c r="C515" s="184"/>
      <c r="D515" s="201"/>
      <c r="E515" s="203"/>
      <c r="F515" s="203"/>
      <c r="G515" s="204"/>
      <c r="H515" s="428" t="s">
        <v>36</v>
      </c>
      <c r="I515" s="195">
        <f ca="1">IFERROR(__xludf.DUMMYFUNCTION("IMPORTRANGE(""https://docs.google.com/spreadsheets/d/1IYY_tgx_IHuhSq3AJ5eI5OnqOPBNLWSHKh2a30DoXe8/edit?usp=sharing"",""นราธิวาส!I410"")"),0)</f>
        <v>0</v>
      </c>
      <c r="J515" s="205">
        <f ca="1">IFERROR(__xludf.DUMMYFUNCTION("IMPORTRANGE(""https://docs.google.com/spreadsheets/d/1IYY_tgx_IHuhSq3AJ5eI5OnqOPBNLWSHKh2a30DoXe8/edit?usp=sharing"",""นราธิวาส!J410"")"),0)</f>
        <v>0</v>
      </c>
      <c r="K515" s="169">
        <f t="shared" ca="1" si="117"/>
        <v>0</v>
      </c>
      <c r="L515" s="189"/>
      <c r="M515" s="189"/>
      <c r="N515" s="189"/>
      <c r="O515" s="189"/>
      <c r="P515" s="189"/>
    </row>
    <row r="516" spans="1:16" ht="21.75" customHeight="1" x14ac:dyDescent="0.35">
      <c r="A516" s="183"/>
      <c r="B516" s="184"/>
      <c r="C516" s="421" t="s">
        <v>193</v>
      </c>
      <c r="D516" s="421"/>
      <c r="E516" s="457"/>
      <c r="F516" s="457"/>
      <c r="G516" s="458"/>
      <c r="H516" s="459" t="s">
        <v>122</v>
      </c>
      <c r="I516" s="274">
        <f ca="1">IFERROR(__xludf.DUMMYFUNCTION("IMPORTRANGE(""https://docs.google.com/spreadsheets/d/1IYY_tgx_IHuhSq3AJ5eI5OnqOPBNLWSHKh2a30DoXe8/edit?usp=sharing"",""นราธิวาส!I411"")"),0)</f>
        <v>0</v>
      </c>
      <c r="J516" s="274">
        <f ca="1">IFERROR(__xludf.DUMMYFUNCTION("IMPORTRANGE(""https://docs.google.com/spreadsheets/d/1IYY_tgx_IHuhSq3AJ5eI5OnqOPBNLWSHKh2a30DoXe8/edit?usp=sharing"",""นราธิวาส!J411"")"),0)</f>
        <v>0</v>
      </c>
      <c r="K516" s="275">
        <v>0</v>
      </c>
      <c r="L516" s="189"/>
      <c r="M516" s="189"/>
      <c r="N516" s="189"/>
      <c r="O516" s="189"/>
      <c r="P516" s="189"/>
    </row>
    <row r="517" spans="1:16" ht="21.75" customHeight="1" x14ac:dyDescent="0.35">
      <c r="A517" s="183"/>
      <c r="B517" s="184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IFERROR(__xludf.DUMMYFUNCTION("IMPORTRANGE(""https://docs.google.com/spreadsheets/d/1IYY_tgx_IHuhSq3AJ5eI5OnqOPBNLWSHKh2a30DoXe8/edit?usp=sharing"",""นราธิวาส!I412"")"),0)</f>
        <v>0</v>
      </c>
      <c r="J517" s="290">
        <f ca="1">IFERROR(__xludf.DUMMYFUNCTION("IMPORTRANGE(""https://docs.google.com/spreadsheets/d/1IYY_tgx_IHuhSq3AJ5eI5OnqOPBNLWSHKh2a30DoXe8/edit?usp=sharing"",""นราธิวาส!J412"")"),0)</f>
        <v>0</v>
      </c>
      <c r="K517" s="291">
        <v>0</v>
      </c>
      <c r="L517" s="189"/>
      <c r="M517" s="189"/>
      <c r="N517" s="189"/>
      <c r="O517" s="189"/>
      <c r="P517" s="189"/>
    </row>
    <row r="518" spans="1:16" ht="21.75" customHeight="1" x14ac:dyDescent="0.35">
      <c r="A518" s="183"/>
      <c r="B518" s="184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IFERROR(__xludf.DUMMYFUNCTION("IMPORTRANGE(""https://docs.google.com/spreadsheets/d/1IYY_tgx_IHuhSq3AJ5eI5OnqOPBNLWSHKh2a30DoXe8/edit?usp=sharing"",""นราธิวาส!I413"")"),0)</f>
        <v>0</v>
      </c>
      <c r="J518" s="290">
        <f ca="1">IFERROR(__xludf.DUMMYFUNCTION("IMPORTRANGE(""https://docs.google.com/spreadsheets/d/1IYY_tgx_IHuhSq3AJ5eI5OnqOPBNLWSHKh2a30DoXe8/edit?usp=sharing"",""นราธิวาส!J413"")"),0)</f>
        <v>0</v>
      </c>
      <c r="K518" s="291">
        <v>0</v>
      </c>
      <c r="L518" s="189"/>
      <c r="M518" s="189"/>
      <c r="N518" s="189"/>
      <c r="O518" s="189"/>
      <c r="P518" s="189"/>
    </row>
    <row r="519" spans="1:16" ht="21.75" customHeight="1" x14ac:dyDescent="0.35">
      <c r="A519" s="183"/>
      <c r="B519" s="184"/>
      <c r="C519" s="184"/>
      <c r="D519" s="201"/>
      <c r="E519" s="203"/>
      <c r="F519" s="203"/>
      <c r="G519" s="233" t="s">
        <v>196</v>
      </c>
      <c r="H519" s="428" t="s">
        <v>122</v>
      </c>
      <c r="I519" s="195">
        <f ca="1">IFERROR(__xludf.DUMMYFUNCTION("IMPORTRANGE(""https://docs.google.com/spreadsheets/d/1IYY_tgx_IHuhSq3AJ5eI5OnqOPBNLWSHKh2a30DoXe8/edit?usp=sharing"",""นราธิวาส!I414"")"),0)</f>
        <v>0</v>
      </c>
      <c r="J519" s="195">
        <f ca="1">IFERROR(__xludf.DUMMYFUNCTION("IMPORTRANGE(""https://docs.google.com/spreadsheets/d/1IYY_tgx_IHuhSq3AJ5eI5OnqOPBNLWSHKh2a30DoXe8/edit?usp=sharing"",""นราธิวาส!J414"")"),0)</f>
        <v>0</v>
      </c>
      <c r="K519" s="169">
        <v>0</v>
      </c>
      <c r="L519" s="189"/>
      <c r="M519" s="189"/>
      <c r="N519" s="189"/>
      <c r="O519" s="189"/>
      <c r="P519" s="189"/>
    </row>
    <row r="520" spans="1:16" ht="21.75" customHeight="1" x14ac:dyDescent="0.35">
      <c r="A520" s="183"/>
      <c r="B520" s="184"/>
      <c r="C520" s="184"/>
      <c r="D520" s="201"/>
      <c r="E520" s="203"/>
      <c r="F520" s="203"/>
      <c r="G520" s="204"/>
      <c r="H520" s="428" t="s">
        <v>36</v>
      </c>
      <c r="I520" s="195">
        <f ca="1">IFERROR(__xludf.DUMMYFUNCTION("IMPORTRANGE(""https://docs.google.com/spreadsheets/d/1IYY_tgx_IHuhSq3AJ5eI5OnqOPBNLWSHKh2a30DoXe8/edit?usp=sharing"",""นราธิวาส!I415"")"),0)</f>
        <v>0</v>
      </c>
      <c r="J520" s="195">
        <f ca="1">IFERROR(__xludf.DUMMYFUNCTION("IMPORTRANGE(""https://docs.google.com/spreadsheets/d/1IYY_tgx_IHuhSq3AJ5eI5OnqOPBNLWSHKh2a30DoXe8/edit?usp=sharing"",""นราธิวาส!J415"")"),0)</f>
        <v>0</v>
      </c>
      <c r="K520" s="169">
        <v>0</v>
      </c>
      <c r="L520" s="189"/>
      <c r="M520" s="189"/>
      <c r="N520" s="189"/>
      <c r="O520" s="189"/>
      <c r="P520" s="189"/>
    </row>
    <row r="521" spans="1:16" ht="21.75" customHeight="1" x14ac:dyDescent="0.35">
      <c r="A521" s="183"/>
      <c r="B521" s="184"/>
      <c r="C521" s="184"/>
      <c r="D521" s="201"/>
      <c r="E521" s="203"/>
      <c r="F521" s="203"/>
      <c r="G521" s="233" t="s">
        <v>197</v>
      </c>
      <c r="H521" s="428" t="s">
        <v>122</v>
      </c>
      <c r="I521" s="195">
        <f ca="1">IFERROR(__xludf.DUMMYFUNCTION("IMPORTRANGE(""https://docs.google.com/spreadsheets/d/1IYY_tgx_IHuhSq3AJ5eI5OnqOPBNLWSHKh2a30DoXe8/edit?usp=sharing"",""นราธิวาส!I416"")"),0)</f>
        <v>0</v>
      </c>
      <c r="J521" s="195">
        <f ca="1">IFERROR(__xludf.DUMMYFUNCTION("IMPORTRANGE(""https://docs.google.com/spreadsheets/d/1IYY_tgx_IHuhSq3AJ5eI5OnqOPBNLWSHKh2a30DoXe8/edit?usp=sharing"",""นราธิวาส!J416"")"),0)</f>
        <v>0</v>
      </c>
      <c r="K521" s="169">
        <v>0</v>
      </c>
      <c r="L521" s="189"/>
      <c r="M521" s="189"/>
      <c r="N521" s="189"/>
      <c r="O521" s="189"/>
      <c r="P521" s="189"/>
    </row>
    <row r="522" spans="1:16" ht="21.75" customHeight="1" x14ac:dyDescent="0.35">
      <c r="A522" s="183"/>
      <c r="B522" s="184"/>
      <c r="C522" s="184"/>
      <c r="D522" s="201"/>
      <c r="E522" s="203"/>
      <c r="F522" s="203"/>
      <c r="G522" s="204"/>
      <c r="H522" s="428" t="s">
        <v>36</v>
      </c>
      <c r="I522" s="195">
        <f ca="1">IFERROR(__xludf.DUMMYFUNCTION("IMPORTRANGE(""https://docs.google.com/spreadsheets/d/1IYY_tgx_IHuhSq3AJ5eI5OnqOPBNLWSHKh2a30DoXe8/edit?usp=sharing"",""นราธิวาส!I417"")"),0)</f>
        <v>0</v>
      </c>
      <c r="J522" s="195">
        <f ca="1">IFERROR(__xludf.DUMMYFUNCTION("IMPORTRANGE(""https://docs.google.com/spreadsheets/d/1IYY_tgx_IHuhSq3AJ5eI5OnqOPBNLWSHKh2a30DoXe8/edit?usp=sharing"",""นราธิวาส!J417"")"),0)</f>
        <v>0</v>
      </c>
      <c r="K522" s="169">
        <v>0</v>
      </c>
      <c r="L522" s="189"/>
      <c r="M522" s="189"/>
      <c r="N522" s="189"/>
      <c r="O522" s="189"/>
      <c r="P522" s="189"/>
    </row>
    <row r="523" spans="1:16" ht="21.75" customHeight="1" x14ac:dyDescent="0.35">
      <c r="A523" s="183"/>
      <c r="B523" s="184"/>
      <c r="C523" s="184"/>
      <c r="D523" s="201"/>
      <c r="E523" s="203"/>
      <c r="F523" s="203"/>
      <c r="G523" s="464" t="s">
        <v>198</v>
      </c>
      <c r="H523" s="428" t="s">
        <v>122</v>
      </c>
      <c r="I523" s="195">
        <f ca="1">IFERROR(__xludf.DUMMYFUNCTION("IMPORTRANGE(""https://docs.google.com/spreadsheets/d/1IYY_tgx_IHuhSq3AJ5eI5OnqOPBNLWSHKh2a30DoXe8/edit?usp=sharing"",""นราธิวาส!I418"")"),0)</f>
        <v>0</v>
      </c>
      <c r="J523" s="195">
        <f ca="1">IFERROR(__xludf.DUMMYFUNCTION("IMPORTRANGE(""https://docs.google.com/spreadsheets/d/1IYY_tgx_IHuhSq3AJ5eI5OnqOPBNLWSHKh2a30DoXe8/edit?usp=sharing"",""นราธิวาส!J418"")"),0)</f>
        <v>0</v>
      </c>
      <c r="K523" s="169">
        <v>0</v>
      </c>
      <c r="L523" s="189"/>
      <c r="M523" s="189"/>
      <c r="N523" s="189"/>
      <c r="O523" s="189"/>
      <c r="P523" s="189"/>
    </row>
    <row r="524" spans="1:16" ht="21.75" customHeight="1" x14ac:dyDescent="0.35">
      <c r="A524" s="183"/>
      <c r="B524" s="184"/>
      <c r="C524" s="184"/>
      <c r="D524" s="201"/>
      <c r="E524" s="203"/>
      <c r="F524" s="203"/>
      <c r="G524" s="204"/>
      <c r="H524" s="428" t="s">
        <v>36</v>
      </c>
      <c r="I524" s="195">
        <f ca="1">IFERROR(__xludf.DUMMYFUNCTION("IMPORTRANGE(""https://docs.google.com/spreadsheets/d/1IYY_tgx_IHuhSq3AJ5eI5OnqOPBNLWSHKh2a30DoXe8/edit?usp=sharing"",""นราธิวาส!I419"")"),0)</f>
        <v>0</v>
      </c>
      <c r="J524" s="195">
        <f ca="1">IFERROR(__xludf.DUMMYFUNCTION("IMPORTRANGE(""https://docs.google.com/spreadsheets/d/1IYY_tgx_IHuhSq3AJ5eI5OnqOPBNLWSHKh2a30DoXe8/edit?usp=sharing"",""นราธิวาส!J419"")"),0)</f>
        <v>0</v>
      </c>
      <c r="K524" s="169">
        <v>0</v>
      </c>
      <c r="L524" s="189"/>
      <c r="M524" s="189"/>
      <c r="N524" s="189"/>
      <c r="O524" s="189"/>
      <c r="P524" s="189"/>
    </row>
    <row r="525" spans="1:16" ht="21.75" customHeight="1" x14ac:dyDescent="0.35">
      <c r="A525" s="183"/>
      <c r="B525" s="184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IFERROR(__xludf.DUMMYFUNCTION("IMPORTRANGE(""https://docs.google.com/spreadsheets/d/1IYY_tgx_IHuhSq3AJ5eI5OnqOPBNLWSHKh2a30DoXe8/edit?usp=sharing"",""นราธิวาส!I420"")"),0)</f>
        <v>0</v>
      </c>
      <c r="J525" s="290">
        <f ca="1">IFERROR(__xludf.DUMMYFUNCTION("IMPORTRANGE(""https://docs.google.com/spreadsheets/d/1IYY_tgx_IHuhSq3AJ5eI5OnqOPBNLWSHKh2a30DoXe8/edit?usp=sharing"",""นราธิวาส!J420"")"),0)</f>
        <v>0</v>
      </c>
      <c r="K525" s="291">
        <v>0</v>
      </c>
      <c r="L525" s="189"/>
      <c r="M525" s="189"/>
      <c r="N525" s="189"/>
      <c r="O525" s="189"/>
      <c r="P525" s="189"/>
    </row>
    <row r="526" spans="1:16" ht="21.75" customHeight="1" x14ac:dyDescent="0.35">
      <c r="A526" s="183"/>
      <c r="B526" s="184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IFERROR(__xludf.DUMMYFUNCTION("IMPORTRANGE(""https://docs.google.com/spreadsheets/d/1IYY_tgx_IHuhSq3AJ5eI5OnqOPBNLWSHKh2a30DoXe8/edit?usp=sharing"",""นราธิวาส!I421"")"),0)</f>
        <v>0</v>
      </c>
      <c r="J526" s="290">
        <f ca="1">IFERROR(__xludf.DUMMYFUNCTION("IMPORTRANGE(""https://docs.google.com/spreadsheets/d/1IYY_tgx_IHuhSq3AJ5eI5OnqOPBNLWSHKh2a30DoXe8/edit?usp=sharing"",""นราธิวาส!J421"")"),0)</f>
        <v>0</v>
      </c>
      <c r="K526" s="291">
        <v>0</v>
      </c>
      <c r="L526" s="189"/>
      <c r="M526" s="189"/>
      <c r="N526" s="189"/>
      <c r="O526" s="189"/>
      <c r="P526" s="189"/>
    </row>
    <row r="527" spans="1:16" ht="21.75" customHeight="1" x14ac:dyDescent="0.35">
      <c r="A527" s="183"/>
      <c r="B527" s="184"/>
      <c r="C527" s="184"/>
      <c r="D527" s="201"/>
      <c r="E527" s="203"/>
      <c r="F527" s="203"/>
      <c r="G527" s="233" t="s">
        <v>196</v>
      </c>
      <c r="H527" s="428" t="s">
        <v>122</v>
      </c>
      <c r="I527" s="195">
        <f ca="1">IFERROR(__xludf.DUMMYFUNCTION("IMPORTRANGE(""https://docs.google.com/spreadsheets/d/1IYY_tgx_IHuhSq3AJ5eI5OnqOPBNLWSHKh2a30DoXe8/edit?usp=sharing"",""นราธิวาส!I422"")"),0)</f>
        <v>0</v>
      </c>
      <c r="J527" s="205">
        <f ca="1">IFERROR(__xludf.DUMMYFUNCTION("IMPORTRANGE(""https://docs.google.com/spreadsheets/d/1IYY_tgx_IHuhSq3AJ5eI5OnqOPBNLWSHKh2a30DoXe8/edit?usp=sharing"",""นราธิวาส!J422"")"),0)</f>
        <v>0</v>
      </c>
      <c r="K527" s="169">
        <v>0</v>
      </c>
      <c r="L527" s="189"/>
      <c r="M527" s="189"/>
      <c r="N527" s="189"/>
      <c r="O527" s="189"/>
      <c r="P527" s="189"/>
    </row>
    <row r="528" spans="1:16" ht="21.75" customHeight="1" x14ac:dyDescent="0.35">
      <c r="A528" s="183"/>
      <c r="B528" s="184"/>
      <c r="C528" s="184"/>
      <c r="D528" s="201"/>
      <c r="E528" s="203"/>
      <c r="F528" s="203"/>
      <c r="G528" s="204"/>
      <c r="H528" s="428" t="s">
        <v>36</v>
      </c>
      <c r="I528" s="195">
        <f ca="1">IFERROR(__xludf.DUMMYFUNCTION("IMPORTRANGE(""https://docs.google.com/spreadsheets/d/1IYY_tgx_IHuhSq3AJ5eI5OnqOPBNLWSHKh2a30DoXe8/edit?usp=sharing"",""นราธิวาส!I423"")"),0)</f>
        <v>0</v>
      </c>
      <c r="J528" s="205">
        <f ca="1">IFERROR(__xludf.DUMMYFUNCTION("IMPORTRANGE(""https://docs.google.com/spreadsheets/d/1IYY_tgx_IHuhSq3AJ5eI5OnqOPBNLWSHKh2a30DoXe8/edit?usp=sharing"",""นราธิวาส!J423"")"),0)</f>
        <v>0</v>
      </c>
      <c r="K528" s="169">
        <v>0</v>
      </c>
      <c r="L528" s="189"/>
      <c r="M528" s="189"/>
      <c r="N528" s="189"/>
      <c r="O528" s="189"/>
      <c r="P528" s="189"/>
    </row>
    <row r="529" spans="1:16" ht="21.75" customHeight="1" x14ac:dyDescent="0.35">
      <c r="A529" s="183"/>
      <c r="B529" s="184"/>
      <c r="C529" s="184"/>
      <c r="D529" s="201"/>
      <c r="E529" s="203"/>
      <c r="F529" s="203"/>
      <c r="G529" s="233" t="s">
        <v>197</v>
      </c>
      <c r="H529" s="428" t="s">
        <v>122</v>
      </c>
      <c r="I529" s="195">
        <f ca="1">IFERROR(__xludf.DUMMYFUNCTION("IMPORTRANGE(""https://docs.google.com/spreadsheets/d/1IYY_tgx_IHuhSq3AJ5eI5OnqOPBNLWSHKh2a30DoXe8/edit?usp=sharing"",""นราธิวาส!I424"")"),0)</f>
        <v>0</v>
      </c>
      <c r="J529" s="205">
        <f ca="1">IFERROR(__xludf.DUMMYFUNCTION("IMPORTRANGE(""https://docs.google.com/spreadsheets/d/1IYY_tgx_IHuhSq3AJ5eI5OnqOPBNLWSHKh2a30DoXe8/edit?usp=sharing"",""นราธิวาส!J424"")"),0)</f>
        <v>0</v>
      </c>
      <c r="K529" s="169">
        <v>0</v>
      </c>
      <c r="L529" s="189"/>
      <c r="M529" s="189"/>
      <c r="N529" s="189"/>
      <c r="O529" s="189"/>
      <c r="P529" s="189"/>
    </row>
    <row r="530" spans="1:16" ht="21.75" customHeight="1" x14ac:dyDescent="0.35">
      <c r="A530" s="183"/>
      <c r="B530" s="184"/>
      <c r="C530" s="184"/>
      <c r="D530" s="201"/>
      <c r="E530" s="203"/>
      <c r="F530" s="203"/>
      <c r="G530" s="204"/>
      <c r="H530" s="428" t="s">
        <v>36</v>
      </c>
      <c r="I530" s="195">
        <f ca="1">IFERROR(__xludf.DUMMYFUNCTION("IMPORTRANGE(""https://docs.google.com/spreadsheets/d/1IYY_tgx_IHuhSq3AJ5eI5OnqOPBNLWSHKh2a30DoXe8/edit?usp=sharing"",""นราธิวาส!I425"")"),0)</f>
        <v>0</v>
      </c>
      <c r="J530" s="205">
        <f ca="1">IFERROR(__xludf.DUMMYFUNCTION("IMPORTRANGE(""https://docs.google.com/spreadsheets/d/1IYY_tgx_IHuhSq3AJ5eI5OnqOPBNLWSHKh2a30DoXe8/edit?usp=sharing"",""นราธิวาส!J425"")"),0)</f>
        <v>0</v>
      </c>
      <c r="K530" s="169">
        <v>0</v>
      </c>
      <c r="L530" s="189"/>
      <c r="M530" s="189"/>
      <c r="N530" s="189"/>
      <c r="O530" s="189"/>
      <c r="P530" s="189"/>
    </row>
    <row r="531" spans="1:16" ht="21.75" customHeight="1" x14ac:dyDescent="0.35">
      <c r="A531" s="183"/>
      <c r="B531" s="184"/>
      <c r="C531" s="184"/>
      <c r="D531" s="201"/>
      <c r="E531" s="203"/>
      <c r="F531" s="203"/>
      <c r="G531" s="233" t="s">
        <v>201</v>
      </c>
      <c r="H531" s="428" t="s">
        <v>122</v>
      </c>
      <c r="I531" s="195">
        <f ca="1">IFERROR(__xludf.DUMMYFUNCTION("IMPORTRANGE(""https://docs.google.com/spreadsheets/d/1IYY_tgx_IHuhSq3AJ5eI5OnqOPBNLWSHKh2a30DoXe8/edit?usp=sharing"",""นราธิวาส!I426"")"),0)</f>
        <v>0</v>
      </c>
      <c r="J531" s="205">
        <f ca="1">IFERROR(__xludf.DUMMYFUNCTION("IMPORTRANGE(""https://docs.google.com/spreadsheets/d/1IYY_tgx_IHuhSq3AJ5eI5OnqOPBNLWSHKh2a30DoXe8/edit?usp=sharing"",""นราธิวาส!J426"")"),0)</f>
        <v>0</v>
      </c>
      <c r="K531" s="169">
        <v>0</v>
      </c>
      <c r="L531" s="189"/>
      <c r="M531" s="189"/>
      <c r="N531" s="189"/>
      <c r="O531" s="189"/>
      <c r="P531" s="189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IFERROR(__xludf.DUMMYFUNCTION("IMPORTRANGE(""https://docs.google.com/spreadsheets/d/1IYY_tgx_IHuhSq3AJ5eI5OnqOPBNLWSHKh2a30DoXe8/edit?usp=sharing"",""นราธิวาส!I427"")"),0)</f>
        <v>0</v>
      </c>
      <c r="J532" s="472">
        <f ca="1">IFERROR(__xludf.DUMMYFUNCTION("IMPORTRANGE(""https://docs.google.com/spreadsheets/d/1IYY_tgx_IHuhSq3AJ5eI5OnqOPBNLWSHKh2a30DoXe8/edit?usp=sharing"",""นราธิวาส!J427"")"),0)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IFERROR(__xludf.DUMMYFUNCTION("IMPORTRANGE(""https://docs.google.com/spreadsheets/d/1IYY_tgx_IHuhSq3AJ5eI5OnqOPBNLWSHKh2a30DoXe8/edit?usp=sharing"",""นราธิวาส!I428"")"),20)</f>
        <v>20</v>
      </c>
      <c r="J533" s="416">
        <f ca="1">IFERROR(__xludf.DUMMYFUNCTION("IMPORTRANGE(""https://docs.google.com/spreadsheets/d/1IYY_tgx_IHuhSq3AJ5eI5OnqOPBNLWSHKh2a30DoXe8/edit?usp=sharing"",""นราธิวาส!J428"")"),20)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IFERROR(__xludf.DUMMYFUNCTION("IMPORTRANGE(""https://docs.google.com/spreadsheets/d/1IYY_tgx_IHuhSq3AJ5eI5OnqOPBNLWSHKh2a30DoXe8/edit?usp=sharing"",""นราธิวาส!L428"")"),32640)</f>
        <v>32640</v>
      </c>
      <c r="M533" s="418"/>
      <c r="N533" s="418">
        <f ca="1">IFERROR(__xludf.DUMMYFUNCTION("IMPORTRANGE(""https://docs.google.com/spreadsheets/d/1IYY_tgx_IHuhSq3AJ5eI5OnqOPBNLWSHKh2a30DoXe8/edit?usp=sharing"",""นราธิวาส!M428"")"),32640)</f>
        <v>32640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35">
      <c r="A534" s="162"/>
      <c r="B534" s="163"/>
      <c r="C534" s="163" t="s">
        <v>16</v>
      </c>
      <c r="D534" s="164" t="s">
        <v>38</v>
      </c>
      <c r="E534" s="165"/>
      <c r="F534" s="165"/>
      <c r="G534" s="166" t="s">
        <v>39</v>
      </c>
      <c r="H534" s="167" t="s">
        <v>12</v>
      </c>
      <c r="I534" s="168" t="s">
        <v>40</v>
      </c>
      <c r="J534" s="168"/>
      <c r="K534" s="169"/>
      <c r="L534" s="170">
        <f ca="1">IFERROR(__xludf.DUMMYFUNCTION("IMPORTRANGE(""https://docs.google.com/spreadsheets/d/1IYY_tgx_IHuhSq3AJ5eI5OnqOPBNLWSHKh2a30DoXe8/edit?usp=sharing"",""นราธิวาส!L429"")"),0)</f>
        <v>0</v>
      </c>
      <c r="M534" s="170"/>
      <c r="N534" s="176">
        <f ca="1">IFERROR(__xludf.DUMMYFUNCTION("IMPORTRANGE(""https://docs.google.com/spreadsheets/d/1IYY_tgx_IHuhSq3AJ5eI5OnqOPBNLWSHKh2a30DoXe8/edit?usp=sharing"",""นราธิวาส!M429"")"),0)</f>
        <v>0</v>
      </c>
      <c r="O534" s="176">
        <f t="shared" ca="1" si="118"/>
        <v>0</v>
      </c>
      <c r="P534" s="176"/>
    </row>
    <row r="535" spans="1:16" ht="21.75" customHeight="1" x14ac:dyDescent="0.35">
      <c r="A535" s="162"/>
      <c r="B535" s="163"/>
      <c r="C535" s="163"/>
      <c r="D535" s="172"/>
      <c r="E535" s="165"/>
      <c r="F535" s="165" t="s">
        <v>40</v>
      </c>
      <c r="G535" s="166" t="s">
        <v>41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IFERROR(__xludf.DUMMYFUNCTION("IMPORTRANGE(""https://docs.google.com/spreadsheets/d/1IYY_tgx_IHuhSq3AJ5eI5OnqOPBNLWSHKh2a30DoXe8/edit?usp=sharing"",""นราธิวาส!L430"")"),32640)</f>
        <v>32640</v>
      </c>
      <c r="M535" s="171"/>
      <c r="N535" s="176">
        <f ca="1">IFERROR(__xludf.DUMMYFUNCTION("IMPORTRANGE(""https://docs.google.com/spreadsheets/d/1IYY_tgx_IHuhSq3AJ5eI5OnqOPBNLWSHKh2a30DoXe8/edit?usp=sharing"",""นราธิวาส!M430"")"),32640)</f>
        <v>32640</v>
      </c>
      <c r="O535" s="176">
        <f t="shared" ca="1" si="118"/>
        <v>100</v>
      </c>
      <c r="P535" s="176"/>
    </row>
    <row r="536" spans="1:16" ht="21.75" customHeight="1" x14ac:dyDescent="0.35">
      <c r="A536" s="162"/>
      <c r="B536" s="163"/>
      <c r="C536" s="163"/>
      <c r="D536" s="172"/>
      <c r="E536" s="165"/>
      <c r="F536" s="165"/>
      <c r="G536" s="380" t="s">
        <v>129</v>
      </c>
      <c r="H536" s="167" t="s">
        <v>12</v>
      </c>
      <c r="I536" s="168"/>
      <c r="J536" s="168"/>
      <c r="K536" s="169"/>
      <c r="L536" s="176">
        <f ca="1">IFERROR(__xludf.DUMMYFUNCTION("IMPORTRANGE(""https://docs.google.com/spreadsheets/d/1IYY_tgx_IHuhSq3AJ5eI5OnqOPBNLWSHKh2a30DoXe8/edit?usp=sharing"",""นราธิวาส!L431"")"),0)</f>
        <v>0</v>
      </c>
      <c r="M536" s="176"/>
      <c r="N536" s="176">
        <f ca="1">IFERROR(__xludf.DUMMYFUNCTION("IMPORTRANGE(""https://docs.google.com/spreadsheets/d/1IYY_tgx_IHuhSq3AJ5eI5OnqOPBNLWSHKh2a30DoXe8/edit?usp=sharing"",""นราธิวาส!M431"")"),0)</f>
        <v>0</v>
      </c>
      <c r="O536" s="176">
        <f t="shared" ca="1" si="118"/>
        <v>0</v>
      </c>
      <c r="P536" s="176"/>
    </row>
    <row r="537" spans="1:16" ht="21.75" customHeight="1" x14ac:dyDescent="0.35">
      <c r="A537" s="162"/>
      <c r="B537" s="163"/>
      <c r="C537" s="163"/>
      <c r="D537" s="172"/>
      <c r="E537" s="165"/>
      <c r="F537" s="165"/>
      <c r="G537" s="380" t="s">
        <v>130</v>
      </c>
      <c r="H537" s="167" t="s">
        <v>12</v>
      </c>
      <c r="I537" s="168"/>
      <c r="J537" s="168"/>
      <c r="K537" s="169"/>
      <c r="L537" s="176">
        <f ca="1">IFERROR(__xludf.DUMMYFUNCTION("IMPORTRANGE(""https://docs.google.com/spreadsheets/d/1IYY_tgx_IHuhSq3AJ5eI5OnqOPBNLWSHKh2a30DoXe8/edit?usp=sharing"",""นราธิวาส!L432"")"),32640)</f>
        <v>32640</v>
      </c>
      <c r="M537" s="176"/>
      <c r="N537" s="176">
        <f ca="1">IFERROR(__xludf.DUMMYFUNCTION("IMPORTRANGE(""https://docs.google.com/spreadsheets/d/1IYY_tgx_IHuhSq3AJ5eI5OnqOPBNLWSHKh2a30DoXe8/edit?usp=sharing"",""นราธิวาส!M432"")"),32640)</f>
        <v>32640</v>
      </c>
      <c r="O537" s="176">
        <f t="shared" ca="1" si="118"/>
        <v>100</v>
      </c>
      <c r="P537" s="176"/>
    </row>
    <row r="538" spans="1:16" ht="21.75" customHeight="1" x14ac:dyDescent="0.35">
      <c r="A538" s="381"/>
      <c r="B538" s="382"/>
      <c r="C538" s="163"/>
      <c r="D538" s="383"/>
      <c r="E538" s="165"/>
      <c r="F538" s="165"/>
      <c r="G538" s="384" t="s">
        <v>131</v>
      </c>
      <c r="H538" s="167" t="s">
        <v>12</v>
      </c>
      <c r="I538" s="195"/>
      <c r="J538" s="195"/>
      <c r="K538" s="231"/>
      <c r="L538" s="176"/>
      <c r="M538" s="176"/>
      <c r="N538" s="385">
        <f ca="1">IFERROR(__xludf.DUMMYFUNCTION("IMPORTRANGE(""https://docs.google.com/spreadsheets/d/1IYY_tgx_IHuhSq3AJ5eI5OnqOPBNLWSHKh2a30DoXe8/edit?usp=sharing"",""นราธิวาส!M433"")"),17040)</f>
        <v>17040</v>
      </c>
      <c r="O538" s="176"/>
      <c r="P538" s="176"/>
    </row>
    <row r="539" spans="1:16" ht="21.75" customHeight="1" x14ac:dyDescent="0.35">
      <c r="A539" s="381"/>
      <c r="B539" s="382"/>
      <c r="C539" s="163"/>
      <c r="D539" s="383"/>
      <c r="E539" s="165"/>
      <c r="F539" s="165"/>
      <c r="G539" s="384" t="s">
        <v>132</v>
      </c>
      <c r="H539" s="167" t="s">
        <v>12</v>
      </c>
      <c r="I539" s="195"/>
      <c r="J539" s="195"/>
      <c r="K539" s="231"/>
      <c r="L539" s="176"/>
      <c r="M539" s="176"/>
      <c r="N539" s="385">
        <f ca="1">IFERROR(__xludf.DUMMYFUNCTION("IMPORTRANGE(""https://docs.google.com/spreadsheets/d/1IYY_tgx_IHuhSq3AJ5eI5OnqOPBNLWSHKh2a30DoXe8/edit?usp=sharing"",""นราธิวาส!M434"")"),0)</f>
        <v>0</v>
      </c>
      <c r="O539" s="176"/>
      <c r="P539" s="176"/>
    </row>
    <row r="540" spans="1:16" ht="21.75" customHeight="1" x14ac:dyDescent="0.35">
      <c r="A540" s="381"/>
      <c r="B540" s="382"/>
      <c r="C540" s="163"/>
      <c r="D540" s="383"/>
      <c r="E540" s="165"/>
      <c r="F540" s="165"/>
      <c r="G540" s="384" t="s">
        <v>133</v>
      </c>
      <c r="H540" s="167" t="s">
        <v>12</v>
      </c>
      <c r="I540" s="195"/>
      <c r="J540" s="195"/>
      <c r="K540" s="231"/>
      <c r="L540" s="176"/>
      <c r="M540" s="176"/>
      <c r="N540" s="385">
        <f ca="1">IFERROR(__xludf.DUMMYFUNCTION("IMPORTRANGE(""https://docs.google.com/spreadsheets/d/1IYY_tgx_IHuhSq3AJ5eI5OnqOPBNLWSHKh2a30DoXe8/edit?usp=sharing"",""นราธิวาส!M435"")"),0)</f>
        <v>0</v>
      </c>
      <c r="O540" s="176"/>
      <c r="P540" s="176"/>
    </row>
    <row r="541" spans="1:16" ht="21.75" customHeight="1" x14ac:dyDescent="0.35">
      <c r="A541" s="381"/>
      <c r="B541" s="382"/>
      <c r="C541" s="163"/>
      <c r="D541" s="383"/>
      <c r="E541" s="165"/>
      <c r="F541" s="165"/>
      <c r="G541" s="384" t="s">
        <v>134</v>
      </c>
      <c r="H541" s="167" t="s">
        <v>12</v>
      </c>
      <c r="I541" s="195"/>
      <c r="J541" s="195"/>
      <c r="K541" s="231"/>
      <c r="L541" s="176"/>
      <c r="M541" s="176"/>
      <c r="N541" s="385">
        <f ca="1">IFERROR(__xludf.DUMMYFUNCTION("IMPORTRANGE(""https://docs.google.com/spreadsheets/d/1IYY_tgx_IHuhSq3AJ5eI5OnqOPBNLWSHKh2a30DoXe8/edit?usp=sharing"",""นราธิวาส!M436"")"),15600)</f>
        <v>15600</v>
      </c>
      <c r="O541" s="176"/>
      <c r="P541" s="176"/>
    </row>
    <row r="542" spans="1:16" ht="21.75" customHeight="1" x14ac:dyDescent="0.35">
      <c r="A542" s="183"/>
      <c r="B542" s="184"/>
      <c r="C542" s="163" t="s">
        <v>16</v>
      </c>
      <c r="D542" s="185" t="s">
        <v>44</v>
      </c>
      <c r="E542" s="186"/>
      <c r="F542" s="186"/>
      <c r="G542" s="187"/>
      <c r="H542" s="188"/>
      <c r="I542" s="168"/>
      <c r="J542" s="168"/>
      <c r="K542" s="169"/>
      <c r="L542" s="189"/>
      <c r="M542" s="189"/>
      <c r="N542" s="189"/>
      <c r="O542" s="189"/>
      <c r="P542" s="189"/>
    </row>
    <row r="543" spans="1:16" ht="21.75" customHeight="1" x14ac:dyDescent="0.35">
      <c r="A543" s="183"/>
      <c r="B543" s="184"/>
      <c r="C543" s="184"/>
      <c r="D543" s="190">
        <v>1</v>
      </c>
      <c r="E543" s="191" t="s">
        <v>45</v>
      </c>
      <c r="F543" s="192"/>
      <c r="G543" s="193"/>
      <c r="H543" s="194"/>
      <c r="I543" s="195"/>
      <c r="J543" s="205">
        <f ca="1">IFERROR(__xludf.DUMMYFUNCTION("IMPORTRANGE(""https://docs.google.com/spreadsheets/d/1IYY_tgx_IHuhSq3AJ5eI5OnqOPBNLWSHKh2a30DoXe8/edit?usp=sharing"",""นราธิวาส!J438"")"),0)</f>
        <v>0</v>
      </c>
      <c r="K543" s="169"/>
      <c r="L543" s="189"/>
      <c r="M543" s="189"/>
      <c r="N543" s="189"/>
      <c r="O543" s="189"/>
      <c r="P543" s="189"/>
    </row>
    <row r="544" spans="1:16" ht="21.75" customHeight="1" x14ac:dyDescent="0.35">
      <c r="A544" s="183"/>
      <c r="B544" s="184"/>
      <c r="C544" s="184"/>
      <c r="D544" s="197">
        <v>2</v>
      </c>
      <c r="E544" s="198" t="s">
        <v>46</v>
      </c>
      <c r="F544" s="199"/>
      <c r="G544" s="200"/>
      <c r="H544" s="194"/>
      <c r="I544" s="195"/>
      <c r="J544" s="196">
        <f ca="1">IFERROR(__xludf.DUMMYFUNCTION("IMPORTRANGE(""https://docs.google.com/spreadsheets/d/1IYY_tgx_IHuhSq3AJ5eI5OnqOPBNLWSHKh2a30DoXe8/edit?usp=sharing"",""นราธิวาส!J439"")"),1)</f>
        <v>1</v>
      </c>
      <c r="K544" s="169"/>
      <c r="L544" s="189" t="s">
        <v>40</v>
      </c>
      <c r="M544" s="189"/>
      <c r="N544" s="189" t="s">
        <v>40</v>
      </c>
      <c r="O544" s="189"/>
      <c r="P544" s="189"/>
    </row>
    <row r="545" spans="1:16" ht="21.75" customHeight="1" x14ac:dyDescent="0.35">
      <c r="A545" s="183"/>
      <c r="B545" s="184"/>
      <c r="C545" s="184"/>
      <c r="D545" s="201"/>
      <c r="E545" s="202" t="s">
        <v>47</v>
      </c>
      <c r="F545" s="203"/>
      <c r="G545" s="204"/>
      <c r="H545" s="194"/>
      <c r="I545" s="195"/>
      <c r="J545" s="196">
        <f ca="1">IFERROR(__xludf.DUMMYFUNCTION("IMPORTRANGE(""https://docs.google.com/spreadsheets/d/1IYY_tgx_IHuhSq3AJ5eI5OnqOPBNLWSHKh2a30DoXe8/edit?usp=sharing"",""นราธิวาส!J440"")"),1)</f>
        <v>1</v>
      </c>
      <c r="K545" s="169"/>
      <c r="L545" s="189"/>
      <c r="M545" s="189"/>
      <c r="N545" s="189"/>
      <c r="O545" s="189"/>
      <c r="P545" s="189"/>
    </row>
    <row r="546" spans="1:16" ht="21.75" customHeight="1" x14ac:dyDescent="0.35">
      <c r="A546" s="183"/>
      <c r="B546" s="184"/>
      <c r="C546" s="184"/>
      <c r="D546" s="201"/>
      <c r="E546" s="202" t="s">
        <v>48</v>
      </c>
      <c r="F546" s="203"/>
      <c r="G546" s="204"/>
      <c r="H546" s="194"/>
      <c r="I546" s="195"/>
      <c r="J546" s="205">
        <f ca="1">IFERROR(__xludf.DUMMYFUNCTION("IMPORTRANGE(""https://docs.google.com/spreadsheets/d/1IYY_tgx_IHuhSq3AJ5eI5OnqOPBNLWSHKh2a30DoXe8/edit?usp=sharing"",""นราธิวาส!J441"")"),1)</f>
        <v>1</v>
      </c>
      <c r="K546" s="169"/>
      <c r="L546" s="189"/>
      <c r="M546" s="189"/>
      <c r="N546" s="189"/>
      <c r="O546" s="189"/>
      <c r="P546" s="189"/>
    </row>
    <row r="547" spans="1:16" ht="21.75" customHeight="1" x14ac:dyDescent="0.35">
      <c r="A547" s="183"/>
      <c r="B547" s="184"/>
      <c r="C547" s="184"/>
      <c r="D547" s="201"/>
      <c r="E547" s="206"/>
      <c r="F547" s="203"/>
      <c r="G547" s="233" t="s">
        <v>203</v>
      </c>
      <c r="H547" s="194" t="s">
        <v>37</v>
      </c>
      <c r="I547" s="211">
        <f ca="1">IFERROR(__xludf.DUMMYFUNCTION("IMPORTRANGE(""https://docs.google.com/spreadsheets/d/1IYY_tgx_IHuhSq3AJ5eI5OnqOPBNLWSHKh2a30DoXe8/edit?usp=sharing"",""นราธิวาส!I442"")"),20)</f>
        <v>20</v>
      </c>
      <c r="J547" s="196">
        <f ca="1">IFERROR(__xludf.DUMMYFUNCTION("IMPORTRANGE(""https://docs.google.com/spreadsheets/d/1IYY_tgx_IHuhSq3AJ5eI5OnqOPBNLWSHKh2a30DoXe8/edit?usp=sharing"",""นราธิวาส!J442"")"),20)</f>
        <v>20</v>
      </c>
      <c r="K547" s="169">
        <f t="shared" ref="K547:K548" ca="1" si="119">IF(I547&gt;0,J547*100/I547,0)</f>
        <v>100</v>
      </c>
      <c r="L547" s="189"/>
      <c r="M547" s="189"/>
      <c r="N547" s="189"/>
      <c r="O547" s="189"/>
      <c r="P547" s="189"/>
    </row>
    <row r="548" spans="1:16" ht="21.75" hidden="1" customHeight="1" x14ac:dyDescent="0.35">
      <c r="A548" s="183"/>
      <c r="B548" s="184"/>
      <c r="C548" s="184"/>
      <c r="D548" s="201"/>
      <c r="E548" s="206"/>
      <c r="F548" s="203"/>
      <c r="G548" s="233" t="s">
        <v>204</v>
      </c>
      <c r="H548" s="194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5">
        <f ca="1">IFERROR(__xludf.DUMMYFUNCTION("IMPORTRANGE(""https://docs.google.com/spreadsheets/d/1IYY_tgx_IHuhSq3AJ5eI5OnqOPBNLWSHKh2a30DoXe8/edit?usp=sharing"",""นราธิวาส!J166"")"),0)</f>
        <v>0</v>
      </c>
      <c r="K548" s="169">
        <f t="shared" ca="1" si="119"/>
        <v>0</v>
      </c>
      <c r="L548" s="189"/>
      <c r="M548" s="189"/>
      <c r="N548" s="189"/>
      <c r="O548" s="189"/>
      <c r="P548" s="189"/>
    </row>
    <row r="549" spans="1:16" ht="21.75" customHeight="1" x14ac:dyDescent="0.35">
      <c r="A549" s="183"/>
      <c r="B549" s="184"/>
      <c r="C549" s="184"/>
      <c r="D549" s="201"/>
      <c r="E549" s="202" t="s">
        <v>54</v>
      </c>
      <c r="F549" s="203"/>
      <c r="G549" s="204"/>
      <c r="H549" s="194"/>
      <c r="I549" s="195"/>
      <c r="J549" s="205">
        <f ca="1">IFERROR(__xludf.DUMMYFUNCTION("IMPORTRANGE(""https://docs.google.com/spreadsheets/d/1IYY_tgx_IHuhSq3AJ5eI5OnqOPBNLWSHKh2a30DoXe8/edit?usp=sharing"",""นราธิวาส!J444"")"),0)</f>
        <v>0</v>
      </c>
      <c r="K549" s="169"/>
      <c r="L549" s="189"/>
      <c r="M549" s="189"/>
      <c r="N549" s="189"/>
      <c r="O549" s="189"/>
      <c r="P549" s="189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IFERROR(__xludf.DUMMYFUNCTION("IMPORTRANGE(""https://docs.google.com/spreadsheets/d/1IYY_tgx_IHuhSq3AJ5eI5OnqOPBNLWSHKh2a30DoXe8/edit?usp=sharing"",""นราธิวาส!J445"")"),0)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IFERROR(__xludf.DUMMYFUNCTION("IMPORTRANGE(""https://docs.google.com/spreadsheets/d/1IYY_tgx_IHuhSq3AJ5eI5OnqOPBNLWSHKh2a30DoXe8/edit?usp=sharing"",""นราธิวาส!I446"")"),0)</f>
        <v>0</v>
      </c>
      <c r="J551" s="416">
        <f ca="1">IFERROR(__xludf.DUMMYFUNCTION("IMPORTRANGE(""https://docs.google.com/spreadsheets/d/1IYY_tgx_IHuhSq3AJ5eI5OnqOPBNLWSHKh2a30DoXe8/edit?usp=sharing"",""นราธิวาส!J446"")"),0)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IFERROR(__xludf.DUMMYFUNCTION("IMPORTRANGE(""https://docs.google.com/spreadsheets/d/1IYY_tgx_IHuhSq3AJ5eI5OnqOPBNLWSHKh2a30DoXe8/edit?usp=sharing"",""นราธิวาส!L446"")"),0)</f>
        <v>0</v>
      </c>
      <c r="M551" s="418"/>
      <c r="N551" s="418">
        <f ca="1">IFERROR(__xludf.DUMMYFUNCTION("IMPORTRANGE(""https://docs.google.com/spreadsheets/d/1IYY_tgx_IHuhSq3AJ5eI5OnqOPBNLWSHKh2a30DoXe8/edit?usp=sharing"",""นราธิวาส!M446"")"),0)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164" t="s">
        <v>38</v>
      </c>
      <c r="E552" s="165"/>
      <c r="F552" s="165"/>
      <c r="G552" s="166" t="s">
        <v>39</v>
      </c>
      <c r="H552" s="167" t="s">
        <v>12</v>
      </c>
      <c r="I552" s="168" t="s">
        <v>40</v>
      </c>
      <c r="J552" s="168"/>
      <c r="K552" s="169"/>
      <c r="L552" s="170">
        <f ca="1">IFERROR(__xludf.DUMMYFUNCTION("IMPORTRANGE(""https://docs.google.com/spreadsheets/d/1IYY_tgx_IHuhSq3AJ5eI5OnqOPBNLWSHKh2a30DoXe8/edit?usp=sharing"",""นราธิวาส!L447"")"),0)</f>
        <v>0</v>
      </c>
      <c r="M552" s="170"/>
      <c r="N552" s="176">
        <f ca="1">IFERROR(__xludf.DUMMYFUNCTION("IMPORTRANGE(""https://docs.google.com/spreadsheets/d/1IYY_tgx_IHuhSq3AJ5eI5OnqOPBNLWSHKh2a30DoXe8/edit?usp=sharing"",""นราธิวาส!M447"")"),0)</f>
        <v>0</v>
      </c>
      <c r="O552" s="176">
        <f t="shared" ca="1" si="120"/>
        <v>0</v>
      </c>
      <c r="P552" s="176"/>
    </row>
    <row r="553" spans="1:16" ht="21.75" customHeight="1" x14ac:dyDescent="0.35">
      <c r="A553" s="162"/>
      <c r="B553" s="163"/>
      <c r="C553" s="163"/>
      <c r="D553" s="172"/>
      <c r="E553" s="165"/>
      <c r="F553" s="165" t="s">
        <v>40</v>
      </c>
      <c r="G553" s="166" t="s">
        <v>41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IFERROR(__xludf.DUMMYFUNCTION("IMPORTRANGE(""https://docs.google.com/spreadsheets/d/1IYY_tgx_IHuhSq3AJ5eI5OnqOPBNLWSHKh2a30DoXe8/edit?usp=sharing"",""นราธิวาส!L448"")"),0)</f>
        <v>0</v>
      </c>
      <c r="M553" s="171"/>
      <c r="N553" s="176">
        <f ca="1">IFERROR(__xludf.DUMMYFUNCTION("IMPORTRANGE(""https://docs.google.com/spreadsheets/d/1IYY_tgx_IHuhSq3AJ5eI5OnqOPBNLWSHKh2a30DoXe8/edit?usp=sharing"",""นราธิวาส!M448"")"),0)</f>
        <v>0</v>
      </c>
      <c r="O553" s="176">
        <f t="shared" ca="1" si="120"/>
        <v>0</v>
      </c>
      <c r="P553" s="176"/>
    </row>
    <row r="554" spans="1:16" ht="21.75" customHeight="1" x14ac:dyDescent="0.35">
      <c r="A554" s="162"/>
      <c r="B554" s="163"/>
      <c r="C554" s="163"/>
      <c r="D554" s="172"/>
      <c r="E554" s="165"/>
      <c r="F554" s="165"/>
      <c r="G554" s="380" t="s">
        <v>129</v>
      </c>
      <c r="H554" s="167" t="s">
        <v>12</v>
      </c>
      <c r="I554" s="168"/>
      <c r="J554" s="168"/>
      <c r="K554" s="169"/>
      <c r="L554" s="176">
        <f ca="1">IFERROR(__xludf.DUMMYFUNCTION("IMPORTRANGE(""https://docs.google.com/spreadsheets/d/1IYY_tgx_IHuhSq3AJ5eI5OnqOPBNLWSHKh2a30DoXe8/edit?usp=sharing"",""นราธิวาส!L449"")"),0)</f>
        <v>0</v>
      </c>
      <c r="M554" s="176"/>
      <c r="N554" s="176">
        <f ca="1">IFERROR(__xludf.DUMMYFUNCTION("IMPORTRANGE(""https://docs.google.com/spreadsheets/d/1IYY_tgx_IHuhSq3AJ5eI5OnqOPBNLWSHKh2a30DoXe8/edit?usp=sharing"",""นราธิวาส!M449"")"),0)</f>
        <v>0</v>
      </c>
      <c r="O554" s="176">
        <f t="shared" ca="1" si="120"/>
        <v>0</v>
      </c>
      <c r="P554" s="176"/>
    </row>
    <row r="555" spans="1:16" ht="21.75" customHeight="1" x14ac:dyDescent="0.35">
      <c r="A555" s="162"/>
      <c r="B555" s="163"/>
      <c r="C555" s="163"/>
      <c r="D555" s="172"/>
      <c r="E555" s="165"/>
      <c r="F555" s="165"/>
      <c r="G555" s="380" t="s">
        <v>130</v>
      </c>
      <c r="H555" s="167" t="s">
        <v>12</v>
      </c>
      <c r="I555" s="168"/>
      <c r="J555" s="168"/>
      <c r="K555" s="169"/>
      <c r="L555" s="176">
        <f ca="1">IFERROR(__xludf.DUMMYFUNCTION("IMPORTRANGE(""https://docs.google.com/spreadsheets/d/1IYY_tgx_IHuhSq3AJ5eI5OnqOPBNLWSHKh2a30DoXe8/edit?usp=sharing"",""นราธิวาส!L450"")"),0)</f>
        <v>0</v>
      </c>
      <c r="M555" s="176"/>
      <c r="N555" s="176">
        <f ca="1">IFERROR(__xludf.DUMMYFUNCTION("IMPORTRANGE(""https://docs.google.com/spreadsheets/d/1IYY_tgx_IHuhSq3AJ5eI5OnqOPBNLWSHKh2a30DoXe8/edit?usp=sharing"",""นราธิวาส!M450"")"),0)</f>
        <v>0</v>
      </c>
      <c r="O555" s="176">
        <f t="shared" ca="1" si="120"/>
        <v>0</v>
      </c>
      <c r="P555" s="176"/>
    </row>
    <row r="556" spans="1:16" ht="21.75" customHeight="1" x14ac:dyDescent="0.35">
      <c r="A556" s="381"/>
      <c r="B556" s="382"/>
      <c r="C556" s="163"/>
      <c r="D556" s="383"/>
      <c r="E556" s="165"/>
      <c r="F556" s="165"/>
      <c r="G556" s="384" t="s">
        <v>131</v>
      </c>
      <c r="H556" s="167" t="s">
        <v>12</v>
      </c>
      <c r="I556" s="195"/>
      <c r="J556" s="195"/>
      <c r="K556" s="231"/>
      <c r="L556" s="176"/>
      <c r="M556" s="176"/>
      <c r="N556" s="173">
        <f ca="1">IFERROR(__xludf.DUMMYFUNCTION("IMPORTRANGE(""https://docs.google.com/spreadsheets/d/1IYY_tgx_IHuhSq3AJ5eI5OnqOPBNLWSHKh2a30DoXe8/edit?usp=sharing"",""นราธิวาส!M451"")"),0)</f>
        <v>0</v>
      </c>
      <c r="O556" s="176"/>
      <c r="P556" s="176"/>
    </row>
    <row r="557" spans="1:16" ht="21.75" customHeight="1" x14ac:dyDescent="0.35">
      <c r="A557" s="381"/>
      <c r="B557" s="382"/>
      <c r="C557" s="163"/>
      <c r="D557" s="383"/>
      <c r="E557" s="165"/>
      <c r="F557" s="165"/>
      <c r="G557" s="384" t="s">
        <v>132</v>
      </c>
      <c r="H557" s="167" t="s">
        <v>12</v>
      </c>
      <c r="I557" s="195"/>
      <c r="J557" s="195"/>
      <c r="K557" s="231"/>
      <c r="L557" s="176"/>
      <c r="M557" s="176"/>
      <c r="N557" s="173">
        <f ca="1">IFERROR(__xludf.DUMMYFUNCTION("IMPORTRANGE(""https://docs.google.com/spreadsheets/d/1IYY_tgx_IHuhSq3AJ5eI5OnqOPBNLWSHKh2a30DoXe8/edit?usp=sharing"",""นราธิวาส!M452"")"),0)</f>
        <v>0</v>
      </c>
      <c r="O557" s="176"/>
      <c r="P557" s="176"/>
    </row>
    <row r="558" spans="1:16" ht="21.75" customHeight="1" x14ac:dyDescent="0.35">
      <c r="A558" s="381"/>
      <c r="B558" s="382"/>
      <c r="C558" s="163"/>
      <c r="D558" s="383"/>
      <c r="E558" s="165"/>
      <c r="F558" s="165"/>
      <c r="G558" s="384" t="s">
        <v>133</v>
      </c>
      <c r="H558" s="167" t="s">
        <v>12</v>
      </c>
      <c r="I558" s="195"/>
      <c r="J558" s="195"/>
      <c r="K558" s="231"/>
      <c r="L558" s="176"/>
      <c r="M558" s="176"/>
      <c r="N558" s="173">
        <f ca="1">IFERROR(__xludf.DUMMYFUNCTION("IMPORTRANGE(""https://docs.google.com/spreadsheets/d/1IYY_tgx_IHuhSq3AJ5eI5OnqOPBNLWSHKh2a30DoXe8/edit?usp=sharing"",""นราธิวาส!M453"")"),0)</f>
        <v>0</v>
      </c>
      <c r="O558" s="176"/>
      <c r="P558" s="176"/>
    </row>
    <row r="559" spans="1:16" ht="21.75" customHeight="1" x14ac:dyDescent="0.35">
      <c r="A559" s="381"/>
      <c r="B559" s="382"/>
      <c r="C559" s="163"/>
      <c r="D559" s="383"/>
      <c r="E559" s="165"/>
      <c r="F559" s="165"/>
      <c r="G559" s="384" t="s">
        <v>134</v>
      </c>
      <c r="H559" s="167" t="s">
        <v>12</v>
      </c>
      <c r="I559" s="195"/>
      <c r="J559" s="195"/>
      <c r="K559" s="231"/>
      <c r="L559" s="176"/>
      <c r="M559" s="176"/>
      <c r="N559" s="173">
        <f ca="1">IFERROR(__xludf.DUMMYFUNCTION("IMPORTRANGE(""https://docs.google.com/spreadsheets/d/1IYY_tgx_IHuhSq3AJ5eI5OnqOPBNLWSHKh2a30DoXe8/edit?usp=sharing"",""นราธิวาส!M454"")"),0)</f>
        <v>0</v>
      </c>
      <c r="O559" s="176"/>
      <c r="P559" s="176"/>
    </row>
    <row r="560" spans="1:16" ht="21.75" customHeight="1" x14ac:dyDescent="0.35">
      <c r="A560" s="183"/>
      <c r="B560" s="184"/>
      <c r="C560" s="184"/>
      <c r="D560" s="201"/>
      <c r="E560" s="203"/>
      <c r="F560" s="285" t="s">
        <v>206</v>
      </c>
      <c r="G560" s="204"/>
      <c r="H560" s="481" t="s">
        <v>122</v>
      </c>
      <c r="I560" s="168">
        <f ca="1">IFERROR(__xludf.DUMMYFUNCTION("IMPORTRANGE(""https://docs.google.com/spreadsheets/d/1IYY_tgx_IHuhSq3AJ5eI5OnqOPBNLWSHKh2a30DoXe8/edit?usp=sharing"",""นราธิวาส!I455"")"),0)</f>
        <v>0</v>
      </c>
      <c r="J560" s="168">
        <f ca="1">IFERROR(__xludf.DUMMYFUNCTION("IMPORTRANGE(""https://docs.google.com/spreadsheets/d/1IYY_tgx_IHuhSq3AJ5eI5OnqOPBNLWSHKh2a30DoXe8/edit?usp=sharing"",""นราธิวาส!J455"")"),0)</f>
        <v>0</v>
      </c>
      <c r="K560" s="231">
        <f t="shared" ref="K560:K564" ca="1" si="121">IF(I560&gt;0,J560*100/I560,0)</f>
        <v>0</v>
      </c>
      <c r="L560" s="176"/>
      <c r="M560" s="176"/>
      <c r="N560" s="176"/>
      <c r="O560" s="189"/>
      <c r="P560" s="189"/>
    </row>
    <row r="561" spans="1:16" ht="21.75" customHeight="1" x14ac:dyDescent="0.35">
      <c r="A561" s="183"/>
      <c r="B561" s="184"/>
      <c r="C561" s="184"/>
      <c r="D561" s="201"/>
      <c r="E561" s="203"/>
      <c r="F561" s="203"/>
      <c r="G561" s="204"/>
      <c r="H561" s="481" t="s">
        <v>36</v>
      </c>
      <c r="I561" s="168">
        <f ca="1">IFERROR(__xludf.DUMMYFUNCTION("IMPORTRANGE(""https://docs.google.com/spreadsheets/d/1IYY_tgx_IHuhSq3AJ5eI5OnqOPBNLWSHKh2a30DoXe8/edit?usp=sharing"",""นราธิวาส!I456"")"),0)</f>
        <v>0</v>
      </c>
      <c r="J561" s="211">
        <f ca="1">IFERROR(__xludf.DUMMYFUNCTION("IMPORTRANGE(""https://docs.google.com/spreadsheets/d/1IYY_tgx_IHuhSq3AJ5eI5OnqOPBNLWSHKh2a30DoXe8/edit?usp=sharing"",""นราธิวาส!J456"")"),0)</f>
        <v>0</v>
      </c>
      <c r="K561" s="231">
        <f t="shared" ca="1" si="121"/>
        <v>0</v>
      </c>
      <c r="L561" s="176"/>
      <c r="M561" s="176"/>
      <c r="N561" s="176"/>
      <c r="O561" s="189"/>
      <c r="P561" s="189"/>
    </row>
    <row r="562" spans="1:16" ht="21.75" customHeight="1" x14ac:dyDescent="0.35">
      <c r="A562" s="183"/>
      <c r="B562" s="184"/>
      <c r="C562" s="184"/>
      <c r="D562" s="201"/>
      <c r="E562" s="203"/>
      <c r="F562" s="203" t="s">
        <v>207</v>
      </c>
      <c r="G562" s="204"/>
      <c r="H562" s="481" t="s">
        <v>122</v>
      </c>
      <c r="I562" s="168">
        <f ca="1">IFERROR(__xludf.DUMMYFUNCTION("IMPORTRANGE(""https://docs.google.com/spreadsheets/d/1IYY_tgx_IHuhSq3AJ5eI5OnqOPBNLWSHKh2a30DoXe8/edit?usp=sharing"",""นราธิวาส!I457"")"),0)</f>
        <v>0</v>
      </c>
      <c r="J562" s="211" t="str">
        <f ca="1">IFERROR(__xludf.DUMMYFUNCTION("IMPORTRANGE(""https://docs.google.com/spreadsheets/d/1IYY_tgx_IHuhSq3AJ5eI5OnqOPBNLWSHKh2a30DoXe8/edit?usp=sharing"",""นราธิวาส!J457"")"),"")</f>
        <v/>
      </c>
      <c r="K562" s="169">
        <f t="shared" ca="1" si="121"/>
        <v>0</v>
      </c>
      <c r="L562" s="189"/>
      <c r="M562" s="189"/>
      <c r="N562" s="189"/>
      <c r="O562" s="189"/>
      <c r="P562" s="189"/>
    </row>
    <row r="563" spans="1:16" ht="21.75" customHeight="1" x14ac:dyDescent="0.35">
      <c r="A563" s="183"/>
      <c r="B563" s="184"/>
      <c r="C563" s="184"/>
      <c r="D563" s="201"/>
      <c r="E563" s="203"/>
      <c r="F563" s="203"/>
      <c r="G563" s="204"/>
      <c r="H563" s="481" t="s">
        <v>36</v>
      </c>
      <c r="I563" s="168">
        <f ca="1">IFERROR(__xludf.DUMMYFUNCTION("IMPORTRANGE(""https://docs.google.com/spreadsheets/d/1IYY_tgx_IHuhSq3AJ5eI5OnqOPBNLWSHKh2a30DoXe8/edit?usp=sharing"",""นราธิวาส!I458"")"),0)</f>
        <v>0</v>
      </c>
      <c r="J563" s="195" t="str">
        <f ca="1">IFERROR(__xludf.DUMMYFUNCTION("IMPORTRANGE(""https://docs.google.com/spreadsheets/d/1IYY_tgx_IHuhSq3AJ5eI5OnqOPBNLWSHKh2a30DoXe8/edit?usp=sharing"",""นราธิวาส!J458"")"),"")</f>
        <v/>
      </c>
      <c r="K563" s="169">
        <f t="shared" ca="1" si="121"/>
        <v>0</v>
      </c>
      <c r="L563" s="189"/>
      <c r="M563" s="189"/>
      <c r="N563" s="189"/>
      <c r="O563" s="189"/>
      <c r="P563" s="189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IFERROR(__xludf.DUMMYFUNCTION("IMPORTRANGE(""https://docs.google.com/spreadsheets/d/1IYY_tgx_IHuhSq3AJ5eI5OnqOPBNLWSHKh2a30DoXe8/edit?usp=sharing"",""นราธิวาส!I459"")"),150)</f>
        <v>150</v>
      </c>
      <c r="J564" s="377">
        <f ca="1">IFERROR(__xludf.DUMMYFUNCTION("IMPORTRANGE(""https://docs.google.com/spreadsheets/d/1IYY_tgx_IHuhSq3AJ5eI5OnqOPBNLWSHKh2a30DoXe8/edit?usp=sharing"",""นราธิวาส!J459"")"),241)</f>
        <v>241</v>
      </c>
      <c r="K564" s="378">
        <f t="shared" ca="1" si="121"/>
        <v>160.66666666666666</v>
      </c>
      <c r="L564" s="379">
        <f ca="1">IFERROR(__xludf.DUMMYFUNCTION("IMPORTRANGE(""https://docs.google.com/spreadsheets/d/1IYY_tgx_IHuhSq3AJ5eI5OnqOPBNLWSHKh2a30DoXe8/edit?usp=sharing"",""นราธิวาส!L459"")"),120720)</f>
        <v>120720</v>
      </c>
      <c r="M564" s="379"/>
      <c r="N564" s="379">
        <f ca="1">IFERROR(__xludf.DUMMYFUNCTION("IMPORTRANGE(""https://docs.google.com/spreadsheets/d/1IYY_tgx_IHuhSq3AJ5eI5OnqOPBNLWSHKh2a30DoXe8/edit?usp=sharing"",""นราธิวาส!M459"")"),25228)</f>
        <v>25228</v>
      </c>
      <c r="O564" s="379">
        <f t="shared" ref="O564:O568" ca="1" si="122">+IF(L564&gt;0,N564*100/L564,0)</f>
        <v>20.897945659377072</v>
      </c>
      <c r="P564" s="379"/>
    </row>
    <row r="565" spans="1:16" ht="21.75" customHeight="1" x14ac:dyDescent="0.35">
      <c r="A565" s="162"/>
      <c r="B565" s="163"/>
      <c r="C565" s="163" t="s">
        <v>16</v>
      </c>
      <c r="D565" s="164" t="s">
        <v>38</v>
      </c>
      <c r="E565" s="165"/>
      <c r="F565" s="165"/>
      <c r="G565" s="166" t="s">
        <v>39</v>
      </c>
      <c r="H565" s="167" t="s">
        <v>12</v>
      </c>
      <c r="I565" s="168" t="s">
        <v>40</v>
      </c>
      <c r="J565" s="168"/>
      <c r="K565" s="169"/>
      <c r="L565" s="170">
        <f ca="1">IFERROR(__xludf.DUMMYFUNCTION("IMPORTRANGE(""https://docs.google.com/spreadsheets/d/1IYY_tgx_IHuhSq3AJ5eI5OnqOPBNLWSHKh2a30DoXe8/edit?usp=sharing"",""นราธิวาส!L460"")"),0)</f>
        <v>0</v>
      </c>
      <c r="M565" s="170"/>
      <c r="N565" s="176">
        <f ca="1">IFERROR(__xludf.DUMMYFUNCTION("IMPORTRANGE(""https://docs.google.com/spreadsheets/d/1IYY_tgx_IHuhSq3AJ5eI5OnqOPBNLWSHKh2a30DoXe8/edit?usp=sharing"",""นราธิวาส!M460"")"),0)</f>
        <v>0</v>
      </c>
      <c r="O565" s="176">
        <f t="shared" ca="1" si="122"/>
        <v>0</v>
      </c>
      <c r="P565" s="176"/>
    </row>
    <row r="566" spans="1:16" ht="21.75" customHeight="1" x14ac:dyDescent="0.35">
      <c r="A566" s="162"/>
      <c r="B566" s="163"/>
      <c r="C566" s="163"/>
      <c r="D566" s="172"/>
      <c r="E566" s="165"/>
      <c r="F566" s="165" t="s">
        <v>40</v>
      </c>
      <c r="G566" s="166" t="s">
        <v>41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IFERROR(__xludf.DUMMYFUNCTION("IMPORTRANGE(""https://docs.google.com/spreadsheets/d/1IYY_tgx_IHuhSq3AJ5eI5OnqOPBNLWSHKh2a30DoXe8/edit?usp=sharing"",""นราธิวาส!L461"")"),120720)</f>
        <v>120720</v>
      </c>
      <c r="M566" s="171"/>
      <c r="N566" s="176">
        <f ca="1">IFERROR(__xludf.DUMMYFUNCTION("IMPORTRANGE(""https://docs.google.com/spreadsheets/d/1IYY_tgx_IHuhSq3AJ5eI5OnqOPBNLWSHKh2a30DoXe8/edit?usp=sharing"",""นราธิวาส!M461"")"),25228)</f>
        <v>25228</v>
      </c>
      <c r="O566" s="176">
        <f t="shared" ca="1" si="122"/>
        <v>20.897945659377072</v>
      </c>
      <c r="P566" s="176"/>
    </row>
    <row r="567" spans="1:16" ht="21.75" customHeight="1" x14ac:dyDescent="0.35">
      <c r="A567" s="162"/>
      <c r="B567" s="163"/>
      <c r="C567" s="163"/>
      <c r="D567" s="172"/>
      <c r="E567" s="165"/>
      <c r="F567" s="165"/>
      <c r="G567" s="380" t="s">
        <v>129</v>
      </c>
      <c r="H567" s="167" t="s">
        <v>12</v>
      </c>
      <c r="I567" s="168"/>
      <c r="J567" s="168"/>
      <c r="K567" s="169"/>
      <c r="L567" s="176">
        <f ca="1">IFERROR(__xludf.DUMMYFUNCTION("IMPORTRANGE(""https://docs.google.com/spreadsheets/d/1IYY_tgx_IHuhSq3AJ5eI5OnqOPBNLWSHKh2a30DoXe8/edit?usp=sharing"",""นราธิวาส!L462"")"),0)</f>
        <v>0</v>
      </c>
      <c r="M567" s="176"/>
      <c r="N567" s="176">
        <f ca="1">IFERROR(__xludf.DUMMYFUNCTION("IMPORTRANGE(""https://docs.google.com/spreadsheets/d/1IYY_tgx_IHuhSq3AJ5eI5OnqOPBNLWSHKh2a30DoXe8/edit?usp=sharing"",""นราธิวาส!M462"")"),0)</f>
        <v>0</v>
      </c>
      <c r="O567" s="176">
        <f t="shared" ca="1" si="122"/>
        <v>0</v>
      </c>
      <c r="P567" s="176"/>
    </row>
    <row r="568" spans="1:16" ht="21.75" customHeight="1" x14ac:dyDescent="0.35">
      <c r="A568" s="162"/>
      <c r="B568" s="163"/>
      <c r="C568" s="163"/>
      <c r="D568" s="172"/>
      <c r="E568" s="165"/>
      <c r="F568" s="165"/>
      <c r="G568" s="380" t="s">
        <v>130</v>
      </c>
      <c r="H568" s="167" t="s">
        <v>12</v>
      </c>
      <c r="I568" s="168"/>
      <c r="J568" s="168"/>
      <c r="K568" s="169"/>
      <c r="L568" s="176">
        <f ca="1">IFERROR(__xludf.DUMMYFUNCTION("IMPORTRANGE(""https://docs.google.com/spreadsheets/d/1IYY_tgx_IHuhSq3AJ5eI5OnqOPBNLWSHKh2a30DoXe8/edit?usp=sharing"",""นราธิวาส!L463"")"),120720)</f>
        <v>120720</v>
      </c>
      <c r="M568" s="176"/>
      <c r="N568" s="176">
        <f ca="1">IFERROR(__xludf.DUMMYFUNCTION("IMPORTRANGE(""https://docs.google.com/spreadsheets/d/1IYY_tgx_IHuhSq3AJ5eI5OnqOPBNLWSHKh2a30DoXe8/edit?usp=sharing"",""นราธิวาส!M463"")"),25228)</f>
        <v>25228</v>
      </c>
      <c r="O568" s="176">
        <f t="shared" ca="1" si="122"/>
        <v>20.897945659377072</v>
      </c>
      <c r="P568" s="176"/>
    </row>
    <row r="569" spans="1:16" ht="21.75" customHeight="1" x14ac:dyDescent="0.35">
      <c r="A569" s="381"/>
      <c r="B569" s="382"/>
      <c r="C569" s="163"/>
      <c r="D569" s="383"/>
      <c r="E569" s="165"/>
      <c r="F569" s="165"/>
      <c r="G569" s="384" t="s">
        <v>131</v>
      </c>
      <c r="H569" s="167" t="s">
        <v>12</v>
      </c>
      <c r="I569" s="195"/>
      <c r="J569" s="195"/>
      <c r="K569" s="231"/>
      <c r="L569" s="176"/>
      <c r="M569" s="176"/>
      <c r="N569" s="173">
        <f ca="1">IFERROR(__xludf.DUMMYFUNCTION("IMPORTRANGE(""https://docs.google.com/spreadsheets/d/1IYY_tgx_IHuhSq3AJ5eI5OnqOPBNLWSHKh2a30DoXe8/edit?usp=sharing"",""นราธิวาส!M464"")"),0)</f>
        <v>0</v>
      </c>
      <c r="O569" s="176"/>
      <c r="P569" s="176"/>
    </row>
    <row r="570" spans="1:16" ht="21.75" customHeight="1" x14ac:dyDescent="0.35">
      <c r="A570" s="381"/>
      <c r="B570" s="382"/>
      <c r="C570" s="163"/>
      <c r="D570" s="383"/>
      <c r="E570" s="165"/>
      <c r="F570" s="165"/>
      <c r="G570" s="384" t="s">
        <v>132</v>
      </c>
      <c r="H570" s="167" t="s">
        <v>12</v>
      </c>
      <c r="I570" s="195"/>
      <c r="J570" s="195"/>
      <c r="K570" s="231"/>
      <c r="L570" s="176"/>
      <c r="M570" s="176"/>
      <c r="N570" s="173">
        <f ca="1">IFERROR(__xludf.DUMMYFUNCTION("IMPORTRANGE(""https://docs.google.com/spreadsheets/d/1IYY_tgx_IHuhSq3AJ5eI5OnqOPBNLWSHKh2a30DoXe8/edit?usp=sharing"",""นราธิวาส!M465"")"),0)</f>
        <v>0</v>
      </c>
      <c r="O570" s="176"/>
      <c r="P570" s="176"/>
    </row>
    <row r="571" spans="1:16" ht="21.75" customHeight="1" x14ac:dyDescent="0.35">
      <c r="A571" s="381"/>
      <c r="B571" s="382"/>
      <c r="C571" s="163"/>
      <c r="D571" s="383"/>
      <c r="E571" s="165"/>
      <c r="F571" s="165"/>
      <c r="G571" s="384" t="s">
        <v>133</v>
      </c>
      <c r="H571" s="167" t="s">
        <v>12</v>
      </c>
      <c r="I571" s="195"/>
      <c r="J571" s="195"/>
      <c r="K571" s="231"/>
      <c r="L571" s="176"/>
      <c r="M571" s="176"/>
      <c r="N571" s="385">
        <f ca="1">IFERROR(__xludf.DUMMYFUNCTION("IMPORTRANGE(""https://docs.google.com/spreadsheets/d/1IYY_tgx_IHuhSq3AJ5eI5OnqOPBNLWSHKh2a30DoXe8/edit?usp=sharing"",""นราธิวาส!M466"")"),10248)</f>
        <v>10248</v>
      </c>
      <c r="O571" s="176"/>
      <c r="P571" s="176"/>
    </row>
    <row r="572" spans="1:16" ht="21.75" customHeight="1" x14ac:dyDescent="0.35">
      <c r="A572" s="381"/>
      <c r="B572" s="382"/>
      <c r="C572" s="163"/>
      <c r="D572" s="383"/>
      <c r="E572" s="165"/>
      <c r="F572" s="165"/>
      <c r="G572" s="384" t="s">
        <v>134</v>
      </c>
      <c r="H572" s="167" t="s">
        <v>12</v>
      </c>
      <c r="I572" s="195"/>
      <c r="J572" s="195"/>
      <c r="K572" s="231"/>
      <c r="L572" s="176"/>
      <c r="M572" s="176"/>
      <c r="N572" s="385">
        <f ca="1">IFERROR(__xludf.DUMMYFUNCTION("IMPORTRANGE(""https://docs.google.com/spreadsheets/d/1IYY_tgx_IHuhSq3AJ5eI5OnqOPBNLWSHKh2a30DoXe8/edit?usp=sharing"",""นราธิวาส!M467"")"),14980)</f>
        <v>14980</v>
      </c>
      <c r="O572" s="176"/>
      <c r="P572" s="176"/>
    </row>
    <row r="573" spans="1:16" ht="21.75" customHeight="1" x14ac:dyDescent="0.35">
      <c r="A573" s="183"/>
      <c r="B573" s="184"/>
      <c r="C573" s="184"/>
      <c r="D573" s="203"/>
      <c r="E573" s="202" t="s">
        <v>40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IFERROR(__xludf.DUMMYFUNCTION("IMPORTRANGE(""https://docs.google.com/spreadsheets/d/1IYY_tgx_IHuhSq3AJ5eI5OnqOPBNLWSHKh2a30DoXe8/edit?usp=sharing"",""นราธิวาส!I468"")"),150)</f>
        <v>150</v>
      </c>
      <c r="J573" s="426">
        <f ca="1">IFERROR(__xludf.DUMMYFUNCTION("IMPORTRANGE(""https://docs.google.com/spreadsheets/d/1IYY_tgx_IHuhSq3AJ5eI5OnqOPBNLWSHKh2a30DoXe8/edit?usp=sharing"",""นราธิวาส!J468"")"),241)</f>
        <v>241</v>
      </c>
      <c r="K573" s="209">
        <f ca="1">IF(I573&gt;0,J573*100/I573,0)</f>
        <v>160.66666666666666</v>
      </c>
      <c r="L573" s="189"/>
      <c r="M573" s="189"/>
      <c r="N573" s="189"/>
      <c r="O573" s="189"/>
      <c r="P573" s="189"/>
    </row>
    <row r="574" spans="1:16" ht="21.75" customHeight="1" x14ac:dyDescent="0.35">
      <c r="A574" s="183"/>
      <c r="B574" s="184"/>
      <c r="C574" s="184"/>
      <c r="D574" s="203"/>
      <c r="E574" s="203"/>
      <c r="F574" s="202" t="s">
        <v>210</v>
      </c>
      <c r="G574" s="204"/>
      <c r="H574" s="481"/>
      <c r="I574" s="168"/>
      <c r="J574" s="168"/>
      <c r="K574" s="169"/>
      <c r="L574" s="189"/>
      <c r="M574" s="189"/>
      <c r="N574" s="189"/>
      <c r="O574" s="189"/>
      <c r="P574" s="189"/>
    </row>
    <row r="575" spans="1:16" ht="21.75" customHeight="1" x14ac:dyDescent="0.35">
      <c r="A575" s="183"/>
      <c r="B575" s="184"/>
      <c r="C575" s="184"/>
      <c r="D575" s="203"/>
      <c r="E575" s="202" t="s">
        <v>40</v>
      </c>
      <c r="F575" s="202" t="s">
        <v>211</v>
      </c>
      <c r="G575" s="204"/>
      <c r="H575" s="481" t="s">
        <v>77</v>
      </c>
      <c r="I575" s="210">
        <f ca="1">IFERROR(__xludf.DUMMYFUNCTION("IMPORTRANGE(""https://docs.google.com/spreadsheets/d/1IYY_tgx_IHuhSq3AJ5eI5OnqOPBNLWSHKh2a30DoXe8/edit?usp=sharing"",""นราธิวาส!I470"")"),0)</f>
        <v>0</v>
      </c>
      <c r="J575" s="205">
        <f ca="1">IFERROR(__xludf.DUMMYFUNCTION("IMPORTRANGE(""https://docs.google.com/spreadsheets/d/1IYY_tgx_IHuhSq3AJ5eI5OnqOPBNLWSHKh2a30DoXe8/edit?usp=sharing"",""นราธิวาส!J470"")"),2)</f>
        <v>2</v>
      </c>
      <c r="K575" s="169">
        <f t="shared" ref="K575:K579" ca="1" si="123">IF(I575&gt;0,J575*100/I575,0)</f>
        <v>0</v>
      </c>
      <c r="L575" s="189"/>
      <c r="M575" s="189"/>
      <c r="N575" s="189"/>
      <c r="O575" s="189"/>
      <c r="P575" s="189"/>
    </row>
    <row r="576" spans="1:16" ht="21.75" customHeight="1" x14ac:dyDescent="0.35">
      <c r="A576" s="183"/>
      <c r="B576" s="184"/>
      <c r="C576" s="184"/>
      <c r="D576" s="203"/>
      <c r="E576" s="203"/>
      <c r="F576" s="202" t="s">
        <v>212</v>
      </c>
      <c r="G576" s="204"/>
      <c r="H576" s="481" t="s">
        <v>37</v>
      </c>
      <c r="I576" s="210">
        <f ca="1">IFERROR(__xludf.DUMMYFUNCTION("IMPORTRANGE(""https://docs.google.com/spreadsheets/d/1IYY_tgx_IHuhSq3AJ5eI5OnqOPBNLWSHKh2a30DoXe8/edit?usp=sharing"",""นราธิวาส!I471"")"),0)</f>
        <v>0</v>
      </c>
      <c r="J576" s="205">
        <f ca="1">IFERROR(__xludf.DUMMYFUNCTION("IMPORTRANGE(""https://docs.google.com/spreadsheets/d/1IYY_tgx_IHuhSq3AJ5eI5OnqOPBNLWSHKh2a30DoXe8/edit?usp=sharing"",""นราธิวาส!J471"")"),76)</f>
        <v>76</v>
      </c>
      <c r="K576" s="169">
        <f t="shared" ca="1" si="123"/>
        <v>0</v>
      </c>
      <c r="L576" s="189"/>
      <c r="M576" s="189"/>
      <c r="N576" s="189"/>
      <c r="O576" s="189"/>
      <c r="P576" s="189"/>
    </row>
    <row r="577" spans="1:16" ht="21.75" customHeight="1" x14ac:dyDescent="0.35">
      <c r="A577" s="183"/>
      <c r="B577" s="184"/>
      <c r="C577" s="184"/>
      <c r="D577" s="203"/>
      <c r="E577" s="203"/>
      <c r="F577" s="202" t="s">
        <v>213</v>
      </c>
      <c r="G577" s="204"/>
      <c r="H577" s="481" t="s">
        <v>37</v>
      </c>
      <c r="I577" s="210">
        <f ca="1">IFERROR(__xludf.DUMMYFUNCTION("IMPORTRANGE(""https://docs.google.com/spreadsheets/d/1IYY_tgx_IHuhSq3AJ5eI5OnqOPBNLWSHKh2a30DoXe8/edit?usp=sharing"",""นราธิวาส!I472"")"),0)</f>
        <v>0</v>
      </c>
      <c r="J577" s="196">
        <f ca="1">IFERROR(__xludf.DUMMYFUNCTION("IMPORTRANGE(""https://docs.google.com/spreadsheets/d/1IYY_tgx_IHuhSq3AJ5eI5OnqOPBNLWSHKh2a30DoXe8/edit?usp=sharing"",""นราธิวาส!J472"")"),165)</f>
        <v>165</v>
      </c>
      <c r="K577" s="169">
        <f t="shared" ca="1" si="123"/>
        <v>0</v>
      </c>
      <c r="L577" s="189"/>
      <c r="M577" s="189"/>
      <c r="N577" s="189"/>
      <c r="O577" s="189"/>
      <c r="P577" s="189"/>
    </row>
    <row r="578" spans="1:16" ht="21.75" customHeight="1" x14ac:dyDescent="0.35">
      <c r="A578" s="183"/>
      <c r="B578" s="184"/>
      <c r="C578" s="184"/>
      <c r="D578" s="203"/>
      <c r="E578" s="203"/>
      <c r="F578" s="202" t="s">
        <v>214</v>
      </c>
      <c r="G578" s="427"/>
      <c r="H578" s="481" t="s">
        <v>37</v>
      </c>
      <c r="I578" s="210">
        <f ca="1">IFERROR(__xludf.DUMMYFUNCTION("IMPORTRANGE(""https://docs.google.com/spreadsheets/d/1IYY_tgx_IHuhSq3AJ5eI5OnqOPBNLWSHKh2a30DoXe8/edit?usp=sharing"",""นราธิวาส!I473"")"),0)</f>
        <v>0</v>
      </c>
      <c r="J578" s="205">
        <f ca="1">IFERROR(__xludf.DUMMYFUNCTION("IMPORTRANGE(""https://docs.google.com/spreadsheets/d/1IYY_tgx_IHuhSq3AJ5eI5OnqOPBNLWSHKh2a30DoXe8/edit?usp=sharing"",""นราธิวาส!J473"")"),0)</f>
        <v>0</v>
      </c>
      <c r="K578" s="169">
        <f t="shared" ca="1" si="123"/>
        <v>0</v>
      </c>
      <c r="L578" s="189"/>
      <c r="M578" s="189"/>
      <c r="N578" s="189"/>
      <c r="O578" s="189"/>
      <c r="P578" s="189"/>
    </row>
    <row r="579" spans="1:16" ht="21.75" customHeight="1" x14ac:dyDescent="0.35">
      <c r="A579" s="183"/>
      <c r="B579" s="184"/>
      <c r="C579" s="184"/>
      <c r="D579" s="203"/>
      <c r="E579" s="203"/>
      <c r="F579" s="202" t="s">
        <v>215</v>
      </c>
      <c r="G579" s="427"/>
      <c r="H579" s="481" t="s">
        <v>37</v>
      </c>
      <c r="I579" s="210">
        <f ca="1">IFERROR(__xludf.DUMMYFUNCTION("IMPORTRANGE(""https://docs.google.com/spreadsheets/d/1IYY_tgx_IHuhSq3AJ5eI5OnqOPBNLWSHKh2a30DoXe8/edit?usp=sharing"",""นราธิวาส!I474"")"),0)</f>
        <v>0</v>
      </c>
      <c r="J579" s="205">
        <f ca="1">IFERROR(__xludf.DUMMYFUNCTION("IMPORTRANGE(""https://docs.google.com/spreadsheets/d/1IYY_tgx_IHuhSq3AJ5eI5OnqOPBNLWSHKh2a30DoXe8/edit?usp=sharing"",""นราธิวาส!J474"")"),0)</f>
        <v>0</v>
      </c>
      <c r="K579" s="169">
        <f t="shared" ca="1" si="123"/>
        <v>0</v>
      </c>
      <c r="L579" s="189"/>
      <c r="M579" s="189"/>
      <c r="N579" s="189"/>
      <c r="O579" s="189"/>
      <c r="P579" s="189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IFERROR(__xludf.DUMMYFUNCTION("IMPORTRANGE(""https://docs.google.com/spreadsheets/d/1IYY_tgx_IHuhSq3AJ5eI5OnqOPBNLWSHKh2a30DoXe8/edit?usp=sharing"",""นราธิวาส!I475"")"),0)</f>
        <v>0</v>
      </c>
      <c r="J580" s="377">
        <f ca="1">IFERROR(__xludf.DUMMYFUNCTION("IMPORTRANGE(""https://docs.google.com/spreadsheets/d/1IYY_tgx_IHuhSq3AJ5eI5OnqOPBNLWSHKh2a30DoXe8/edit?usp=sharing"",""นราธิวาส!J475"")"),0)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IFERROR(__xludf.DUMMYFUNCTION("IMPORTRANGE(""https://docs.google.com/spreadsheets/d/1IYY_tgx_IHuhSq3AJ5eI5OnqOPBNLWSHKh2a30DoXe8/edit?usp=sharing"",""นราธิวาส!L475"")"),0)</f>
        <v>0</v>
      </c>
      <c r="M580" s="379"/>
      <c r="N580" s="379">
        <f ca="1">IFERROR(__xludf.DUMMYFUNCTION("IMPORTRANGE(""https://docs.google.com/spreadsheets/d/1IYY_tgx_IHuhSq3AJ5eI5OnqOPBNLWSHKh2a30DoXe8/edit?usp=sharing"",""นราธิวาส!M475"")"),0)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164" t="s">
        <v>38</v>
      </c>
      <c r="E581" s="165"/>
      <c r="F581" s="165"/>
      <c r="G581" s="166" t="s">
        <v>39</v>
      </c>
      <c r="H581" s="167" t="s">
        <v>12</v>
      </c>
      <c r="I581" s="168" t="s">
        <v>40</v>
      </c>
      <c r="J581" s="168"/>
      <c r="K581" s="169"/>
      <c r="L581" s="170">
        <f ca="1">IFERROR(__xludf.DUMMYFUNCTION("IMPORTRANGE(""https://docs.google.com/spreadsheets/d/1IYY_tgx_IHuhSq3AJ5eI5OnqOPBNLWSHKh2a30DoXe8/edit?usp=sharing"",""นราธิวาส!L476"")"),0)</f>
        <v>0</v>
      </c>
      <c r="M581" s="170"/>
      <c r="N581" s="176">
        <f ca="1">IFERROR(__xludf.DUMMYFUNCTION("IMPORTRANGE(""https://docs.google.com/spreadsheets/d/1IYY_tgx_IHuhSq3AJ5eI5OnqOPBNLWSHKh2a30DoXe8/edit?usp=sharing"",""นราธิวาส!M476"")"),0)</f>
        <v>0</v>
      </c>
      <c r="O581" s="176">
        <f t="shared" ca="1" si="124"/>
        <v>0</v>
      </c>
      <c r="P581" s="176"/>
    </row>
    <row r="582" spans="1:16" ht="21.75" customHeight="1" x14ac:dyDescent="0.35">
      <c r="A582" s="162"/>
      <c r="B582" s="163"/>
      <c r="C582" s="163"/>
      <c r="D582" s="172"/>
      <c r="E582" s="165"/>
      <c r="F582" s="165" t="s">
        <v>40</v>
      </c>
      <c r="G582" s="166" t="s">
        <v>41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IFERROR(__xludf.DUMMYFUNCTION("IMPORTRANGE(""https://docs.google.com/spreadsheets/d/1IYY_tgx_IHuhSq3AJ5eI5OnqOPBNLWSHKh2a30DoXe8/edit?usp=sharing"",""นราธิวาส!L477"")"),0)</f>
        <v>0</v>
      </c>
      <c r="M582" s="171"/>
      <c r="N582" s="176">
        <f ca="1">IFERROR(__xludf.DUMMYFUNCTION("IMPORTRANGE(""https://docs.google.com/spreadsheets/d/1IYY_tgx_IHuhSq3AJ5eI5OnqOPBNLWSHKh2a30DoXe8/edit?usp=sharing"",""นราธิวาส!M477"")"),0)</f>
        <v>0</v>
      </c>
      <c r="O582" s="176">
        <f t="shared" ca="1" si="124"/>
        <v>0</v>
      </c>
      <c r="P582" s="176"/>
    </row>
    <row r="583" spans="1:16" ht="21.75" customHeight="1" x14ac:dyDescent="0.35">
      <c r="A583" s="162"/>
      <c r="B583" s="163"/>
      <c r="C583" s="163"/>
      <c r="D583" s="172"/>
      <c r="E583" s="165"/>
      <c r="F583" s="165"/>
      <c r="G583" s="380" t="s">
        <v>129</v>
      </c>
      <c r="H583" s="167" t="s">
        <v>12</v>
      </c>
      <c r="I583" s="168"/>
      <c r="J583" s="168"/>
      <c r="K583" s="169"/>
      <c r="L583" s="176">
        <f ca="1">IFERROR(__xludf.DUMMYFUNCTION("IMPORTRANGE(""https://docs.google.com/spreadsheets/d/1IYY_tgx_IHuhSq3AJ5eI5OnqOPBNLWSHKh2a30DoXe8/edit?usp=sharing"",""นราธิวาส!L478"")"),0)</f>
        <v>0</v>
      </c>
      <c r="M583" s="176"/>
      <c r="N583" s="176">
        <f ca="1">IFERROR(__xludf.DUMMYFUNCTION("IMPORTRANGE(""https://docs.google.com/spreadsheets/d/1IYY_tgx_IHuhSq3AJ5eI5OnqOPBNLWSHKh2a30DoXe8/edit?usp=sharing"",""นราธิวาส!M478"")"),0)</f>
        <v>0</v>
      </c>
      <c r="O583" s="176">
        <f t="shared" ca="1" si="124"/>
        <v>0</v>
      </c>
      <c r="P583" s="176"/>
    </row>
    <row r="584" spans="1:16" ht="21.75" customHeight="1" x14ac:dyDescent="0.35">
      <c r="A584" s="162"/>
      <c r="B584" s="163"/>
      <c r="C584" s="163"/>
      <c r="D584" s="172"/>
      <c r="E584" s="165"/>
      <c r="F584" s="165"/>
      <c r="G584" s="380" t="s">
        <v>130</v>
      </c>
      <c r="H584" s="167" t="s">
        <v>12</v>
      </c>
      <c r="I584" s="168"/>
      <c r="J584" s="168"/>
      <c r="K584" s="169"/>
      <c r="L584" s="176">
        <f ca="1">IFERROR(__xludf.DUMMYFUNCTION("IMPORTRANGE(""https://docs.google.com/spreadsheets/d/1IYY_tgx_IHuhSq3AJ5eI5OnqOPBNLWSHKh2a30DoXe8/edit?usp=sharing"",""นราธิวาส!L479"")"),0)</f>
        <v>0</v>
      </c>
      <c r="M584" s="176"/>
      <c r="N584" s="176">
        <f ca="1">IFERROR(__xludf.DUMMYFUNCTION("IMPORTRANGE(""https://docs.google.com/spreadsheets/d/1IYY_tgx_IHuhSq3AJ5eI5OnqOPBNLWSHKh2a30DoXe8/edit?usp=sharing"",""นราธิวาส!M479"")"),0)</f>
        <v>0</v>
      </c>
      <c r="O584" s="176">
        <f t="shared" ca="1" si="124"/>
        <v>0</v>
      </c>
      <c r="P584" s="176"/>
    </row>
    <row r="585" spans="1:16" ht="21.75" customHeight="1" x14ac:dyDescent="0.35">
      <c r="A585" s="381"/>
      <c r="B585" s="382"/>
      <c r="C585" s="163"/>
      <c r="D585" s="383"/>
      <c r="E585" s="165"/>
      <c r="F585" s="165"/>
      <c r="G585" s="384" t="s">
        <v>131</v>
      </c>
      <c r="H585" s="167" t="s">
        <v>12</v>
      </c>
      <c r="I585" s="195"/>
      <c r="J585" s="195"/>
      <c r="K585" s="231"/>
      <c r="L585" s="176"/>
      <c r="M585" s="176"/>
      <c r="N585" s="173">
        <f ca="1">IFERROR(__xludf.DUMMYFUNCTION("IMPORTRANGE(""https://docs.google.com/spreadsheets/d/1IYY_tgx_IHuhSq3AJ5eI5OnqOPBNLWSHKh2a30DoXe8/edit?usp=sharing"",""นราธิวาส!M480"")"),0)</f>
        <v>0</v>
      </c>
      <c r="O585" s="176"/>
      <c r="P585" s="176"/>
    </row>
    <row r="586" spans="1:16" ht="21.75" customHeight="1" x14ac:dyDescent="0.35">
      <c r="A586" s="381"/>
      <c r="B586" s="382"/>
      <c r="C586" s="163"/>
      <c r="D586" s="383"/>
      <c r="E586" s="165"/>
      <c r="F586" s="165"/>
      <c r="G586" s="384" t="s">
        <v>132</v>
      </c>
      <c r="H586" s="167" t="s">
        <v>12</v>
      </c>
      <c r="I586" s="195"/>
      <c r="J586" s="195"/>
      <c r="K586" s="231"/>
      <c r="L586" s="176"/>
      <c r="M586" s="176"/>
      <c r="N586" s="173">
        <f ca="1">IFERROR(__xludf.DUMMYFUNCTION("IMPORTRANGE(""https://docs.google.com/spreadsheets/d/1IYY_tgx_IHuhSq3AJ5eI5OnqOPBNLWSHKh2a30DoXe8/edit?usp=sharing"",""นราธิวาส!M481"")"),0)</f>
        <v>0</v>
      </c>
      <c r="O586" s="176"/>
      <c r="P586" s="176"/>
    </row>
    <row r="587" spans="1:16" ht="21.75" customHeight="1" x14ac:dyDescent="0.35">
      <c r="A587" s="381"/>
      <c r="B587" s="382"/>
      <c r="C587" s="163"/>
      <c r="D587" s="383"/>
      <c r="E587" s="165"/>
      <c r="F587" s="165"/>
      <c r="G587" s="384" t="s">
        <v>133</v>
      </c>
      <c r="H587" s="167" t="s">
        <v>12</v>
      </c>
      <c r="I587" s="195"/>
      <c r="J587" s="195"/>
      <c r="K587" s="231"/>
      <c r="L587" s="176"/>
      <c r="M587" s="176"/>
      <c r="N587" s="173">
        <f ca="1">IFERROR(__xludf.DUMMYFUNCTION("IMPORTRANGE(""https://docs.google.com/spreadsheets/d/1IYY_tgx_IHuhSq3AJ5eI5OnqOPBNLWSHKh2a30DoXe8/edit?usp=sharing"",""นราธิวาส!M482"")"),0)</f>
        <v>0</v>
      </c>
      <c r="O587" s="176"/>
      <c r="P587" s="176"/>
    </row>
    <row r="588" spans="1:16" ht="21.75" customHeight="1" x14ac:dyDescent="0.35">
      <c r="A588" s="381"/>
      <c r="B588" s="382"/>
      <c r="C588" s="163"/>
      <c r="D588" s="383"/>
      <c r="E588" s="165"/>
      <c r="F588" s="165"/>
      <c r="G588" s="384" t="s">
        <v>134</v>
      </c>
      <c r="H588" s="167" t="s">
        <v>12</v>
      </c>
      <c r="I588" s="195"/>
      <c r="J588" s="195"/>
      <c r="K588" s="231"/>
      <c r="L588" s="176"/>
      <c r="M588" s="176"/>
      <c r="N588" s="173">
        <f ca="1">IFERROR(__xludf.DUMMYFUNCTION("IMPORTRANGE(""https://docs.google.com/spreadsheets/d/1IYY_tgx_IHuhSq3AJ5eI5OnqOPBNLWSHKh2a30DoXe8/edit?usp=sharing"",""นราธิวาส!M483"")"),0)</f>
        <v>0</v>
      </c>
      <c r="O588" s="176"/>
      <c r="P588" s="176"/>
    </row>
    <row r="589" spans="1:16" ht="21.75" customHeight="1" x14ac:dyDescent="0.35">
      <c r="A589" s="484"/>
      <c r="B589" s="172"/>
      <c r="C589" s="163"/>
      <c r="D589" s="297"/>
      <c r="E589" s="202" t="s">
        <v>217</v>
      </c>
      <c r="F589" s="203"/>
      <c r="G589" s="204"/>
      <c r="H589" s="188" t="s">
        <v>36</v>
      </c>
      <c r="I589" s="347">
        <f ca="1">IFERROR(__xludf.DUMMYFUNCTION("IMPORTRANGE(""https://docs.google.com/spreadsheets/d/1IYY_tgx_IHuhSq3AJ5eI5OnqOPBNLWSHKh2a30DoXe8/edit?usp=sharing"",""นราธิวาส!I484"")"),0)</f>
        <v>0</v>
      </c>
      <c r="J589" s="195">
        <f ca="1">IFERROR(__xludf.DUMMYFUNCTION("IMPORTRANGE(""https://docs.google.com/spreadsheets/d/1IYY_tgx_IHuhSq3AJ5eI5OnqOPBNLWSHKh2a30DoXe8/edit?usp=sharing"",""นราธิวาส!J484"")"),0)</f>
        <v>0</v>
      </c>
      <c r="K589" s="169">
        <f t="shared" ref="K589:K596" ca="1" si="125">IF(I589&gt;0,J589*100/I589,0)</f>
        <v>0</v>
      </c>
      <c r="L589" s="189"/>
      <c r="M589" s="189"/>
      <c r="N589" s="176"/>
      <c r="O589" s="189"/>
      <c r="P589" s="189"/>
    </row>
    <row r="590" spans="1:16" ht="21.75" customHeight="1" x14ac:dyDescent="0.35">
      <c r="A590" s="484"/>
      <c r="B590" s="172"/>
      <c r="C590" s="163"/>
      <c r="D590" s="297"/>
      <c r="E590" s="203"/>
      <c r="F590" s="203"/>
      <c r="G590" s="204"/>
      <c r="H590" s="188" t="s">
        <v>122</v>
      </c>
      <c r="I590" s="351">
        <f ca="1">IFERROR(__xludf.DUMMYFUNCTION("IMPORTRANGE(""https://docs.google.com/spreadsheets/d/1IYY_tgx_IHuhSq3AJ5eI5OnqOPBNLWSHKh2a30DoXe8/edit?usp=sharing"",""นราธิวาส!I485"")"),0)</f>
        <v>0</v>
      </c>
      <c r="J590" s="195">
        <f ca="1">IFERROR(__xludf.DUMMYFUNCTION("IMPORTRANGE(""https://docs.google.com/spreadsheets/d/1IYY_tgx_IHuhSq3AJ5eI5OnqOPBNLWSHKh2a30DoXe8/edit?usp=sharing"",""นราธิวาส!J485"")"),0)</f>
        <v>0</v>
      </c>
      <c r="K590" s="485">
        <f t="shared" ca="1" si="125"/>
        <v>0</v>
      </c>
      <c r="L590" s="189"/>
      <c r="M590" s="189"/>
      <c r="N590" s="176"/>
      <c r="O590" s="189"/>
      <c r="P590" s="189"/>
    </row>
    <row r="591" spans="1:16" ht="21.75" customHeight="1" x14ac:dyDescent="0.35">
      <c r="A591" s="484"/>
      <c r="B591" s="172"/>
      <c r="C591" s="163"/>
      <c r="D591" s="297"/>
      <c r="E591" s="202" t="s">
        <v>123</v>
      </c>
      <c r="F591" s="203"/>
      <c r="G591" s="204"/>
      <c r="H591" s="188" t="s">
        <v>37</v>
      </c>
      <c r="I591" s="347">
        <f ca="1">IFERROR(__xludf.DUMMYFUNCTION("IMPORTRANGE(""https://docs.google.com/spreadsheets/d/1IYY_tgx_IHuhSq3AJ5eI5OnqOPBNLWSHKh2a30DoXe8/edit?usp=sharing"",""นราธิวาส!I486"")"),0)</f>
        <v>0</v>
      </c>
      <c r="J591" s="195">
        <f ca="1">IFERROR(__xludf.DUMMYFUNCTION("IMPORTRANGE(""https://docs.google.com/spreadsheets/d/1IYY_tgx_IHuhSq3AJ5eI5OnqOPBNLWSHKh2a30DoXe8/edit?usp=sharing"",""นราธิวาส!J486"")"),0)</f>
        <v>0</v>
      </c>
      <c r="K591" s="169">
        <f t="shared" ca="1" si="125"/>
        <v>0</v>
      </c>
      <c r="L591" s="189"/>
      <c r="M591" s="189"/>
      <c r="N591" s="189"/>
      <c r="O591" s="189"/>
      <c r="P591" s="189"/>
    </row>
    <row r="592" spans="1:16" ht="21.75" customHeight="1" x14ac:dyDescent="0.35">
      <c r="A592" s="484"/>
      <c r="B592" s="172"/>
      <c r="C592" s="163"/>
      <c r="D592" s="297"/>
      <c r="E592" s="203"/>
      <c r="F592" s="203"/>
      <c r="G592" s="204"/>
      <c r="H592" s="188" t="s">
        <v>122</v>
      </c>
      <c r="I592" s="351">
        <f ca="1">IFERROR(__xludf.DUMMYFUNCTION("IMPORTRANGE(""https://docs.google.com/spreadsheets/d/1IYY_tgx_IHuhSq3AJ5eI5OnqOPBNLWSHKh2a30DoXe8/edit?usp=sharing"",""นราธิวาส!I487"")"),0)</f>
        <v>0</v>
      </c>
      <c r="J592" s="195">
        <f ca="1">IFERROR(__xludf.DUMMYFUNCTION("IMPORTRANGE(""https://docs.google.com/spreadsheets/d/1IYY_tgx_IHuhSq3AJ5eI5OnqOPBNLWSHKh2a30DoXe8/edit?usp=sharing"",""นราธิวาส!J487"")"),0)</f>
        <v>0</v>
      </c>
      <c r="K592" s="348">
        <f t="shared" ca="1" si="125"/>
        <v>0</v>
      </c>
      <c r="L592" s="189"/>
      <c r="M592" s="189"/>
      <c r="N592" s="189"/>
      <c r="O592" s="189"/>
      <c r="P592" s="189"/>
    </row>
    <row r="593" spans="1:16" ht="21.75" customHeight="1" x14ac:dyDescent="0.35">
      <c r="A593" s="484"/>
      <c r="B593" s="172"/>
      <c r="C593" s="163"/>
      <c r="D593" s="297"/>
      <c r="E593" s="202" t="s">
        <v>124</v>
      </c>
      <c r="F593" s="203"/>
      <c r="G593" s="204"/>
      <c r="H593" s="188" t="s">
        <v>37</v>
      </c>
      <c r="I593" s="347">
        <f ca="1">IFERROR(__xludf.DUMMYFUNCTION("IMPORTRANGE(""https://docs.google.com/spreadsheets/d/1IYY_tgx_IHuhSq3AJ5eI5OnqOPBNLWSHKh2a30DoXe8/edit?usp=sharing"",""นราธิวาส!I488"")"),0)</f>
        <v>0</v>
      </c>
      <c r="J593" s="195">
        <f ca="1">IFERROR(__xludf.DUMMYFUNCTION("IMPORTRANGE(""https://docs.google.com/spreadsheets/d/1IYY_tgx_IHuhSq3AJ5eI5OnqOPBNLWSHKh2a30DoXe8/edit?usp=sharing"",""นราธิวาส!J488"")"),0)</f>
        <v>0</v>
      </c>
      <c r="K593" s="169">
        <f t="shared" ca="1" si="125"/>
        <v>0</v>
      </c>
      <c r="L593" s="189"/>
      <c r="M593" s="189"/>
      <c r="N593" s="189"/>
      <c r="O593" s="189"/>
      <c r="P593" s="189"/>
    </row>
    <row r="594" spans="1:16" ht="21.75" customHeight="1" x14ac:dyDescent="0.35">
      <c r="A594" s="484"/>
      <c r="B594" s="172"/>
      <c r="C594" s="163"/>
      <c r="D594" s="297"/>
      <c r="E594" s="203"/>
      <c r="F594" s="203"/>
      <c r="G594" s="204"/>
      <c r="H594" s="188" t="s">
        <v>122</v>
      </c>
      <c r="I594" s="351">
        <f ca="1">IFERROR(__xludf.DUMMYFUNCTION("IMPORTRANGE(""https://docs.google.com/spreadsheets/d/1IYY_tgx_IHuhSq3AJ5eI5OnqOPBNLWSHKh2a30DoXe8/edit?usp=sharing"",""นราธิวาส!I489"")"),0)</f>
        <v>0</v>
      </c>
      <c r="J594" s="195">
        <f ca="1">IFERROR(__xludf.DUMMYFUNCTION("IMPORTRANGE(""https://docs.google.com/spreadsheets/d/1IYY_tgx_IHuhSq3AJ5eI5OnqOPBNLWSHKh2a30DoXe8/edit?usp=sharing"",""นราธิวาส!J489"")"),0)</f>
        <v>0</v>
      </c>
      <c r="K594" s="348">
        <f t="shared" ca="1" si="125"/>
        <v>0</v>
      </c>
      <c r="L594" s="189"/>
      <c r="M594" s="189"/>
      <c r="N594" s="189"/>
      <c r="O594" s="189"/>
      <c r="P594" s="189"/>
    </row>
    <row r="595" spans="1:16" ht="21.75" customHeight="1" x14ac:dyDescent="0.35">
      <c r="A595" s="484"/>
      <c r="B595" s="172"/>
      <c r="C595" s="163"/>
      <c r="D595" s="297"/>
      <c r="E595" s="202" t="s">
        <v>125</v>
      </c>
      <c r="F595" s="203"/>
      <c r="G595" s="204"/>
      <c r="H595" s="188" t="s">
        <v>37</v>
      </c>
      <c r="I595" s="347">
        <f ca="1">IFERROR(__xludf.DUMMYFUNCTION("IMPORTRANGE(""https://docs.google.com/spreadsheets/d/1IYY_tgx_IHuhSq3AJ5eI5OnqOPBNLWSHKh2a30DoXe8/edit?usp=sharing"",""นราธิวาส!I490"")"),0)</f>
        <v>0</v>
      </c>
      <c r="J595" s="195">
        <f ca="1">IFERROR(__xludf.DUMMYFUNCTION("IMPORTRANGE(""https://docs.google.com/spreadsheets/d/1IYY_tgx_IHuhSq3AJ5eI5OnqOPBNLWSHKh2a30DoXe8/edit?usp=sharing"",""นราธิวาส!J490"")"),0)</f>
        <v>0</v>
      </c>
      <c r="K595" s="169">
        <f t="shared" ca="1" si="125"/>
        <v>0</v>
      </c>
      <c r="L595" s="189"/>
      <c r="M595" s="189"/>
      <c r="N595" s="189"/>
      <c r="O595" s="189"/>
      <c r="P595" s="189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IFERROR(__xludf.DUMMYFUNCTION("IMPORTRANGE(""https://docs.google.com/spreadsheets/d/1IYY_tgx_IHuhSq3AJ5eI5OnqOPBNLWSHKh2a30DoXe8/edit?usp=sharing"",""นราธิวาส!I491"")"),0)</f>
        <v>0</v>
      </c>
      <c r="J596" s="248">
        <f ca="1">IFERROR(__xludf.DUMMYFUNCTION("IMPORTRANGE(""https://docs.google.com/spreadsheets/d/1IYY_tgx_IHuhSq3AJ5eI5OnqOPBNLWSHKh2a30DoXe8/edit?usp=sharing"",""นราธิวาส!J491"")"),0)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IFERROR(__xludf.DUMMYFUNCTION("IMPORTRANGE(""https://docs.google.com/spreadsheets/d/1IYY_tgx_IHuhSq3AJ5eI5OnqOPBNLWSHKh2a30DoXe8/edit?usp=sharing"",""นราธิวาส!I492"")"),50)</f>
        <v>50</v>
      </c>
      <c r="J597" s="493">
        <f ca="1">IFERROR(__xludf.DUMMYFUNCTION("IMPORTRANGE(""https://docs.google.com/spreadsheets/d/1IYY_tgx_IHuhSq3AJ5eI5OnqOPBNLWSHKh2a30DoXe8/edit?usp=sharing"",""นราธิวาส!J492"")"),0)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IFERROR(__xludf.DUMMYFUNCTION("IMPORTRANGE(""https://docs.google.com/spreadsheets/d/1IYY_tgx_IHuhSq3AJ5eI5OnqOPBNLWSHKh2a30DoXe8/edit?usp=sharing"",""นราธิวาส!L492"")"),10690)</f>
        <v>10690</v>
      </c>
      <c r="M597" s="418"/>
      <c r="N597" s="418">
        <f ca="1">IFERROR(__xludf.DUMMYFUNCTION("IMPORTRANGE(""https://docs.google.com/spreadsheets/d/1IYY_tgx_IHuhSq3AJ5eI5OnqOPBNLWSHKh2a30DoXe8/edit?usp=sharing"",""นราธิวาส!M492"")"),2180)</f>
        <v>2180</v>
      </c>
      <c r="O597" s="418">
        <f t="shared" ref="O597:O601" ca="1" si="126">+IF(L597&gt;0,N597*100/L597,0)</f>
        <v>20.392890551917681</v>
      </c>
      <c r="P597" s="418"/>
    </row>
    <row r="598" spans="1:16" ht="21.75" customHeight="1" x14ac:dyDescent="0.35">
      <c r="A598" s="162"/>
      <c r="B598" s="163"/>
      <c r="C598" s="163" t="s">
        <v>16</v>
      </c>
      <c r="D598" s="164" t="s">
        <v>38</v>
      </c>
      <c r="E598" s="165"/>
      <c r="F598" s="165"/>
      <c r="G598" s="166" t="s">
        <v>39</v>
      </c>
      <c r="H598" s="167" t="s">
        <v>12</v>
      </c>
      <c r="I598" s="168" t="s">
        <v>40</v>
      </c>
      <c r="J598" s="168"/>
      <c r="K598" s="169"/>
      <c r="L598" s="170">
        <f ca="1">IFERROR(__xludf.DUMMYFUNCTION("IMPORTRANGE(""https://docs.google.com/spreadsheets/d/1IYY_tgx_IHuhSq3AJ5eI5OnqOPBNLWSHKh2a30DoXe8/edit?usp=sharing"",""นราธิวาส!L493"")"),0)</f>
        <v>0</v>
      </c>
      <c r="M598" s="170"/>
      <c r="N598" s="176">
        <f ca="1">IFERROR(__xludf.DUMMYFUNCTION("IMPORTRANGE(""https://docs.google.com/spreadsheets/d/1IYY_tgx_IHuhSq3AJ5eI5OnqOPBNLWSHKh2a30DoXe8/edit?usp=sharing"",""นราธิวาส!M493"")"),0)</f>
        <v>0</v>
      </c>
      <c r="O598" s="176">
        <f t="shared" ca="1" si="126"/>
        <v>0</v>
      </c>
      <c r="P598" s="176"/>
    </row>
    <row r="599" spans="1:16" ht="21.75" customHeight="1" x14ac:dyDescent="0.35">
      <c r="A599" s="162"/>
      <c r="B599" s="163"/>
      <c r="C599" s="163"/>
      <c r="D599" s="172"/>
      <c r="E599" s="165"/>
      <c r="F599" s="165" t="s">
        <v>40</v>
      </c>
      <c r="G599" s="166" t="s">
        <v>41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IFERROR(__xludf.DUMMYFUNCTION("IMPORTRANGE(""https://docs.google.com/spreadsheets/d/1IYY_tgx_IHuhSq3AJ5eI5OnqOPBNLWSHKh2a30DoXe8/edit?usp=sharing"",""นราธิวาส!L494"")"),10690)</f>
        <v>10690</v>
      </c>
      <c r="M599" s="171"/>
      <c r="N599" s="176">
        <f ca="1">IFERROR(__xludf.DUMMYFUNCTION("IMPORTRANGE(""https://docs.google.com/spreadsheets/d/1IYY_tgx_IHuhSq3AJ5eI5OnqOPBNLWSHKh2a30DoXe8/edit?usp=sharing"",""นราธิวาส!M494"")"),2180)</f>
        <v>2180</v>
      </c>
      <c r="O599" s="176">
        <f t="shared" ca="1" si="126"/>
        <v>20.392890551917681</v>
      </c>
      <c r="P599" s="176"/>
    </row>
    <row r="600" spans="1:16" ht="21.75" customHeight="1" x14ac:dyDescent="0.35">
      <c r="A600" s="162"/>
      <c r="B600" s="163"/>
      <c r="C600" s="163"/>
      <c r="D600" s="172"/>
      <c r="E600" s="165"/>
      <c r="F600" s="165"/>
      <c r="G600" s="380" t="s">
        <v>129</v>
      </c>
      <c r="H600" s="167" t="s">
        <v>12</v>
      </c>
      <c r="I600" s="168"/>
      <c r="J600" s="168"/>
      <c r="K600" s="169"/>
      <c r="L600" s="176">
        <f ca="1">IFERROR(__xludf.DUMMYFUNCTION("IMPORTRANGE(""https://docs.google.com/spreadsheets/d/1IYY_tgx_IHuhSq3AJ5eI5OnqOPBNLWSHKh2a30DoXe8/edit?usp=sharing"",""นราธิวาส!L495"")"),0)</f>
        <v>0</v>
      </c>
      <c r="M600" s="176"/>
      <c r="N600" s="176">
        <f ca="1">IFERROR(__xludf.DUMMYFUNCTION("IMPORTRANGE(""https://docs.google.com/spreadsheets/d/1IYY_tgx_IHuhSq3AJ5eI5OnqOPBNLWSHKh2a30DoXe8/edit?usp=sharing"",""นราธิวาส!M495"")"),0)</f>
        <v>0</v>
      </c>
      <c r="O600" s="176">
        <f t="shared" ca="1" si="126"/>
        <v>0</v>
      </c>
      <c r="P600" s="176"/>
    </row>
    <row r="601" spans="1:16" ht="21.75" customHeight="1" x14ac:dyDescent="0.35">
      <c r="A601" s="162"/>
      <c r="B601" s="163"/>
      <c r="C601" s="163"/>
      <c r="D601" s="172"/>
      <c r="E601" s="165"/>
      <c r="F601" s="165"/>
      <c r="G601" s="380" t="s">
        <v>130</v>
      </c>
      <c r="H601" s="167" t="s">
        <v>12</v>
      </c>
      <c r="I601" s="168"/>
      <c r="J601" s="168"/>
      <c r="K601" s="169"/>
      <c r="L601" s="176">
        <f ca="1">IFERROR(__xludf.DUMMYFUNCTION("IMPORTRANGE(""https://docs.google.com/spreadsheets/d/1IYY_tgx_IHuhSq3AJ5eI5OnqOPBNLWSHKh2a30DoXe8/edit?usp=sharing"",""นราธิวาส!L496"")"),10690)</f>
        <v>10690</v>
      </c>
      <c r="M601" s="176"/>
      <c r="N601" s="176">
        <f ca="1">IFERROR(__xludf.DUMMYFUNCTION("IMPORTRANGE(""https://docs.google.com/spreadsheets/d/1IYY_tgx_IHuhSq3AJ5eI5OnqOPBNLWSHKh2a30DoXe8/edit?usp=sharing"",""นราธิวาส!M496"")"),2180)</f>
        <v>2180</v>
      </c>
      <c r="O601" s="176">
        <f t="shared" ca="1" si="126"/>
        <v>20.392890551917681</v>
      </c>
      <c r="P601" s="176"/>
    </row>
    <row r="602" spans="1:16" ht="21.75" customHeight="1" x14ac:dyDescent="0.35">
      <c r="A602" s="381"/>
      <c r="B602" s="382"/>
      <c r="C602" s="163"/>
      <c r="D602" s="383"/>
      <c r="E602" s="165"/>
      <c r="F602" s="165"/>
      <c r="G602" s="384" t="s">
        <v>131</v>
      </c>
      <c r="H602" s="167" t="s">
        <v>12</v>
      </c>
      <c r="I602" s="195"/>
      <c r="J602" s="195"/>
      <c r="K602" s="231"/>
      <c r="L602" s="176"/>
      <c r="M602" s="176"/>
      <c r="N602" s="173">
        <f ca="1">IFERROR(__xludf.DUMMYFUNCTION("IMPORTRANGE(""https://docs.google.com/spreadsheets/d/1IYY_tgx_IHuhSq3AJ5eI5OnqOPBNLWSHKh2a30DoXe8/edit?usp=sharing"",""นราธิวาส!M497"")"),0)</f>
        <v>0</v>
      </c>
      <c r="O602" s="176"/>
      <c r="P602" s="176"/>
    </row>
    <row r="603" spans="1:16" ht="21.75" customHeight="1" x14ac:dyDescent="0.35">
      <c r="A603" s="381"/>
      <c r="B603" s="382"/>
      <c r="C603" s="163"/>
      <c r="D603" s="383"/>
      <c r="E603" s="165"/>
      <c r="F603" s="165"/>
      <c r="G603" s="384" t="s">
        <v>132</v>
      </c>
      <c r="H603" s="167" t="s">
        <v>12</v>
      </c>
      <c r="I603" s="195"/>
      <c r="J603" s="195"/>
      <c r="K603" s="231"/>
      <c r="L603" s="176"/>
      <c r="M603" s="176"/>
      <c r="N603" s="173">
        <f ca="1">IFERROR(__xludf.DUMMYFUNCTION("IMPORTRANGE(""https://docs.google.com/spreadsheets/d/1IYY_tgx_IHuhSq3AJ5eI5OnqOPBNLWSHKh2a30DoXe8/edit?usp=sharing"",""นราธิวาส!M498"")"),0)</f>
        <v>0</v>
      </c>
      <c r="O603" s="176"/>
      <c r="P603" s="176"/>
    </row>
    <row r="604" spans="1:16" ht="21.75" customHeight="1" x14ac:dyDescent="0.35">
      <c r="A604" s="381"/>
      <c r="B604" s="382"/>
      <c r="C604" s="163"/>
      <c r="D604" s="383"/>
      <c r="E604" s="165"/>
      <c r="F604" s="165"/>
      <c r="G604" s="384" t="s">
        <v>133</v>
      </c>
      <c r="H604" s="167" t="s">
        <v>12</v>
      </c>
      <c r="I604" s="195"/>
      <c r="J604" s="195"/>
      <c r="K604" s="231"/>
      <c r="L604" s="176"/>
      <c r="M604" s="176"/>
      <c r="N604" s="385">
        <f ca="1">IFERROR(__xludf.DUMMYFUNCTION("IMPORTRANGE(""https://docs.google.com/spreadsheets/d/1IYY_tgx_IHuhSq3AJ5eI5OnqOPBNLWSHKh2a30DoXe8/edit?usp=sharing"",""นราธิวาส!M499"")"),0)</f>
        <v>0</v>
      </c>
      <c r="O604" s="176"/>
      <c r="P604" s="176"/>
    </row>
    <row r="605" spans="1:16" ht="21.75" customHeight="1" x14ac:dyDescent="0.35">
      <c r="A605" s="381"/>
      <c r="B605" s="382"/>
      <c r="C605" s="163"/>
      <c r="D605" s="383"/>
      <c r="E605" s="165"/>
      <c r="F605" s="165"/>
      <c r="G605" s="384" t="s">
        <v>134</v>
      </c>
      <c r="H605" s="167" t="s">
        <v>12</v>
      </c>
      <c r="I605" s="195"/>
      <c r="J605" s="195"/>
      <c r="K605" s="231"/>
      <c r="L605" s="176"/>
      <c r="M605" s="176"/>
      <c r="N605" s="385">
        <f ca="1">IFERROR(__xludf.DUMMYFUNCTION("IMPORTRANGE(""https://docs.google.com/spreadsheets/d/1IYY_tgx_IHuhSq3AJ5eI5OnqOPBNLWSHKh2a30DoXe8/edit?usp=sharing"",""นราธิวาส!M500"")"),2180)</f>
        <v>2180</v>
      </c>
      <c r="O605" s="176"/>
      <c r="P605" s="176"/>
    </row>
    <row r="606" spans="1:16" ht="21.75" customHeight="1" x14ac:dyDescent="0.35">
      <c r="A606" s="183"/>
      <c r="B606" s="184"/>
      <c r="C606" s="163" t="s">
        <v>16</v>
      </c>
      <c r="D606" s="185" t="s">
        <v>44</v>
      </c>
      <c r="E606" s="186"/>
      <c r="F606" s="186"/>
      <c r="G606" s="187"/>
      <c r="H606" s="188"/>
      <c r="I606" s="168"/>
      <c r="J606" s="168"/>
      <c r="K606" s="169"/>
      <c r="L606" s="189"/>
      <c r="M606" s="189"/>
      <c r="N606" s="189"/>
      <c r="O606" s="189"/>
      <c r="P606" s="189"/>
    </row>
    <row r="607" spans="1:16" ht="21.75" customHeight="1" x14ac:dyDescent="0.35">
      <c r="A607" s="183"/>
      <c r="B607" s="184"/>
      <c r="C607" s="184"/>
      <c r="D607" s="190">
        <v>1</v>
      </c>
      <c r="E607" s="191" t="s">
        <v>45</v>
      </c>
      <c r="F607" s="192"/>
      <c r="G607" s="193"/>
      <c r="H607" s="194"/>
      <c r="I607" s="195"/>
      <c r="J607" s="205">
        <f ca="1">IFERROR(__xludf.DUMMYFUNCTION("IMPORTRANGE(""https://docs.google.com/spreadsheets/d/1IYY_tgx_IHuhSq3AJ5eI5OnqOPBNLWSHKh2a30DoXe8/edit?usp=sharing"",""นราธิวาส!J502"")"),0)</f>
        <v>0</v>
      </c>
      <c r="K607" s="169"/>
      <c r="L607" s="189"/>
      <c r="M607" s="189"/>
      <c r="N607" s="189"/>
      <c r="O607" s="189"/>
      <c r="P607" s="189"/>
    </row>
    <row r="608" spans="1:16" ht="21.75" customHeight="1" x14ac:dyDescent="0.35">
      <c r="A608" s="183"/>
      <c r="B608" s="184"/>
      <c r="C608" s="184"/>
      <c r="D608" s="197">
        <v>2</v>
      </c>
      <c r="E608" s="198" t="s">
        <v>46</v>
      </c>
      <c r="F608" s="199"/>
      <c r="G608" s="200"/>
      <c r="H608" s="194"/>
      <c r="I608" s="195"/>
      <c r="J608" s="205">
        <f ca="1">IFERROR(__xludf.DUMMYFUNCTION("IMPORTRANGE(""https://docs.google.com/spreadsheets/d/1IYY_tgx_IHuhSq3AJ5eI5OnqOPBNLWSHKh2a30DoXe8/edit?usp=sharing"",""นราธิวาส!J503"")"),1)</f>
        <v>1</v>
      </c>
      <c r="K608" s="169"/>
      <c r="L608" s="189" t="s">
        <v>40</v>
      </c>
      <c r="M608" s="189"/>
      <c r="N608" s="189" t="s">
        <v>40</v>
      </c>
      <c r="O608" s="189"/>
      <c r="P608" s="189"/>
    </row>
    <row r="609" spans="1:16" ht="21.75" hidden="1" customHeight="1" x14ac:dyDescent="0.35">
      <c r="A609" s="494"/>
      <c r="B609" s="495"/>
      <c r="C609" s="495"/>
      <c r="D609" s="496"/>
      <c r="E609" s="497" t="s">
        <v>47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IFERROR(__xludf.DUMMYFUNCTION("IMPORTRANGE(""https://docs.google.com/spreadsheets/d/1IYY_tgx_IHuhSq3AJ5eI5OnqOPBNLWSHKh2a30DoXe8/edit?usp=sharing"",""นราธิวาส!J166"")"),0)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48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IFERROR(__xludf.DUMMYFUNCTION("IMPORTRANGE(""https://docs.google.com/spreadsheets/d/1IYY_tgx_IHuhSq3AJ5eI5OnqOPBNLWSHKh2a30DoXe8/edit?usp=sharing"",""นราธิวาส!J166"")"),0)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3"/>
      <c r="B611" s="184"/>
      <c r="C611" s="184"/>
      <c r="D611" s="201"/>
      <c r="E611" s="203"/>
      <c r="F611" s="203" t="s">
        <v>219</v>
      </c>
      <c r="G611" s="204"/>
      <c r="H611" s="188" t="s">
        <v>122</v>
      </c>
      <c r="I611" s="195">
        <f ca="1">IFERROR(__xludf.DUMMYFUNCTION("IMPORTRANGE(""https://docs.google.com/spreadsheets/d/1IYY_tgx_IHuhSq3AJ5eI5OnqOPBNLWSHKh2a30DoXe8/edit?usp=sharing"",""นราธิวาส!I506"")"),50)</f>
        <v>50</v>
      </c>
      <c r="J611" s="168">
        <f ca="1">IFERROR(__xludf.DUMMYFUNCTION("IMPORTRANGE(""https://docs.google.com/spreadsheets/d/1IYY_tgx_IHuhSq3AJ5eI5OnqOPBNLWSHKh2a30DoXe8/edit?usp=sharing"",""นราธิวาส!J506"")"),0)</f>
        <v>0</v>
      </c>
      <c r="K611" s="169">
        <f t="shared" ref="K611:K619" ca="1" si="127">IF(I$611&gt;0,J611*100/I$611,0)</f>
        <v>0</v>
      </c>
      <c r="L611" s="189"/>
      <c r="M611" s="189"/>
      <c r="N611" s="189"/>
      <c r="O611" s="189"/>
      <c r="P611" s="189"/>
    </row>
    <row r="612" spans="1:16" ht="21.75" customHeight="1" x14ac:dyDescent="0.35">
      <c r="A612" s="183"/>
      <c r="B612" s="184"/>
      <c r="C612" s="184"/>
      <c r="D612" s="201"/>
      <c r="E612" s="206"/>
      <c r="F612" s="203"/>
      <c r="G612" s="233" t="s">
        <v>220</v>
      </c>
      <c r="H612" s="188" t="s">
        <v>122</v>
      </c>
      <c r="I612" s="211">
        <f ca="1">IFERROR(__xludf.DUMMYFUNCTION("IMPORTRANGE(""https://docs.google.com/spreadsheets/d/1IYY_tgx_IHuhSq3AJ5eI5OnqOPBNLWSHKh2a30DoXe8/edit?usp=sharing"",""นราธิวาส!I507"")"),0)</f>
        <v>0</v>
      </c>
      <c r="J612" s="205">
        <f ca="1">IFERROR(__xludf.DUMMYFUNCTION("IMPORTRANGE(""https://docs.google.com/spreadsheets/d/1IYY_tgx_IHuhSq3AJ5eI5OnqOPBNLWSHKh2a30DoXe8/edit?usp=sharing"",""นราธิวาส!J507"")"),50)</f>
        <v>50</v>
      </c>
      <c r="K612" s="169">
        <f t="shared" ca="1" si="127"/>
        <v>100</v>
      </c>
      <c r="L612" s="189"/>
      <c r="M612" s="189"/>
      <c r="N612" s="189"/>
      <c r="O612" s="189"/>
      <c r="P612" s="189"/>
    </row>
    <row r="613" spans="1:16" ht="21.75" customHeight="1" x14ac:dyDescent="0.35">
      <c r="A613" s="183"/>
      <c r="B613" s="184"/>
      <c r="C613" s="184"/>
      <c r="D613" s="201"/>
      <c r="E613" s="206"/>
      <c r="F613" s="203"/>
      <c r="G613" s="233" t="s">
        <v>221</v>
      </c>
      <c r="H613" s="188" t="s">
        <v>122</v>
      </c>
      <c r="I613" s="211">
        <f ca="1">IFERROR(__xludf.DUMMYFUNCTION("IMPORTRANGE(""https://docs.google.com/spreadsheets/d/1IYY_tgx_IHuhSq3AJ5eI5OnqOPBNLWSHKh2a30DoXe8/edit?usp=sharing"",""นราธิวาส!I508"")"),0)</f>
        <v>0</v>
      </c>
      <c r="J613" s="205">
        <f ca="1">IFERROR(__xludf.DUMMYFUNCTION("IMPORTRANGE(""https://docs.google.com/spreadsheets/d/1IYY_tgx_IHuhSq3AJ5eI5OnqOPBNLWSHKh2a30DoXe8/edit?usp=sharing"",""นราธิวาส!J508"")"),0)</f>
        <v>0</v>
      </c>
      <c r="K613" s="169">
        <f t="shared" ca="1" si="127"/>
        <v>0</v>
      </c>
      <c r="L613" s="189"/>
      <c r="M613" s="189"/>
      <c r="N613" s="189"/>
      <c r="O613" s="189"/>
      <c r="P613" s="189"/>
    </row>
    <row r="614" spans="1:16" ht="21.75" customHeight="1" x14ac:dyDescent="0.35">
      <c r="A614" s="183"/>
      <c r="B614" s="184"/>
      <c r="C614" s="184"/>
      <c r="D614" s="201"/>
      <c r="E614" s="206"/>
      <c r="F614" s="203"/>
      <c r="G614" s="233" t="s">
        <v>222</v>
      </c>
      <c r="H614" s="188" t="s">
        <v>122</v>
      </c>
      <c r="I614" s="211">
        <f ca="1">IFERROR(__xludf.DUMMYFUNCTION("IMPORTRANGE(""https://docs.google.com/spreadsheets/d/1IYY_tgx_IHuhSq3AJ5eI5OnqOPBNLWSHKh2a30DoXe8/edit?usp=sharing"",""นราธิวาส!I509"")"),0)</f>
        <v>0</v>
      </c>
      <c r="J614" s="205">
        <f ca="1">IFERROR(__xludf.DUMMYFUNCTION("IMPORTRANGE(""https://docs.google.com/spreadsheets/d/1IYY_tgx_IHuhSq3AJ5eI5OnqOPBNLWSHKh2a30DoXe8/edit?usp=sharing"",""นราธิวาส!J509"")"),0)</f>
        <v>0</v>
      </c>
      <c r="K614" s="169">
        <f t="shared" ca="1" si="127"/>
        <v>0</v>
      </c>
      <c r="L614" s="189"/>
      <c r="M614" s="189"/>
      <c r="N614" s="189"/>
      <c r="O614" s="189"/>
      <c r="P614" s="189"/>
    </row>
    <row r="615" spans="1:16" ht="21.75" customHeight="1" x14ac:dyDescent="0.35">
      <c r="A615" s="183"/>
      <c r="B615" s="184"/>
      <c r="C615" s="184"/>
      <c r="D615" s="201"/>
      <c r="E615" s="206"/>
      <c r="F615" s="203"/>
      <c r="G615" s="233" t="s">
        <v>223</v>
      </c>
      <c r="H615" s="188" t="s">
        <v>122</v>
      </c>
      <c r="I615" s="211">
        <f ca="1">IFERROR(__xludf.DUMMYFUNCTION("IMPORTRANGE(""https://docs.google.com/spreadsheets/d/1IYY_tgx_IHuhSq3AJ5eI5OnqOPBNLWSHKh2a30DoXe8/edit?usp=sharing"",""นราธิวาส!I510"")"),0)</f>
        <v>0</v>
      </c>
      <c r="J615" s="205">
        <f ca="1">IFERROR(__xludf.DUMMYFUNCTION("IMPORTRANGE(""https://docs.google.com/spreadsheets/d/1IYY_tgx_IHuhSq3AJ5eI5OnqOPBNLWSHKh2a30DoXe8/edit?usp=sharing"",""นราธิวาส!J510"")"),0)</f>
        <v>0</v>
      </c>
      <c r="K615" s="169">
        <f t="shared" ca="1" si="127"/>
        <v>0</v>
      </c>
      <c r="L615" s="189"/>
      <c r="M615" s="189"/>
      <c r="N615" s="189"/>
      <c r="O615" s="189"/>
      <c r="P615" s="189"/>
    </row>
    <row r="616" spans="1:16" ht="21.75" customHeight="1" x14ac:dyDescent="0.35">
      <c r="A616" s="183"/>
      <c r="B616" s="184"/>
      <c r="C616" s="184"/>
      <c r="D616" s="201"/>
      <c r="E616" s="206"/>
      <c r="F616" s="203"/>
      <c r="G616" s="202" t="s">
        <v>224</v>
      </c>
      <c r="H616" s="188" t="s">
        <v>122</v>
      </c>
      <c r="I616" s="211">
        <f ca="1">IFERROR(__xludf.DUMMYFUNCTION("IMPORTRANGE(""https://docs.google.com/spreadsheets/d/1IYY_tgx_IHuhSq3AJ5eI5OnqOPBNLWSHKh2a30DoXe8/edit?usp=sharing"",""นราธิวาส!I511"")"),0)</f>
        <v>0</v>
      </c>
      <c r="J616" s="205">
        <f ca="1">IFERROR(__xludf.DUMMYFUNCTION("IMPORTRANGE(""https://docs.google.com/spreadsheets/d/1IYY_tgx_IHuhSq3AJ5eI5OnqOPBNLWSHKh2a30DoXe8/edit?usp=sharing"",""นราธิวาส!J511"")"),0)</f>
        <v>0</v>
      </c>
      <c r="K616" s="169">
        <f t="shared" ca="1" si="127"/>
        <v>0</v>
      </c>
      <c r="L616" s="189"/>
      <c r="M616" s="189"/>
      <c r="N616" s="189"/>
      <c r="O616" s="189"/>
      <c r="P616" s="189"/>
    </row>
    <row r="617" spans="1:16" ht="21.75" customHeight="1" x14ac:dyDescent="0.35">
      <c r="A617" s="183"/>
      <c r="B617" s="184"/>
      <c r="C617" s="184"/>
      <c r="D617" s="201"/>
      <c r="E617" s="206"/>
      <c r="F617" s="203"/>
      <c r="G617" s="202" t="s">
        <v>225</v>
      </c>
      <c r="H617" s="188" t="s">
        <v>122</v>
      </c>
      <c r="I617" s="195">
        <f ca="1">IFERROR(__xludf.DUMMYFUNCTION("IMPORTRANGE(""https://docs.google.com/spreadsheets/d/1IYY_tgx_IHuhSq3AJ5eI5OnqOPBNLWSHKh2a30DoXe8/edit?usp=sharing"",""นราธิวาส!I512"")"),0)</f>
        <v>0</v>
      </c>
      <c r="J617" s="195">
        <f ca="1">IFERROR(__xludf.DUMMYFUNCTION("IMPORTRANGE(""https://docs.google.com/spreadsheets/d/1IYY_tgx_IHuhSq3AJ5eI5OnqOPBNLWSHKh2a30DoXe8/edit?usp=sharing"",""นราธิวาส!J512"")"),0)</f>
        <v>0</v>
      </c>
      <c r="K617" s="169">
        <f t="shared" ca="1" si="127"/>
        <v>0</v>
      </c>
      <c r="L617" s="189"/>
      <c r="M617" s="189"/>
      <c r="N617" s="189"/>
      <c r="O617" s="189"/>
      <c r="P617" s="189"/>
    </row>
    <row r="618" spans="1:16" ht="21.75" customHeight="1" x14ac:dyDescent="0.35">
      <c r="A618" s="183"/>
      <c r="B618" s="184"/>
      <c r="C618" s="184"/>
      <c r="D618" s="201"/>
      <c r="E618" s="206"/>
      <c r="F618" s="203"/>
      <c r="G618" s="504" t="s">
        <v>226</v>
      </c>
      <c r="H618" s="188" t="s">
        <v>122</v>
      </c>
      <c r="I618" s="211">
        <f ca="1">IFERROR(__xludf.DUMMYFUNCTION("IMPORTRANGE(""https://docs.google.com/spreadsheets/d/1IYY_tgx_IHuhSq3AJ5eI5OnqOPBNLWSHKh2a30DoXe8/edit?usp=sharing"",""นราธิวาส!I513"")"),0)</f>
        <v>0</v>
      </c>
      <c r="J618" s="196">
        <f ca="1">IFERROR(__xludf.DUMMYFUNCTION("IMPORTRANGE(""https://docs.google.com/spreadsheets/d/1IYY_tgx_IHuhSq3AJ5eI5OnqOPBNLWSHKh2a30DoXe8/edit?usp=sharing"",""นราธิวาส!J513"")"),0)</f>
        <v>0</v>
      </c>
      <c r="K618" s="169">
        <f t="shared" ca="1" si="127"/>
        <v>0</v>
      </c>
      <c r="L618" s="189"/>
      <c r="M618" s="189"/>
      <c r="N618" s="189"/>
      <c r="O618" s="189"/>
      <c r="P618" s="189"/>
    </row>
    <row r="619" spans="1:16" ht="21.75" customHeight="1" x14ac:dyDescent="0.35">
      <c r="A619" s="183"/>
      <c r="B619" s="184"/>
      <c r="C619" s="184"/>
      <c r="D619" s="201"/>
      <c r="E619" s="206"/>
      <c r="F619" s="203"/>
      <c r="G619" s="504" t="s">
        <v>227</v>
      </c>
      <c r="H619" s="188" t="s">
        <v>122</v>
      </c>
      <c r="I619" s="211">
        <f ca="1">IFERROR(__xludf.DUMMYFUNCTION("IMPORTRANGE(""https://docs.google.com/spreadsheets/d/1IYY_tgx_IHuhSq3AJ5eI5OnqOPBNLWSHKh2a30DoXe8/edit?usp=sharing"",""นราธิวาส!I514"")"),0)</f>
        <v>0</v>
      </c>
      <c r="J619" s="196">
        <f ca="1">IFERROR(__xludf.DUMMYFUNCTION("IMPORTRANGE(""https://docs.google.com/spreadsheets/d/1IYY_tgx_IHuhSq3AJ5eI5OnqOPBNLWSHKh2a30DoXe8/edit?usp=sharing"",""นราธิวาส!J514"")"),0)</f>
        <v>0</v>
      </c>
      <c r="K619" s="169">
        <f t="shared" ca="1" si="127"/>
        <v>0</v>
      </c>
      <c r="L619" s="189"/>
      <c r="M619" s="189"/>
      <c r="N619" s="189"/>
      <c r="O619" s="189"/>
      <c r="P619" s="189"/>
    </row>
    <row r="620" spans="1:16" ht="21.75" customHeight="1" x14ac:dyDescent="0.35">
      <c r="A620" s="183"/>
      <c r="B620" s="184"/>
      <c r="C620" s="184"/>
      <c r="D620" s="201"/>
      <c r="E620" s="203"/>
      <c r="F620" s="202" t="s">
        <v>228</v>
      </c>
      <c r="G620" s="204"/>
      <c r="H620" s="188" t="s">
        <v>122</v>
      </c>
      <c r="I620" s="195">
        <f ca="1">IFERROR(__xludf.DUMMYFUNCTION("IMPORTRANGE(""https://docs.google.com/spreadsheets/d/1IYY_tgx_IHuhSq3AJ5eI5OnqOPBNLWSHKh2a30DoXe8/edit?usp=sharing"",""นราธิวาส!I515"")"),266.839999999999)</f>
        <v>266.83999999999901</v>
      </c>
      <c r="J620" s="210">
        <f ca="1">IFERROR(__xludf.DUMMYFUNCTION("IMPORTRANGE(""https://docs.google.com/spreadsheets/d/1IYY_tgx_IHuhSq3AJ5eI5OnqOPBNLWSHKh2a30DoXe8/edit?usp=sharing"",""นราธิวาส!J515"")"),267)</f>
        <v>267</v>
      </c>
      <c r="K620" s="169">
        <f t="shared" ref="K620:K626" ca="1" si="128">IF(I$620&gt;0,J620*100/I$620,0)</f>
        <v>100.05996102533391</v>
      </c>
      <c r="L620" s="189"/>
      <c r="M620" s="189"/>
      <c r="N620" s="189"/>
      <c r="O620" s="189"/>
      <c r="P620" s="189"/>
    </row>
    <row r="621" spans="1:16" ht="21.75" customHeight="1" x14ac:dyDescent="0.35">
      <c r="A621" s="183"/>
      <c r="B621" s="184"/>
      <c r="C621" s="184"/>
      <c r="D621" s="201"/>
      <c r="E621" s="206"/>
      <c r="F621" s="203"/>
      <c r="G621" s="233" t="s">
        <v>225</v>
      </c>
      <c r="H621" s="188" t="s">
        <v>122</v>
      </c>
      <c r="I621" s="210">
        <f ca="1">IFERROR(__xludf.DUMMYFUNCTION("IMPORTRANGE(""https://docs.google.com/spreadsheets/d/1IYY_tgx_IHuhSq3AJ5eI5OnqOPBNLWSHKh2a30DoXe8/edit?usp=sharing"",""นราธิวาส!I516"")"),0)</f>
        <v>0</v>
      </c>
      <c r="J621" s="210">
        <f ca="1">IFERROR(__xludf.DUMMYFUNCTION("IMPORTRANGE(""https://docs.google.com/spreadsheets/d/1IYY_tgx_IHuhSq3AJ5eI5OnqOPBNLWSHKh2a30DoXe8/edit?usp=sharing"",""นราธิวาส!J516"")"),267)</f>
        <v>267</v>
      </c>
      <c r="K621" s="169">
        <f t="shared" ca="1" si="128"/>
        <v>100.05996102533391</v>
      </c>
      <c r="L621" s="189"/>
      <c r="M621" s="189"/>
      <c r="N621" s="189"/>
      <c r="O621" s="189"/>
      <c r="P621" s="189"/>
    </row>
    <row r="622" spans="1:16" ht="21.75" customHeight="1" x14ac:dyDescent="0.35">
      <c r="A622" s="183"/>
      <c r="B622" s="184"/>
      <c r="C622" s="184"/>
      <c r="D622" s="201"/>
      <c r="E622" s="206"/>
      <c r="F622" s="203"/>
      <c r="G622" s="504" t="s">
        <v>226</v>
      </c>
      <c r="H622" s="188" t="s">
        <v>122</v>
      </c>
      <c r="I622" s="211">
        <f ca="1">IFERROR(__xludf.DUMMYFUNCTION("IMPORTRANGE(""https://docs.google.com/spreadsheets/d/1IYY_tgx_IHuhSq3AJ5eI5OnqOPBNLWSHKh2a30DoXe8/edit?usp=sharing"",""นราธิวาส!I517"")"),0)</f>
        <v>0</v>
      </c>
      <c r="J622" s="196">
        <f ca="1">IFERROR(__xludf.DUMMYFUNCTION("IMPORTRANGE(""https://docs.google.com/spreadsheets/d/1IYY_tgx_IHuhSq3AJ5eI5OnqOPBNLWSHKh2a30DoXe8/edit?usp=sharing"",""นราธิวาส!J517"")"),125)</f>
        <v>125</v>
      </c>
      <c r="K622" s="169">
        <f t="shared" ca="1" si="128"/>
        <v>46.844551041822989</v>
      </c>
      <c r="L622" s="189"/>
      <c r="M622" s="189"/>
      <c r="N622" s="189"/>
      <c r="O622" s="189"/>
      <c r="P622" s="189"/>
    </row>
    <row r="623" spans="1:16" ht="21.75" customHeight="1" x14ac:dyDescent="0.35">
      <c r="A623" s="183"/>
      <c r="B623" s="184"/>
      <c r="C623" s="184"/>
      <c r="D623" s="201"/>
      <c r="E623" s="206"/>
      <c r="F623" s="203"/>
      <c r="G623" s="504" t="s">
        <v>227</v>
      </c>
      <c r="H623" s="188" t="s">
        <v>122</v>
      </c>
      <c r="I623" s="211">
        <f ca="1">IFERROR(__xludf.DUMMYFUNCTION("IMPORTRANGE(""https://docs.google.com/spreadsheets/d/1IYY_tgx_IHuhSq3AJ5eI5OnqOPBNLWSHKh2a30DoXe8/edit?usp=sharing"",""นราธิวาส!I518"")"),0)</f>
        <v>0</v>
      </c>
      <c r="J623" s="196">
        <f ca="1">IFERROR(__xludf.DUMMYFUNCTION("IMPORTRANGE(""https://docs.google.com/spreadsheets/d/1IYY_tgx_IHuhSq3AJ5eI5OnqOPBNLWSHKh2a30DoXe8/edit?usp=sharing"",""นราธิวาส!J518"")"),142)</f>
        <v>142</v>
      </c>
      <c r="K623" s="169">
        <f t="shared" ca="1" si="128"/>
        <v>53.215409983510916</v>
      </c>
      <c r="L623" s="189"/>
      <c r="M623" s="189"/>
      <c r="N623" s="189"/>
      <c r="O623" s="189"/>
      <c r="P623" s="189"/>
    </row>
    <row r="624" spans="1:16" ht="21.75" customHeight="1" x14ac:dyDescent="0.35">
      <c r="A624" s="183"/>
      <c r="B624" s="184"/>
      <c r="C624" s="184"/>
      <c r="D624" s="201"/>
      <c r="E624" s="206"/>
      <c r="F624" s="203"/>
      <c r="G624" s="233" t="s">
        <v>229</v>
      </c>
      <c r="H624" s="188" t="s">
        <v>122</v>
      </c>
      <c r="I624" s="195">
        <f ca="1">IFERROR(__xludf.DUMMYFUNCTION("IMPORTRANGE(""https://docs.google.com/spreadsheets/d/1IYY_tgx_IHuhSq3AJ5eI5OnqOPBNLWSHKh2a30DoXe8/edit?usp=sharing"",""นราธิวาส!I519"")"),0)</f>
        <v>0</v>
      </c>
      <c r="J624" s="195">
        <f ca="1">IFERROR(__xludf.DUMMYFUNCTION("IMPORTRANGE(""https://docs.google.com/spreadsheets/d/1IYY_tgx_IHuhSq3AJ5eI5OnqOPBNLWSHKh2a30DoXe8/edit?usp=sharing"",""นราธิวาส!J519"")"),267)</f>
        <v>267</v>
      </c>
      <c r="K624" s="169">
        <f t="shared" ca="1" si="128"/>
        <v>100.05996102533391</v>
      </c>
      <c r="L624" s="189"/>
      <c r="M624" s="189"/>
      <c r="N624" s="189"/>
      <c r="O624" s="189"/>
      <c r="P624" s="189"/>
    </row>
    <row r="625" spans="1:16" ht="21.75" customHeight="1" x14ac:dyDescent="0.35">
      <c r="A625" s="183"/>
      <c r="B625" s="184"/>
      <c r="C625" s="184"/>
      <c r="D625" s="201"/>
      <c r="E625" s="206"/>
      <c r="F625" s="203"/>
      <c r="G625" s="504" t="s">
        <v>230</v>
      </c>
      <c r="H625" s="188" t="s">
        <v>122</v>
      </c>
      <c r="I625" s="211">
        <f ca="1">IFERROR(__xludf.DUMMYFUNCTION("IMPORTRANGE(""https://docs.google.com/spreadsheets/d/1IYY_tgx_IHuhSq3AJ5eI5OnqOPBNLWSHKh2a30DoXe8/edit?usp=sharing"",""นราธิวาส!I520"")"),0)</f>
        <v>0</v>
      </c>
      <c r="J625" s="196">
        <f ca="1">IFERROR(__xludf.DUMMYFUNCTION("IMPORTRANGE(""https://docs.google.com/spreadsheets/d/1IYY_tgx_IHuhSq3AJ5eI5OnqOPBNLWSHKh2a30DoXe8/edit?usp=sharing"",""นราธิวาส!J520"")"),248)</f>
        <v>248</v>
      </c>
      <c r="K625" s="169">
        <f t="shared" ca="1" si="128"/>
        <v>92.93958926697681</v>
      </c>
      <c r="L625" s="189"/>
      <c r="M625" s="189"/>
      <c r="N625" s="189"/>
      <c r="O625" s="189"/>
      <c r="P625" s="189"/>
    </row>
    <row r="626" spans="1:16" ht="21.75" customHeight="1" x14ac:dyDescent="0.35">
      <c r="A626" s="183"/>
      <c r="B626" s="184"/>
      <c r="C626" s="184"/>
      <c r="D626" s="201"/>
      <c r="E626" s="206"/>
      <c r="F626" s="203"/>
      <c r="G626" s="504" t="s">
        <v>231</v>
      </c>
      <c r="H626" s="188" t="s">
        <v>122</v>
      </c>
      <c r="I626" s="211">
        <f ca="1">IFERROR(__xludf.DUMMYFUNCTION("IMPORTRANGE(""https://docs.google.com/spreadsheets/d/1IYY_tgx_IHuhSq3AJ5eI5OnqOPBNLWSHKh2a30DoXe8/edit?usp=sharing"",""นราธิวาส!I521"")"),0)</f>
        <v>0</v>
      </c>
      <c r="J626" s="196">
        <f ca="1">IFERROR(__xludf.DUMMYFUNCTION("IMPORTRANGE(""https://docs.google.com/spreadsheets/d/1IYY_tgx_IHuhSq3AJ5eI5OnqOPBNLWSHKh2a30DoXe8/edit?usp=sharing"",""นราธิวาส!J521"")"),248)</f>
        <v>248</v>
      </c>
      <c r="K626" s="169">
        <f t="shared" ca="1" si="128"/>
        <v>92.93958926697681</v>
      </c>
      <c r="L626" s="189"/>
      <c r="M626" s="189"/>
      <c r="N626" s="189"/>
      <c r="O626" s="189"/>
      <c r="P626" s="189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2"/>
      <c r="E628" s="165"/>
      <c r="F628" s="165"/>
      <c r="G628" s="166"/>
      <c r="H628" s="513" t="s">
        <v>12</v>
      </c>
      <c r="I628" s="347">
        <f ca="1">IFERROR(__xludf.DUMMYFUNCTION("IMPORTRANGE(""https://docs.google.com/spreadsheets/d/1IYY_tgx_IHuhSq3AJ5eI5OnqOPBNLWSHKh2a30DoXe8/edit?usp=sharing"",""นราธิวาส!I523"")"),309233.81)</f>
        <v>309233.81</v>
      </c>
      <c r="J628" s="347">
        <f ca="1">IFERROR(__xludf.DUMMYFUNCTION("IMPORTRANGE(""https://docs.google.com/spreadsheets/d/1IYY_tgx_IHuhSq3AJ5eI5OnqOPBNLWSHKh2a30DoXe8/edit?usp=sharing"",""นราธิวาส!J523"")"),209694.28)</f>
        <v>209694.28</v>
      </c>
      <c r="K628" s="348">
        <f t="shared" ref="K628:K635" ca="1" si="129">IF(I628&gt;0,J628*100/I628,0)</f>
        <v>67.810916277233716</v>
      </c>
      <c r="L628" s="348"/>
      <c r="M628" s="348"/>
      <c r="N628" s="348"/>
      <c r="O628" s="176"/>
      <c r="P628" s="176"/>
    </row>
    <row r="629" spans="1:16" ht="21.75" customHeight="1" x14ac:dyDescent="0.35">
      <c r="A629" s="484"/>
      <c r="B629" s="163"/>
      <c r="C629" s="163"/>
      <c r="D629" s="172"/>
      <c r="E629" s="165"/>
      <c r="F629" s="165"/>
      <c r="G629" s="166"/>
      <c r="H629" s="513" t="s">
        <v>37</v>
      </c>
      <c r="I629" s="347">
        <f ca="1">IFERROR(__xludf.DUMMYFUNCTION("IMPORTRANGE(""https://docs.google.com/spreadsheets/d/1IYY_tgx_IHuhSq3AJ5eI5OnqOPBNLWSHKh2a30DoXe8/edit?usp=sharing"",""นราธิวาส!I524"")"),29)</f>
        <v>29</v>
      </c>
      <c r="J629" s="347">
        <f ca="1">IFERROR(__xludf.DUMMYFUNCTION("IMPORTRANGE(""https://docs.google.com/spreadsheets/d/1IYY_tgx_IHuhSq3AJ5eI5OnqOPBNLWSHKh2a30DoXe8/edit?usp=sharing"",""นราธิวาส!J524"")"),19)</f>
        <v>19</v>
      </c>
      <c r="K629" s="348">
        <f t="shared" ca="1" si="129"/>
        <v>65.517241379310349</v>
      </c>
      <c r="L629" s="348"/>
      <c r="M629" s="348"/>
      <c r="N629" s="348"/>
      <c r="O629" s="176"/>
      <c r="P629" s="176"/>
    </row>
    <row r="630" spans="1:16" ht="21.75" customHeight="1" x14ac:dyDescent="0.35">
      <c r="A630" s="484"/>
      <c r="B630" s="512" t="s">
        <v>234</v>
      </c>
      <c r="C630" s="163"/>
      <c r="D630" s="172"/>
      <c r="E630" s="165"/>
      <c r="F630" s="165"/>
      <c r="G630" s="166"/>
      <c r="H630" s="513" t="s">
        <v>12</v>
      </c>
      <c r="I630" s="347">
        <f ca="1">IFERROR(__xludf.DUMMYFUNCTION("IMPORTRANGE(""https://docs.google.com/spreadsheets/d/1IYY_tgx_IHuhSq3AJ5eI5OnqOPBNLWSHKh2a30DoXe8/edit?usp=sharing"",""นราธิวาส!I525"")"),284624.01)</f>
        <v>284624.01</v>
      </c>
      <c r="J630" s="347">
        <f ca="1">IFERROR(__xludf.DUMMYFUNCTION("IMPORTRANGE(""https://docs.google.com/spreadsheets/d/1IYY_tgx_IHuhSq3AJ5eI5OnqOPBNLWSHKh2a30DoXe8/edit?usp=sharing"",""นราธิวาส!J525"")"),10415.4)</f>
        <v>10415.4</v>
      </c>
      <c r="K630" s="348">
        <f t="shared" ca="1" si="129"/>
        <v>3.6593539666593831</v>
      </c>
      <c r="L630" s="348"/>
      <c r="M630" s="348"/>
      <c r="N630" s="348"/>
      <c r="O630" s="176"/>
      <c r="P630" s="176"/>
    </row>
    <row r="631" spans="1:16" ht="21.75" customHeight="1" x14ac:dyDescent="0.35">
      <c r="A631" s="484"/>
      <c r="B631" s="163"/>
      <c r="C631" s="163"/>
      <c r="D631" s="172"/>
      <c r="E631" s="165"/>
      <c r="F631" s="165"/>
      <c r="G631" s="166"/>
      <c r="H631" s="513" t="s">
        <v>37</v>
      </c>
      <c r="I631" s="347">
        <f ca="1">IFERROR(__xludf.DUMMYFUNCTION("IMPORTRANGE(""https://docs.google.com/spreadsheets/d/1IYY_tgx_IHuhSq3AJ5eI5OnqOPBNLWSHKh2a30DoXe8/edit?usp=sharing"",""นราธิวาส!I526"")"),10)</f>
        <v>10</v>
      </c>
      <c r="J631" s="347">
        <f ca="1">IFERROR(__xludf.DUMMYFUNCTION("IMPORTRANGE(""https://docs.google.com/spreadsheets/d/1IYY_tgx_IHuhSq3AJ5eI5OnqOPBNLWSHKh2a30DoXe8/edit?usp=sharing"",""นราธิวาส!J526"")"),9)</f>
        <v>9</v>
      </c>
      <c r="K631" s="348">
        <f t="shared" ca="1" si="129"/>
        <v>90</v>
      </c>
      <c r="L631" s="348"/>
      <c r="M631" s="348"/>
      <c r="N631" s="348"/>
      <c r="O631" s="176"/>
      <c r="P631" s="176"/>
    </row>
    <row r="632" spans="1:16" ht="21.75" customHeight="1" x14ac:dyDescent="0.35">
      <c r="A632" s="484"/>
      <c r="B632" s="512" t="s">
        <v>235</v>
      </c>
      <c r="C632" s="163"/>
      <c r="D632" s="172"/>
      <c r="E632" s="165"/>
      <c r="F632" s="165"/>
      <c r="G632" s="166"/>
      <c r="H632" s="513" t="s">
        <v>12</v>
      </c>
      <c r="I632" s="347">
        <f ca="1">IFERROR(__xludf.DUMMYFUNCTION("IMPORTRANGE(""https://docs.google.com/spreadsheets/d/1IYY_tgx_IHuhSq3AJ5eI5OnqOPBNLWSHKh2a30DoXe8/edit?usp=sharing"",""นราธิวาส!I527"")"),81143.83)</f>
        <v>81143.83</v>
      </c>
      <c r="J632" s="347">
        <f ca="1">IFERROR(__xludf.DUMMYFUNCTION("IMPORTRANGE(""https://docs.google.com/spreadsheets/d/1IYY_tgx_IHuhSq3AJ5eI5OnqOPBNLWSHKh2a30DoXe8/edit?usp=sharing"",""นราธิวาส!J527"")"),6489.99)</f>
        <v>6489.99</v>
      </c>
      <c r="K632" s="348">
        <f t="shared" ca="1" si="129"/>
        <v>7.9981312195887231</v>
      </c>
      <c r="L632" s="348"/>
      <c r="M632" s="348"/>
      <c r="N632" s="348"/>
      <c r="O632" s="176"/>
      <c r="P632" s="176"/>
    </row>
    <row r="633" spans="1:16" ht="21.75" customHeight="1" x14ac:dyDescent="0.35">
      <c r="A633" s="484"/>
      <c r="B633" s="512"/>
      <c r="C633" s="163"/>
      <c r="D633" s="172"/>
      <c r="E633" s="165"/>
      <c r="F633" s="165"/>
      <c r="G633" s="166"/>
      <c r="H633" s="513" t="s">
        <v>37</v>
      </c>
      <c r="I633" s="347">
        <f ca="1">IFERROR(__xludf.DUMMYFUNCTION("IMPORTRANGE(""https://docs.google.com/spreadsheets/d/1IYY_tgx_IHuhSq3AJ5eI5OnqOPBNLWSHKh2a30DoXe8/edit?usp=sharing"",""นราธิวาส!I528"")"),127)</f>
        <v>127</v>
      </c>
      <c r="J633" s="347">
        <f ca="1">IFERROR(__xludf.DUMMYFUNCTION("IMPORTRANGE(""https://docs.google.com/spreadsheets/d/1IYY_tgx_IHuhSq3AJ5eI5OnqOPBNLWSHKh2a30DoXe8/edit?usp=sharing"",""นราธิวาส!J528"")"),7)</f>
        <v>7</v>
      </c>
      <c r="K633" s="348">
        <f t="shared" ca="1" si="129"/>
        <v>5.5118110236220472</v>
      </c>
      <c r="L633" s="348"/>
      <c r="M633" s="348"/>
      <c r="N633" s="348"/>
      <c r="O633" s="176"/>
      <c r="P633" s="176"/>
    </row>
    <row r="634" spans="1:16" ht="21.75" customHeight="1" x14ac:dyDescent="0.35">
      <c r="A634" s="484"/>
      <c r="B634" s="512" t="s">
        <v>236</v>
      </c>
      <c r="C634" s="163"/>
      <c r="D634" s="172"/>
      <c r="E634" s="165"/>
      <c r="F634" s="165"/>
      <c r="G634" s="166"/>
      <c r="H634" s="513" t="s">
        <v>12</v>
      </c>
      <c r="I634" s="347">
        <f ca="1">IFERROR(__xludf.DUMMYFUNCTION("IMPORTRANGE(""https://docs.google.com/spreadsheets/d/1IYY_tgx_IHuhSq3AJ5eI5OnqOPBNLWSHKh2a30DoXe8/edit?usp=sharing"",""นราธิวาส!I529"")"),300000)</f>
        <v>300000</v>
      </c>
      <c r="J634" s="347">
        <f ca="1">IFERROR(__xludf.DUMMYFUNCTION("IMPORTRANGE(""https://docs.google.com/spreadsheets/d/1IYY_tgx_IHuhSq3AJ5eI5OnqOPBNLWSHKh2a30DoXe8/edit?usp=sharing"",""นราธิวาส!J529"")"),0)</f>
        <v>0</v>
      </c>
      <c r="K634" s="348">
        <f t="shared" ca="1" si="129"/>
        <v>0</v>
      </c>
      <c r="L634" s="348"/>
      <c r="M634" s="348"/>
      <c r="N634" s="348"/>
      <c r="O634" s="176"/>
      <c r="P634" s="176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IFERROR(__xludf.DUMMYFUNCTION("IMPORTRANGE(""https://docs.google.com/spreadsheets/d/1IYY_tgx_IHuhSq3AJ5eI5OnqOPBNLWSHKh2a30DoXe8/edit?usp=sharing"",""นราธิวาส!I530"")"),10)</f>
        <v>10</v>
      </c>
      <c r="J635" s="517">
        <f ca="1">IFERROR(__xludf.DUMMYFUNCTION("IMPORTRANGE(""https://docs.google.com/spreadsheets/d/1IYY_tgx_IHuhSq3AJ5eI5OnqOPBNLWSHKh2a30DoXe8/edit?usp=sharing"",""นราธิวาส!J530"")"),0)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3" sqref="G23"/>
      <selection pane="bottomLeft" activeCell="A3" sqref="A3:P3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7265625" bestFit="1" customWidth="1"/>
    <col min="12" max="14" width="17.81640625" bestFit="1" customWidth="1"/>
    <col min="15" max="15" width="18.81640625" customWidth="1"/>
    <col min="16" max="16" width="20.54296875" customWidth="1"/>
  </cols>
  <sheetData>
    <row r="1" spans="1:16" ht="18" customHeight="1" x14ac:dyDescent="0.35">
      <c r="A1" s="527" t="s">
        <v>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</row>
    <row r="2" spans="1:16" ht="18" customHeight="1" x14ac:dyDescent="0.35">
      <c r="A2" s="527" t="s">
        <v>249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</row>
    <row r="3" spans="1:16" ht="18" customHeight="1" x14ac:dyDescent="0.35">
      <c r="A3" s="527" t="s">
        <v>268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5" t="s">
        <v>2</v>
      </c>
      <c r="B5" s="536"/>
      <c r="C5" s="536"/>
      <c r="D5" s="536"/>
      <c r="E5" s="536"/>
      <c r="F5" s="536"/>
      <c r="G5" s="537"/>
      <c r="H5" s="528" t="s">
        <v>3</v>
      </c>
      <c r="I5" s="530" t="s">
        <v>4</v>
      </c>
      <c r="J5" s="531"/>
      <c r="K5" s="532"/>
      <c r="L5" s="533" t="s">
        <v>5</v>
      </c>
      <c r="M5" s="532"/>
      <c r="N5" s="534" t="s">
        <v>6</v>
      </c>
      <c r="O5" s="531"/>
      <c r="P5" s="532"/>
    </row>
    <row r="6" spans="1:16" ht="21.75" customHeight="1" x14ac:dyDescent="0.35">
      <c r="A6" s="538"/>
      <c r="B6" s="539"/>
      <c r="C6" s="539"/>
      <c r="D6" s="539"/>
      <c r="E6" s="539"/>
      <c r="F6" s="539"/>
      <c r="G6" s="540"/>
      <c r="H6" s="52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1" t="s">
        <v>15</v>
      </c>
      <c r="B7" s="531"/>
      <c r="C7" s="531"/>
      <c r="D7" s="531"/>
      <c r="E7" s="531"/>
      <c r="F7" s="531"/>
      <c r="G7" s="53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2" t="s">
        <v>17</v>
      </c>
      <c r="E8" s="543"/>
      <c r="F8" s="543"/>
      <c r="G8" s="543"/>
      <c r="H8" s="20" t="s">
        <v>12</v>
      </c>
      <c r="I8" s="21"/>
      <c r="J8" s="21"/>
      <c r="K8" s="22"/>
      <c r="L8" s="23">
        <f t="shared" ref="L8:N8" ca="1" si="0">L9+L10</f>
        <v>2748291</v>
      </c>
      <c r="M8" s="23">
        <f t="shared" ca="1" si="0"/>
        <v>1131325</v>
      </c>
      <c r="N8" s="23">
        <f t="shared" ca="1" si="0"/>
        <v>1482649.89</v>
      </c>
      <c r="O8" s="22">
        <f t="shared" ref="O8:O16" ca="1" si="1">IF(L8&gt;0,N8*100/L8,0)</f>
        <v>53.94806772645255</v>
      </c>
      <c r="P8" s="22">
        <f t="shared" ref="P8:P16" ca="1" si="2">IF(M8&gt;0,N8*100/M8,0)</f>
        <v>131.05428501977769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2748291</v>
      </c>
      <c r="M10" s="30">
        <f t="shared" ca="1" si="4"/>
        <v>1131325</v>
      </c>
      <c r="N10" s="30">
        <f t="shared" ca="1" si="4"/>
        <v>1482649.89</v>
      </c>
      <c r="O10" s="29">
        <f t="shared" ca="1" si="1"/>
        <v>53.94806772645255</v>
      </c>
      <c r="P10" s="29">
        <f t="shared" ca="1" si="2"/>
        <v>131.05428501977769</v>
      </c>
    </row>
    <row r="11" spans="1:16" ht="21.75" customHeight="1" x14ac:dyDescent="0.45">
      <c r="A11" s="31"/>
      <c r="B11" s="32"/>
      <c r="C11" s="33" t="s">
        <v>16</v>
      </c>
      <c r="D11" s="544" t="s">
        <v>20</v>
      </c>
      <c r="E11" s="545"/>
      <c r="F11" s="54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2735791</v>
      </c>
      <c r="M12" s="38">
        <f t="shared" ca="1" si="6"/>
        <v>1118825</v>
      </c>
      <c r="N12" s="38">
        <f t="shared" ca="1" si="6"/>
        <v>1470149.89</v>
      </c>
      <c r="O12" s="38">
        <f t="shared" ca="1" si="1"/>
        <v>53.73765357075888</v>
      </c>
      <c r="P12" s="38">
        <f t="shared" ca="1" si="2"/>
        <v>131.40123701204388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1654700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1081091</v>
      </c>
      <c r="M14" s="38">
        <f t="shared" si="8"/>
        <v>0</v>
      </c>
      <c r="N14" s="38">
        <f t="shared" ca="1" si="8"/>
        <v>496913.88999999996</v>
      </c>
      <c r="O14" s="41">
        <f t="shared" ca="1" si="1"/>
        <v>45.96411310426226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44" t="s">
        <v>23</v>
      </c>
      <c r="E15" s="54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12500</v>
      </c>
      <c r="M16" s="38">
        <f t="shared" ca="1" si="10"/>
        <v>12500</v>
      </c>
      <c r="N16" s="38">
        <f t="shared" ca="1" si="10"/>
        <v>12500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1" t="s">
        <v>24</v>
      </c>
      <c r="B17" s="531"/>
      <c r="C17" s="531"/>
      <c r="D17" s="531"/>
      <c r="E17" s="531"/>
      <c r="F17" s="531"/>
      <c r="G17" s="53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2" t="s">
        <v>17</v>
      </c>
      <c r="E18" s="543"/>
      <c r="F18" s="543"/>
      <c r="G18" s="543"/>
      <c r="H18" s="20" t="s">
        <v>12</v>
      </c>
      <c r="I18" s="21"/>
      <c r="J18" s="21"/>
      <c r="K18" s="22"/>
      <c r="L18" s="23">
        <f t="shared" ref="L18:N18" ca="1" si="11">L19+L20</f>
        <v>2024465</v>
      </c>
      <c r="M18" s="23">
        <f t="shared" ca="1" si="11"/>
        <v>1131325</v>
      </c>
      <c r="N18" s="23">
        <f t="shared" ca="1" si="11"/>
        <v>985736</v>
      </c>
      <c r="O18" s="22">
        <f t="shared" ref="O18:O20" ca="1" si="12">IF(L18&gt;0,N18*100/L18,0)</f>
        <v>48.691185078526921</v>
      </c>
      <c r="P18" s="22">
        <f t="shared" ref="P18:P26" ca="1" si="13">IF(M18&gt;0,N18*100/M18,0)</f>
        <v>87.131107329900786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2024465</v>
      </c>
      <c r="M20" s="30">
        <f t="shared" ca="1" si="15"/>
        <v>1131325</v>
      </c>
      <c r="N20" s="30">
        <f t="shared" ca="1" si="15"/>
        <v>985736</v>
      </c>
      <c r="O20" s="29">
        <f t="shared" ca="1" si="12"/>
        <v>48.691185078526921</v>
      </c>
      <c r="P20" s="29">
        <f t="shared" ca="1" si="13"/>
        <v>87.131107329900786</v>
      </c>
    </row>
    <row r="21" spans="1:16" ht="21.75" customHeight="1" x14ac:dyDescent="0.45">
      <c r="A21" s="31"/>
      <c r="B21" s="32"/>
      <c r="C21" s="33" t="s">
        <v>16</v>
      </c>
      <c r="D21" s="544" t="s">
        <v>20</v>
      </c>
      <c r="E21" s="545"/>
      <c r="F21" s="54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2011965</v>
      </c>
      <c r="M22" s="42">
        <f t="shared" ca="1" si="18"/>
        <v>1118825</v>
      </c>
      <c r="N22" s="41">
        <f t="shared" ca="1" si="18"/>
        <v>973236</v>
      </c>
      <c r="O22" s="41">
        <f t="shared" ca="1" si="17"/>
        <v>48.372412044941143</v>
      </c>
      <c r="P22" s="41">
        <f t="shared" ca="1" si="13"/>
        <v>86.9873304582933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1654700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357265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44" t="s">
        <v>23</v>
      </c>
      <c r="E25" s="54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12500</v>
      </c>
      <c r="M26" s="50">
        <f t="shared" ca="1" si="22"/>
        <v>12500</v>
      </c>
      <c r="N26" s="50">
        <f t="shared" ca="1" si="22"/>
        <v>12500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1" t="s">
        <v>25</v>
      </c>
      <c r="B27" s="531"/>
      <c r="C27" s="531"/>
      <c r="D27" s="531"/>
      <c r="E27" s="531"/>
      <c r="F27" s="531"/>
      <c r="G27" s="53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2" t="s">
        <v>17</v>
      </c>
      <c r="E28" s="543"/>
      <c r="F28" s="543"/>
      <c r="G28" s="543"/>
      <c r="H28" s="20" t="s">
        <v>12</v>
      </c>
      <c r="I28" s="21"/>
      <c r="J28" s="21"/>
      <c r="K28" s="22"/>
      <c r="L28" s="23">
        <f t="shared" ref="L28:N28" ca="1" si="23">L29+L30</f>
        <v>723826</v>
      </c>
      <c r="M28" s="23">
        <f t="shared" si="23"/>
        <v>0</v>
      </c>
      <c r="N28" s="23">
        <f t="shared" ca="1" si="23"/>
        <v>496913.88999999996</v>
      </c>
      <c r="O28" s="22">
        <f t="shared" ref="O28:O30" ca="1" si="24">IF(L28&gt;0,N28*100/L28,0)</f>
        <v>68.651014194018998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723826</v>
      </c>
      <c r="M30" s="30">
        <f t="shared" si="27"/>
        <v>0</v>
      </c>
      <c r="N30" s="30">
        <f t="shared" ca="1" si="27"/>
        <v>496913.88999999996</v>
      </c>
      <c r="O30" s="29">
        <f t="shared" ca="1" si="24"/>
        <v>68.651014194018998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44" t="s">
        <v>20</v>
      </c>
      <c r="E31" s="545"/>
      <c r="F31" s="54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723826</v>
      </c>
      <c r="M32" s="41">
        <f t="shared" si="30"/>
        <v>0</v>
      </c>
      <c r="N32" s="41">
        <f t="shared" ca="1" si="30"/>
        <v>496913.88999999996</v>
      </c>
      <c r="O32" s="41">
        <f t="shared" ca="1" si="29"/>
        <v>68.651014194018998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723826</v>
      </c>
      <c r="M34" s="41">
        <f t="shared" si="32"/>
        <v>0</v>
      </c>
      <c r="N34" s="41">
        <f t="shared" ca="1" si="32"/>
        <v>496913.88999999996</v>
      </c>
      <c r="O34" s="41">
        <f t="shared" ca="1" si="29"/>
        <v>68.651014194018998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44" t="s">
        <v>23</v>
      </c>
      <c r="E35" s="54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2024465</v>
      </c>
      <c r="M37" s="55">
        <f t="shared" ca="1" si="33"/>
        <v>1131325</v>
      </c>
      <c r="N37" s="55">
        <f t="shared" ca="1" si="33"/>
        <v>985736</v>
      </c>
      <c r="O37" s="56">
        <f t="shared" ca="1" si="29"/>
        <v>48.691185078526921</v>
      </c>
      <c r="P37" s="56">
        <f t="shared" ca="1" si="25"/>
        <v>87.131107329900786</v>
      </c>
    </row>
    <row r="38" spans="1:16" ht="21.75" customHeight="1" x14ac:dyDescent="0.45">
      <c r="A38" s="546" t="s">
        <v>27</v>
      </c>
      <c r="B38" s="531"/>
      <c r="C38" s="531"/>
      <c r="D38" s="531"/>
      <c r="E38" s="531"/>
      <c r="F38" s="531"/>
      <c r="G38" s="53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7" t="s">
        <v>28</v>
      </c>
      <c r="C39" s="543"/>
      <c r="D39" s="543"/>
      <c r="E39" s="543"/>
      <c r="F39" s="543"/>
      <c r="G39" s="54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48" t="s">
        <v>17</v>
      </c>
      <c r="E41" s="545"/>
      <c r="F41" s="545"/>
      <c r="G41" s="545"/>
      <c r="H41" s="76" t="s">
        <v>12</v>
      </c>
      <c r="I41" s="77"/>
      <c r="J41" s="77"/>
      <c r="K41" s="78"/>
      <c r="L41" s="79">
        <f t="shared" ref="L41:N41" ca="1" si="34">L42+L43</f>
        <v>569100</v>
      </c>
      <c r="M41" s="79">
        <f t="shared" ca="1" si="34"/>
        <v>284500</v>
      </c>
      <c r="N41" s="79">
        <f t="shared" ca="1" si="34"/>
        <v>257647</v>
      </c>
      <c r="O41" s="78">
        <f t="shared" ref="O41:O43" ca="1" si="35">IF(L41&gt;0,N41*100/L41,0)</f>
        <v>45.272711298541559</v>
      </c>
      <c r="P41" s="78">
        <f t="shared" ref="P41:P43" ca="1" si="36">IF(M41&gt;0,N41*100/M41,0)</f>
        <v>90.56133567662566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569100</v>
      </c>
      <c r="M43" s="79">
        <f t="shared" ca="1" si="38"/>
        <v>284500</v>
      </c>
      <c r="N43" s="79">
        <f t="shared" ca="1" si="38"/>
        <v>257647</v>
      </c>
      <c r="O43" s="78">
        <f t="shared" ca="1" si="35"/>
        <v>45.272711298541559</v>
      </c>
      <c r="P43" s="78">
        <f t="shared" ca="1" si="36"/>
        <v>90.56133567662566</v>
      </c>
    </row>
    <row r="44" spans="1:16" ht="21.75" customHeight="1" x14ac:dyDescent="0.45">
      <c r="A44" s="80"/>
      <c r="B44" s="81"/>
      <c r="C44" s="82" t="s">
        <v>16</v>
      </c>
      <c r="D44" s="549" t="s">
        <v>20</v>
      </c>
      <c r="E44" s="545"/>
      <c r="F44" s="54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569100</v>
      </c>
      <c r="M45" s="91">
        <f ca="1">IFERROR(__xludf.DUMMYFUNCTION("IMPORTRANGE(""https://docs.google.com/spreadsheets/d/1Yj_ptqi66GCucihVvJfMjLAmec39IyEx_6qawtMGysU/edit?usp=sharing"",""สบก!Q86"")"),284500)</f>
        <v>284500</v>
      </c>
      <c r="N45" s="91">
        <f ca="1">IFERROR(__xludf.DUMMYFUNCTION("IMPORTRANGE(""https://docs.google.com/spreadsheets/d/1Yj_ptqi66GCucihVvJfMjLAmec39IyEx_6qawtMGysU/edit?usp=sharing"",""สบก!R86"")"),257647)</f>
        <v>257647</v>
      </c>
      <c r="O45" s="92">
        <f ca="1">IF(L45&gt;0,N45*100/L45,0)</f>
        <v>45.272711298541559</v>
      </c>
      <c r="P45" s="92">
        <f ca="1">IF(M45&gt;0,N45*100/M45,0)</f>
        <v>90.56133567662566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IFERROR(__xludf.DUMMYFUNCTION("IMPORTRANGE(""https://docs.google.com/spreadsheets/d/1Yj_ptqi66GCucihVvJfMjLAmec39IyEx_6qawtMGysU/edit?usp=sharing"",""สบก!M86"")"),569100)</f>
        <v>569100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IFERROR(__xludf.DUMMYFUNCTION("IMPORTRANGE(""https://docs.google.com/spreadsheets/d/1Yj_ptqi66GCucihVvJfMjLAmec39IyEx_6qawtMGysU/edit?usp=sharing"",""สบก!N86"")"),0)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49" t="s">
        <v>23</v>
      </c>
      <c r="E48" s="54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IFERROR(__xludf.DUMMYFUNCTION("IMPORTRANGE(""https://docs.google.com/spreadsheets/d/1Yj_ptqi66GCucihVvJfMjLAmec39IyEx_6qawtMGysU/edit?usp=sharing"",""สบก!O86"")"),0)</f>
        <v>0</v>
      </c>
      <c r="M49" s="101"/>
      <c r="N49" s="91">
        <f ca="1">IFERROR(__xludf.DUMMYFUNCTION("IMPORTRANGE(""https://docs.google.com/spreadsheets/d/1Yj_ptqi66GCucihVvJfMjLAmec39IyEx_6qawtMGysU/edit?usp=sharing"",""สบก!S86"")"),0)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0" t="s">
        <v>32</v>
      </c>
      <c r="C52" s="545"/>
      <c r="D52" s="545"/>
      <c r="E52" s="545"/>
      <c r="F52" s="545"/>
      <c r="G52" s="54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1" t="s">
        <v>17</v>
      </c>
      <c r="E53" s="545"/>
      <c r="F53" s="545"/>
      <c r="G53" s="545"/>
      <c r="H53" s="122" t="s">
        <v>12</v>
      </c>
      <c r="I53" s="123"/>
      <c r="J53" s="123"/>
      <c r="K53" s="124"/>
      <c r="L53" s="125">
        <f t="shared" ref="L53:N53" ca="1" si="39">L54+L55</f>
        <v>350000</v>
      </c>
      <c r="M53" s="125">
        <f t="shared" ca="1" si="39"/>
        <v>234460</v>
      </c>
      <c r="N53" s="125">
        <f t="shared" ca="1" si="39"/>
        <v>195354</v>
      </c>
      <c r="O53" s="124">
        <f t="shared" ref="O53:O55" ca="1" si="40">IF(L53&gt;0,N53*100/L53,0)</f>
        <v>55.815428571428569</v>
      </c>
      <c r="P53" s="124">
        <f t="shared" ref="P53:P55" ca="1" si="41">IF(M53&gt;0,N53*100/M53,0)</f>
        <v>83.320822315107051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350000</v>
      </c>
      <c r="M55" s="125">
        <f t="shared" ca="1" si="43"/>
        <v>234460</v>
      </c>
      <c r="N55" s="125">
        <f t="shared" ca="1" si="43"/>
        <v>195354</v>
      </c>
      <c r="O55" s="124">
        <f t="shared" ca="1" si="40"/>
        <v>55.815428571428569</v>
      </c>
      <c r="P55" s="124">
        <f t="shared" ca="1" si="41"/>
        <v>83.320822315107051</v>
      </c>
    </row>
    <row r="56" spans="1:16" ht="21.75" customHeight="1" x14ac:dyDescent="0.45">
      <c r="A56" s="80"/>
      <c r="B56" s="81"/>
      <c r="C56" s="82" t="s">
        <v>16</v>
      </c>
      <c r="D56" s="549" t="s">
        <v>20</v>
      </c>
      <c r="E56" s="545"/>
      <c r="F56" s="54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350000</v>
      </c>
      <c r="M57" s="91">
        <f ca="1">IFERROR(__xludf.DUMMYFUNCTION("IMPORTRANGE(""https://docs.google.com/spreadsheets/d/1Yj_ptqi66GCucihVvJfMjLAmec39IyEx_6qawtMGysU/edit?usp=sharing"",""สบก!Z86"")"),234460)</f>
        <v>234460</v>
      </c>
      <c r="N57" s="91">
        <f ca="1">IFERROR(__xludf.DUMMYFUNCTION("IMPORTRANGE(""https://docs.google.com/spreadsheets/d/1Yj_ptqi66GCucihVvJfMjLAmec39IyEx_6qawtMGysU/edit?usp=sharing"",""สบก!AA86"")"),195354)</f>
        <v>195354</v>
      </c>
      <c r="O57" s="92">
        <f ca="1">IF(L57&gt;0,N57*100/L57,0)</f>
        <v>55.815428571428569</v>
      </c>
      <c r="P57" s="92">
        <f ca="1">IF(M57&gt;0,N57*100/M57,0)</f>
        <v>83.320822315107051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IFERROR(__xludf.DUMMYFUNCTION("IMPORTRANGE(""https://docs.google.com/spreadsheets/d/1Yj_ptqi66GCucihVvJfMjLAmec39IyEx_6qawtMGysU/edit?usp=sharing"",""สบก!V86"")"),350000)</f>
        <v>350000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IFERROR(__xludf.DUMMYFUNCTION("IMPORTRANGE(""https://docs.google.com/spreadsheets/d/1Yj_ptqi66GCucihVvJfMjLAmec39IyEx_6qawtMGysU/edit?usp=sharing"",""สบก!W86"")"),0)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49" t="s">
        <v>23</v>
      </c>
      <c r="E60" s="54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IFERROR(__xludf.DUMMYFUNCTION("IMPORTRANGE(""https://docs.google.com/spreadsheets/d/1Yj_ptqi66GCucihVvJfMjLAmec39IyEx_6qawtMGysU/edit?usp=sharing"",""สบก!X86"")"),0)</f>
        <v>0</v>
      </c>
      <c r="M61" s="101"/>
      <c r="N61" s="91">
        <f ca="1">IFERROR(__xludf.DUMMYFUNCTION("IMPORTRANGE(""https://docs.google.com/spreadsheets/d/1Yj_ptqi66GCucihVvJfMjLAmec39IyEx_6qawtMGysU/edit?usp=sharing"",""สบก!AB86"")"),0)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IFERROR(__xludf.DUMMYFUNCTION("IMPORTRANGE(""https://docs.google.com/spreadsheets/d/1IYY_tgx_IHuhSq3AJ5eI5OnqOPBNLWSHKh2a30DoXe8/edit?usp=sharing"",""ปัตตานี!I9"")"),0)</f>
        <v>0</v>
      </c>
      <c r="J64" s="146">
        <f ca="1">IFERROR(__xludf.DUMMYFUNCTION("IMPORTRANGE(""https://docs.google.com/spreadsheets/d/1IYY_tgx_IHuhSq3AJ5eI5OnqOPBNLWSHKh2a30DoXe8/edit?usp=sharing"",""ปัตตานี!J9"")"),0)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IFERROR(__xludf.DUMMYFUNCTION("IMPORTRANGE(""https://docs.google.com/spreadsheets/d/1IYY_tgx_IHuhSq3AJ5eI5OnqOPBNLWSHKh2a30DoXe8/edit?usp=sharing"",""ปัตตานี!I10"")"),0)</f>
        <v>0</v>
      </c>
      <c r="J65" s="146">
        <f ca="1">IFERROR(__xludf.DUMMYFUNCTION("IMPORTRANGE(""https://docs.google.com/spreadsheets/d/1IYY_tgx_IHuhSq3AJ5eI5OnqOPBNLWSHKh2a30DoXe8/edit?usp=sharing"",""ปัตตานี!J10"")"),0)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52" t="s">
        <v>17</v>
      </c>
      <c r="E66" s="543"/>
      <c r="F66" s="543"/>
      <c r="G66" s="54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5">
      <c r="A69" s="162"/>
      <c r="B69" s="163"/>
      <c r="C69" s="163" t="s">
        <v>16</v>
      </c>
      <c r="D69" s="164" t="s">
        <v>38</v>
      </c>
      <c r="E69" s="165"/>
      <c r="F69" s="165"/>
      <c r="G69" s="166" t="s">
        <v>39</v>
      </c>
      <c r="H69" s="167" t="s">
        <v>12</v>
      </c>
      <c r="I69" s="168" t="s">
        <v>40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 x14ac:dyDescent="0.35">
      <c r="A70" s="162"/>
      <c r="B70" s="163"/>
      <c r="C70" s="163"/>
      <c r="D70" s="172"/>
      <c r="E70" s="165"/>
      <c r="F70" s="165" t="s">
        <v>40</v>
      </c>
      <c r="G70" s="166" t="s">
        <v>41</v>
      </c>
      <c r="H70" s="167" t="s">
        <v>12</v>
      </c>
      <c r="I70" s="168"/>
      <c r="J70" s="168"/>
      <c r="K70" s="169"/>
      <c r="L70" s="173">
        <f ca="1">L71+L72</f>
        <v>0</v>
      </c>
      <c r="M70" s="174">
        <f ca="1">IFERROR(__xludf.DUMMYFUNCTION("IMPORTRANGE(""https://docs.google.com/spreadsheets/d/1Yj_ptqi66GCucihVvJfMjLAmec39IyEx_6qawtMGysU/edit?usp=sharing"",""สบก!AI86"")"),0)</f>
        <v>0</v>
      </c>
      <c r="N70" s="175">
        <f ca="1">IFERROR(__xludf.DUMMYFUNCTION("IMPORTRANGE(""https://docs.google.com/spreadsheets/d/1Yj_ptqi66GCucihVvJfMjLAmec39IyEx_6qawtMGysU/edit?usp=sharing"",""สบก!AJ86"")"),0)</f>
        <v>0</v>
      </c>
      <c r="O70" s="176">
        <f ca="1">IF(L70&gt;0,N70*100/L70,0)</f>
        <v>0</v>
      </c>
      <c r="P70" s="176">
        <f ca="1">IF(M70&gt;0,N70*100/M70,0)</f>
        <v>0</v>
      </c>
    </row>
    <row r="71" spans="1:16" ht="21.75" customHeight="1" x14ac:dyDescent="0.35">
      <c r="A71" s="162"/>
      <c r="B71" s="163"/>
      <c r="C71" s="163"/>
      <c r="D71" s="172"/>
      <c r="E71" s="165"/>
      <c r="F71" s="165"/>
      <c r="G71" s="177" t="s">
        <v>42</v>
      </c>
      <c r="H71" s="167" t="s">
        <v>12</v>
      </c>
      <c r="I71" s="168"/>
      <c r="J71" s="168"/>
      <c r="K71" s="169"/>
      <c r="L71" s="174">
        <f ca="1">IFERROR(__xludf.DUMMYFUNCTION("IMPORTRANGE(""https://docs.google.com/spreadsheets/d/1Yj_ptqi66GCucihVvJfMjLAmec39IyEx_6qawtMGysU/edit?usp=sharing"",""สบก!AE86"")"),0)</f>
        <v>0</v>
      </c>
      <c r="M71" s="173"/>
      <c r="N71" s="173"/>
      <c r="O71" s="176"/>
      <c r="P71" s="176"/>
    </row>
    <row r="72" spans="1:16" ht="21.75" customHeight="1" x14ac:dyDescent="0.35">
      <c r="A72" s="162"/>
      <c r="B72" s="163"/>
      <c r="C72" s="163"/>
      <c r="D72" s="172"/>
      <c r="E72" s="165"/>
      <c r="F72" s="165"/>
      <c r="G72" s="177" t="s">
        <v>43</v>
      </c>
      <c r="H72" s="167" t="s">
        <v>12</v>
      </c>
      <c r="I72" s="168"/>
      <c r="J72" s="168"/>
      <c r="K72" s="169"/>
      <c r="L72" s="174">
        <f ca="1">IFERROR(__xludf.DUMMYFUNCTION("IMPORTRANGE(""https://docs.google.com/spreadsheets/d/1Yj_ptqi66GCucihVvJfMjLAmec39IyEx_6qawtMGysU/edit?usp=sharing"",""สบก!AF86"")"),0)</f>
        <v>0</v>
      </c>
      <c r="M72" s="173"/>
      <c r="N72" s="173"/>
      <c r="O72" s="176"/>
      <c r="P72" s="176"/>
    </row>
    <row r="73" spans="1:16" ht="21.75" customHeight="1" x14ac:dyDescent="0.45">
      <c r="A73" s="178"/>
      <c r="B73" s="81"/>
      <c r="C73" s="82" t="s">
        <v>16</v>
      </c>
      <c r="D73" s="549" t="s">
        <v>23</v>
      </c>
      <c r="E73" s="545"/>
      <c r="F73" s="89"/>
      <c r="G73" s="83" t="s">
        <v>18</v>
      </c>
      <c r="H73" s="179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80"/>
      <c r="B74" s="95"/>
      <c r="C74" s="95"/>
      <c r="D74" s="181"/>
      <c r="E74" s="96"/>
      <c r="F74" s="96"/>
      <c r="G74" s="97" t="s">
        <v>19</v>
      </c>
      <c r="H74" s="182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IFERROR(__xludf.DUMMYFUNCTION("IMPORTRANGE(""https://docs.google.com/spreadsheets/d/1Yj_ptqi66GCucihVvJfMjLAmec39IyEx_6qawtMGysU/edit?usp=sharing"",""สบก!AG86"")"),0)</f>
        <v>0</v>
      </c>
      <c r="M74" s="101"/>
      <c r="N74" s="91">
        <f ca="1">IFERROR(__xludf.DUMMYFUNCTION("IMPORTRANGE(""https://docs.google.com/spreadsheets/d/1Yj_ptqi66GCucihVvJfMjLAmec39IyEx_6qawtMGysU/edit?usp=sharing"",""สบก!AK86"")"),0)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3"/>
      <c r="B75" s="184"/>
      <c r="C75" s="163" t="s">
        <v>16</v>
      </c>
      <c r="D75" s="185" t="s">
        <v>44</v>
      </c>
      <c r="E75" s="186"/>
      <c r="F75" s="186"/>
      <c r="G75" s="187"/>
      <c r="H75" s="188"/>
      <c r="I75" s="168"/>
      <c r="J75" s="168"/>
      <c r="K75" s="169"/>
      <c r="L75" s="189"/>
      <c r="M75" s="189"/>
      <c r="N75" s="189"/>
      <c r="O75" s="189"/>
      <c r="P75" s="189"/>
    </row>
    <row r="76" spans="1:16" ht="21.75" customHeight="1" x14ac:dyDescent="0.35">
      <c r="A76" s="183"/>
      <c r="B76" s="184"/>
      <c r="C76" s="184"/>
      <c r="D76" s="190">
        <v>1</v>
      </c>
      <c r="E76" s="191" t="s">
        <v>45</v>
      </c>
      <c r="F76" s="192"/>
      <c r="G76" s="193"/>
      <c r="H76" s="194"/>
      <c r="I76" s="195"/>
      <c r="J76" s="196">
        <f ca="1">IFERROR(__xludf.DUMMYFUNCTION("IMPORTRANGE(""https://docs.google.com/spreadsheets/d/1IYY_tgx_IHuhSq3AJ5eI5OnqOPBNLWSHKh2a30DoXe8/edit?usp=sharing"",""ปัตตานี!J16"")"),0)</f>
        <v>0</v>
      </c>
      <c r="K76" s="169"/>
      <c r="L76" s="189"/>
      <c r="M76" s="189"/>
      <c r="N76" s="189"/>
      <c r="O76" s="189"/>
      <c r="P76" s="189"/>
    </row>
    <row r="77" spans="1:16" ht="21.75" customHeight="1" x14ac:dyDescent="0.35">
      <c r="A77" s="183"/>
      <c r="B77" s="184"/>
      <c r="C77" s="184"/>
      <c r="D77" s="197">
        <v>2</v>
      </c>
      <c r="E77" s="198" t="s">
        <v>46</v>
      </c>
      <c r="F77" s="199"/>
      <c r="G77" s="200"/>
      <c r="H77" s="194"/>
      <c r="I77" s="195"/>
      <c r="J77" s="196">
        <f ca="1">IFERROR(__xludf.DUMMYFUNCTION("IMPORTRANGE(""https://docs.google.com/spreadsheets/d/1IYY_tgx_IHuhSq3AJ5eI5OnqOPBNLWSHKh2a30DoXe8/edit?usp=sharing"",""ปัตตานี!J17"")"),0)</f>
        <v>0</v>
      </c>
      <c r="K77" s="169"/>
      <c r="L77" s="189" t="s">
        <v>40</v>
      </c>
      <c r="M77" s="189"/>
      <c r="N77" s="189" t="s">
        <v>40</v>
      </c>
      <c r="O77" s="189"/>
      <c r="P77" s="189"/>
    </row>
    <row r="78" spans="1:16" ht="21.75" customHeight="1" x14ac:dyDescent="0.35">
      <c r="A78" s="183"/>
      <c r="B78" s="184"/>
      <c r="C78" s="184"/>
      <c r="D78" s="201"/>
      <c r="E78" s="202" t="s">
        <v>47</v>
      </c>
      <c r="F78" s="203"/>
      <c r="G78" s="204"/>
      <c r="H78" s="194"/>
      <c r="I78" s="195"/>
      <c r="J78" s="196">
        <f ca="1">IFERROR(__xludf.DUMMYFUNCTION("IMPORTRANGE(""https://docs.google.com/spreadsheets/d/1IYY_tgx_IHuhSq3AJ5eI5OnqOPBNLWSHKh2a30DoXe8/edit?usp=sharing"",""ปัตตานี!J18"")"),0)</f>
        <v>0</v>
      </c>
      <c r="K78" s="169"/>
      <c r="L78" s="189"/>
      <c r="M78" s="189"/>
      <c r="N78" s="189"/>
      <c r="O78" s="189"/>
      <c r="P78" s="189"/>
    </row>
    <row r="79" spans="1:16" ht="21.75" customHeight="1" x14ac:dyDescent="0.35">
      <c r="A79" s="183"/>
      <c r="B79" s="184"/>
      <c r="C79" s="184"/>
      <c r="D79" s="201"/>
      <c r="E79" s="202" t="s">
        <v>48</v>
      </c>
      <c r="F79" s="203"/>
      <c r="G79" s="204"/>
      <c r="H79" s="194"/>
      <c r="I79" s="195"/>
      <c r="J79" s="205">
        <f ca="1">IFERROR(__xludf.DUMMYFUNCTION("IMPORTRANGE(""https://docs.google.com/spreadsheets/d/1IYY_tgx_IHuhSq3AJ5eI5OnqOPBNLWSHKh2a30DoXe8/edit?usp=sharing"",""ปัตตานี!J19"")"),0)</f>
        <v>0</v>
      </c>
      <c r="K79" s="169"/>
      <c r="L79" s="189"/>
      <c r="M79" s="189"/>
      <c r="N79" s="189"/>
      <c r="O79" s="189"/>
      <c r="P79" s="189"/>
    </row>
    <row r="80" spans="1:16" ht="21.75" customHeight="1" x14ac:dyDescent="0.35">
      <c r="A80" s="183"/>
      <c r="B80" s="184"/>
      <c r="C80" s="184"/>
      <c r="D80" s="201"/>
      <c r="E80" s="206"/>
      <c r="F80" s="202" t="s">
        <v>49</v>
      </c>
      <c r="G80" s="203"/>
      <c r="H80" s="207" t="s">
        <v>36</v>
      </c>
      <c r="I80" s="208">
        <f ca="1">IFERROR(__xludf.DUMMYFUNCTION("IMPORTRANGE(""https://docs.google.com/spreadsheets/d/1IYY_tgx_IHuhSq3AJ5eI5OnqOPBNLWSHKh2a30DoXe8/edit?usp=sharing"",""ปัตตานี!I20"")"),0)</f>
        <v>0</v>
      </c>
      <c r="J80" s="208">
        <f ca="1">IFERROR(__xludf.DUMMYFUNCTION("IMPORTRANGE(""https://docs.google.com/spreadsheets/d/1IYY_tgx_IHuhSq3AJ5eI5OnqOPBNLWSHKh2a30DoXe8/edit?usp=sharing"",""ปัตตานี!J20"")"),0)</f>
        <v>0</v>
      </c>
      <c r="K80" s="209">
        <f t="shared" ref="K80:K88" ca="1" si="50">IF(I80&gt;0,J80*100/I80,0)</f>
        <v>0</v>
      </c>
      <c r="L80" s="189"/>
      <c r="M80" s="189"/>
      <c r="N80" s="189"/>
      <c r="O80" s="189"/>
      <c r="P80" s="189"/>
    </row>
    <row r="81" spans="1:16" ht="21.75" customHeight="1" x14ac:dyDescent="0.35">
      <c r="A81" s="183"/>
      <c r="B81" s="184"/>
      <c r="C81" s="184"/>
      <c r="D81" s="201"/>
      <c r="E81" s="206"/>
      <c r="F81" s="203"/>
      <c r="G81" s="204"/>
      <c r="H81" s="207" t="s">
        <v>37</v>
      </c>
      <c r="I81" s="208">
        <f ca="1">IFERROR(__xludf.DUMMYFUNCTION("IMPORTRANGE(""https://docs.google.com/spreadsheets/d/1IYY_tgx_IHuhSq3AJ5eI5OnqOPBNLWSHKh2a30DoXe8/edit?usp=sharing"",""ปัตตานี!I21"")"),0)</f>
        <v>0</v>
      </c>
      <c r="J81" s="208">
        <f ca="1">IFERROR(__xludf.DUMMYFUNCTION("IMPORTRANGE(""https://docs.google.com/spreadsheets/d/1IYY_tgx_IHuhSq3AJ5eI5OnqOPBNLWSHKh2a30DoXe8/edit?usp=sharing"",""ปัตตานี!J21"")"),0)</f>
        <v>0</v>
      </c>
      <c r="K81" s="209">
        <f t="shared" ca="1" si="50"/>
        <v>0</v>
      </c>
      <c r="L81" s="189"/>
      <c r="M81" s="189"/>
      <c r="N81" s="189"/>
      <c r="O81" s="189"/>
      <c r="P81" s="189"/>
    </row>
    <row r="82" spans="1:16" ht="21.75" customHeight="1" x14ac:dyDescent="0.35">
      <c r="A82" s="183"/>
      <c r="B82" s="184"/>
      <c r="C82" s="184"/>
      <c r="D82" s="201"/>
      <c r="E82" s="206"/>
      <c r="F82" s="203"/>
      <c r="G82" s="203" t="s">
        <v>50</v>
      </c>
      <c r="H82" s="188" t="s">
        <v>36</v>
      </c>
      <c r="I82" s="210">
        <f ca="1">IFERROR(__xludf.DUMMYFUNCTION("IMPORTRANGE(""https://docs.google.com/spreadsheets/d/1IYY_tgx_IHuhSq3AJ5eI5OnqOPBNLWSHKh2a30DoXe8/edit?usp=sharing"",""ปัตตานี!I22"")"),0)</f>
        <v>0</v>
      </c>
      <c r="J82" s="211">
        <f ca="1">IFERROR(__xludf.DUMMYFUNCTION("IMPORTRANGE(""https://docs.google.com/spreadsheets/d/1IYY_tgx_IHuhSq3AJ5eI5OnqOPBNLWSHKh2a30DoXe8/edit?usp=sharing"",""ปัตตานี!J22"")"),0)</f>
        <v>0</v>
      </c>
      <c r="K82" s="169">
        <f t="shared" ca="1" si="50"/>
        <v>0</v>
      </c>
      <c r="L82" s="189"/>
      <c r="M82" s="189"/>
      <c r="N82" s="189"/>
      <c r="O82" s="189"/>
      <c r="P82" s="189"/>
    </row>
    <row r="83" spans="1:16" ht="21.75" customHeight="1" x14ac:dyDescent="0.35">
      <c r="A83" s="183"/>
      <c r="B83" s="184"/>
      <c r="C83" s="184"/>
      <c r="D83" s="201"/>
      <c r="E83" s="206"/>
      <c r="F83" s="203"/>
      <c r="G83" s="204"/>
      <c r="H83" s="188" t="s">
        <v>37</v>
      </c>
      <c r="I83" s="210">
        <f ca="1">IFERROR(__xludf.DUMMYFUNCTION("IMPORTRANGE(""https://docs.google.com/spreadsheets/d/1IYY_tgx_IHuhSq3AJ5eI5OnqOPBNLWSHKh2a30DoXe8/edit?usp=sharing"",""ปัตตานี!I23"")"),0)</f>
        <v>0</v>
      </c>
      <c r="J83" s="211">
        <f ca="1">IFERROR(__xludf.DUMMYFUNCTION("IMPORTRANGE(""https://docs.google.com/spreadsheets/d/1IYY_tgx_IHuhSq3AJ5eI5OnqOPBNLWSHKh2a30DoXe8/edit?usp=sharing"",""ปัตตานี!J23"")"),0)</f>
        <v>0</v>
      </c>
      <c r="K83" s="169">
        <f t="shared" ca="1" si="50"/>
        <v>0</v>
      </c>
      <c r="L83" s="189"/>
      <c r="M83" s="189"/>
      <c r="N83" s="189"/>
      <c r="O83" s="189"/>
      <c r="P83" s="189"/>
    </row>
    <row r="84" spans="1:16" ht="21.75" customHeight="1" x14ac:dyDescent="0.35">
      <c r="A84" s="183"/>
      <c r="B84" s="184"/>
      <c r="C84" s="184"/>
      <c r="D84" s="201"/>
      <c r="E84" s="206"/>
      <c r="F84" s="203"/>
      <c r="G84" s="203" t="s">
        <v>51</v>
      </c>
      <c r="H84" s="188" t="s">
        <v>36</v>
      </c>
      <c r="I84" s="210">
        <f ca="1">IFERROR(__xludf.DUMMYFUNCTION("IMPORTRANGE(""https://docs.google.com/spreadsheets/d/1IYY_tgx_IHuhSq3AJ5eI5OnqOPBNLWSHKh2a30DoXe8/edit?usp=sharing"",""ปัตตานี!I24"")"),0)</f>
        <v>0</v>
      </c>
      <c r="J84" s="196">
        <f ca="1">IFERROR(__xludf.DUMMYFUNCTION("IMPORTRANGE(""https://docs.google.com/spreadsheets/d/1IYY_tgx_IHuhSq3AJ5eI5OnqOPBNLWSHKh2a30DoXe8/edit?usp=sharing"",""ปัตตานี!J24"")"),0)</f>
        <v>0</v>
      </c>
      <c r="K84" s="169">
        <f t="shared" ca="1" si="50"/>
        <v>0</v>
      </c>
      <c r="L84" s="189"/>
      <c r="M84" s="189"/>
      <c r="N84" s="189"/>
      <c r="O84" s="189"/>
      <c r="P84" s="189"/>
    </row>
    <row r="85" spans="1:16" ht="21.75" customHeight="1" x14ac:dyDescent="0.35">
      <c r="A85" s="183"/>
      <c r="B85" s="184"/>
      <c r="C85" s="184"/>
      <c r="D85" s="201"/>
      <c r="E85" s="206"/>
      <c r="F85" s="203"/>
      <c r="G85" s="204"/>
      <c r="H85" s="188" t="s">
        <v>37</v>
      </c>
      <c r="I85" s="210">
        <f ca="1">IFERROR(__xludf.DUMMYFUNCTION("IMPORTRANGE(""https://docs.google.com/spreadsheets/d/1IYY_tgx_IHuhSq3AJ5eI5OnqOPBNLWSHKh2a30DoXe8/edit?usp=sharing"",""ปัตตานี!I25"")"),0)</f>
        <v>0</v>
      </c>
      <c r="J85" s="196">
        <f ca="1">IFERROR(__xludf.DUMMYFUNCTION("IMPORTRANGE(""https://docs.google.com/spreadsheets/d/1IYY_tgx_IHuhSq3AJ5eI5OnqOPBNLWSHKh2a30DoXe8/edit?usp=sharing"",""ปัตตานี!J25"")"),0)</f>
        <v>0</v>
      </c>
      <c r="K85" s="169">
        <f t="shared" ca="1" si="50"/>
        <v>0</v>
      </c>
      <c r="L85" s="189"/>
      <c r="M85" s="189"/>
      <c r="N85" s="189"/>
      <c r="O85" s="189"/>
      <c r="P85" s="189"/>
    </row>
    <row r="86" spans="1:16" ht="21.75" customHeight="1" x14ac:dyDescent="0.35">
      <c r="A86" s="183"/>
      <c r="B86" s="184"/>
      <c r="C86" s="184"/>
      <c r="D86" s="201"/>
      <c r="E86" s="206"/>
      <c r="F86" s="203"/>
      <c r="G86" s="203" t="s">
        <v>52</v>
      </c>
      <c r="H86" s="188" t="s">
        <v>36</v>
      </c>
      <c r="I86" s="210">
        <f ca="1">IFERROR(__xludf.DUMMYFUNCTION("IMPORTRANGE(""https://docs.google.com/spreadsheets/d/1IYY_tgx_IHuhSq3AJ5eI5OnqOPBNLWSHKh2a30DoXe8/edit?usp=sharing"",""ปัตตานี!I26"")"),0)</f>
        <v>0</v>
      </c>
      <c r="J86" s="211">
        <f ca="1">IFERROR(__xludf.DUMMYFUNCTION("IMPORTRANGE(""https://docs.google.com/spreadsheets/d/1IYY_tgx_IHuhSq3AJ5eI5OnqOPBNLWSHKh2a30DoXe8/edit?usp=sharing"",""ปัตตานี!J26"")"),0)</f>
        <v>0</v>
      </c>
      <c r="K86" s="169">
        <f t="shared" ca="1" si="50"/>
        <v>0</v>
      </c>
      <c r="L86" s="189"/>
      <c r="M86" s="189"/>
      <c r="N86" s="189"/>
      <c r="O86" s="189"/>
      <c r="P86" s="189"/>
    </row>
    <row r="87" spans="1:16" ht="21.75" customHeight="1" x14ac:dyDescent="0.35">
      <c r="A87" s="183"/>
      <c r="B87" s="184"/>
      <c r="C87" s="184"/>
      <c r="D87" s="201"/>
      <c r="E87" s="206"/>
      <c r="F87" s="203"/>
      <c r="G87" s="204"/>
      <c r="H87" s="188" t="s">
        <v>37</v>
      </c>
      <c r="I87" s="210">
        <f ca="1">IFERROR(__xludf.DUMMYFUNCTION("IMPORTRANGE(""https://docs.google.com/spreadsheets/d/1IYY_tgx_IHuhSq3AJ5eI5OnqOPBNLWSHKh2a30DoXe8/edit?usp=sharing"",""ปัตตานี!I27"")"),0)</f>
        <v>0</v>
      </c>
      <c r="J87" s="211">
        <f ca="1">IFERROR(__xludf.DUMMYFUNCTION("IMPORTRANGE(""https://docs.google.com/spreadsheets/d/1IYY_tgx_IHuhSq3AJ5eI5OnqOPBNLWSHKh2a30DoXe8/edit?usp=sharing"",""ปัตตานี!J27"")"),0)</f>
        <v>0</v>
      </c>
      <c r="K87" s="169">
        <f t="shared" ca="1" si="50"/>
        <v>0</v>
      </c>
      <c r="L87" s="189"/>
      <c r="M87" s="189"/>
      <c r="N87" s="189"/>
      <c r="O87" s="189"/>
      <c r="P87" s="189"/>
    </row>
    <row r="88" spans="1:16" ht="21.75" customHeight="1" x14ac:dyDescent="0.35">
      <c r="A88" s="183"/>
      <c r="B88" s="184"/>
      <c r="C88" s="184"/>
      <c r="D88" s="201"/>
      <c r="E88" s="206"/>
      <c r="F88" s="212" t="s">
        <v>53</v>
      </c>
      <c r="G88" s="203"/>
      <c r="H88" s="188" t="s">
        <v>37</v>
      </c>
      <c r="I88" s="210">
        <f ca="1">IFERROR(__xludf.DUMMYFUNCTION("IMPORTRANGE(""https://docs.google.com/spreadsheets/d/1IYY_tgx_IHuhSq3AJ5eI5OnqOPBNLWSHKh2a30DoXe8/edit?usp=sharing"",""ปัตตานี!I28"")"),0)</f>
        <v>0</v>
      </c>
      <c r="J88" s="211">
        <f ca="1">IFERROR(__xludf.DUMMYFUNCTION("IMPORTRANGE(""https://docs.google.com/spreadsheets/d/1IYY_tgx_IHuhSq3AJ5eI5OnqOPBNLWSHKh2a30DoXe8/edit?usp=sharing"",""ปัตตานี!J28"")"),0)</f>
        <v>0</v>
      </c>
      <c r="K88" s="169">
        <f t="shared" ca="1" si="50"/>
        <v>0</v>
      </c>
      <c r="L88" s="189"/>
      <c r="M88" s="189"/>
      <c r="N88" s="189"/>
      <c r="O88" s="189"/>
      <c r="P88" s="189"/>
    </row>
    <row r="89" spans="1:16" ht="21.75" customHeight="1" x14ac:dyDescent="0.35">
      <c r="A89" s="183"/>
      <c r="B89" s="184"/>
      <c r="C89" s="184"/>
      <c r="D89" s="201"/>
      <c r="E89" s="202" t="s">
        <v>54</v>
      </c>
      <c r="F89" s="203"/>
      <c r="G89" s="204"/>
      <c r="H89" s="194"/>
      <c r="I89" s="195"/>
      <c r="J89" s="205">
        <f ca="1">IFERROR(__xludf.DUMMYFUNCTION("IMPORTRANGE(""https://docs.google.com/spreadsheets/d/1IYY_tgx_IHuhSq3AJ5eI5OnqOPBNLWSHKh2a30DoXe8/edit?usp=sharing"",""ปัตตานี!J29"")"),0)</f>
        <v>0</v>
      </c>
      <c r="K89" s="169"/>
      <c r="L89" s="189"/>
      <c r="M89" s="189"/>
      <c r="N89" s="189"/>
      <c r="O89" s="189"/>
      <c r="P89" s="189"/>
    </row>
    <row r="90" spans="1:16" ht="21.75" customHeight="1" x14ac:dyDescent="0.35">
      <c r="A90" s="183"/>
      <c r="B90" s="184"/>
      <c r="C90" s="184"/>
      <c r="D90" s="213">
        <v>3</v>
      </c>
      <c r="E90" s="214" t="s">
        <v>55</v>
      </c>
      <c r="F90" s="215"/>
      <c r="G90" s="216"/>
      <c r="H90" s="194"/>
      <c r="I90" s="195"/>
      <c r="J90" s="217">
        <f ca="1">IFERROR(__xludf.DUMMYFUNCTION("IMPORTRANGE(""https://docs.google.com/spreadsheets/d/1IYY_tgx_IHuhSq3AJ5eI5OnqOPBNLWSHKh2a30DoXe8/edit?usp=sharing"",""ปัตตานี!J30"")"),0)</f>
        <v>0</v>
      </c>
      <c r="K90" s="169"/>
      <c r="L90" s="189"/>
      <c r="M90" s="189"/>
      <c r="N90" s="189"/>
      <c r="O90" s="189"/>
      <c r="P90" s="189"/>
    </row>
    <row r="91" spans="1:16" ht="21.75" customHeight="1" x14ac:dyDescent="0.35">
      <c r="A91" s="218" t="s">
        <v>56</v>
      </c>
      <c r="B91" s="219"/>
      <c r="C91" s="220"/>
      <c r="D91" s="219"/>
      <c r="E91" s="221"/>
      <c r="F91" s="221"/>
      <c r="G91" s="222"/>
      <c r="H91" s="223"/>
      <c r="I91" s="224"/>
      <c r="J91" s="224"/>
      <c r="K91" s="225"/>
      <c r="L91" s="226"/>
      <c r="M91" s="226"/>
      <c r="N91" s="226"/>
      <c r="O91" s="227"/>
      <c r="P91" s="227"/>
    </row>
    <row r="92" spans="1:16" ht="21.75" customHeight="1" x14ac:dyDescent="0.35">
      <c r="A92" s="142"/>
      <c r="B92" s="143" t="s">
        <v>57</v>
      </c>
      <c r="C92" s="143"/>
      <c r="D92" s="144"/>
      <c r="E92" s="143"/>
      <c r="F92" s="143"/>
      <c r="G92" s="228"/>
      <c r="H92" s="145" t="s">
        <v>37</v>
      </c>
      <c r="I92" s="146">
        <f ca="1">IFERROR(__xludf.DUMMYFUNCTION("IMPORTRANGE(""https://docs.google.com/spreadsheets/d/1IYY_tgx_IHuhSq3AJ5eI5OnqOPBNLWSHKh2a30DoXe8/edit?usp=sharing"",""ปัตตานี!I32"")"),0)</f>
        <v>0</v>
      </c>
      <c r="J92" s="146">
        <f ca="1">IFERROR(__xludf.DUMMYFUNCTION("IMPORTRANGE(""https://docs.google.com/spreadsheets/d/1IYY_tgx_IHuhSq3AJ5eI5OnqOPBNLWSHKh2a30DoXe8/edit?usp=sharing"",""ปัตตานี!J32"")"),0)</f>
        <v>0</v>
      </c>
      <c r="K92" s="147">
        <f t="shared" ref="K92:K93" ca="1" si="51">IF(I92&gt;0,J92*100/I92,0)</f>
        <v>0</v>
      </c>
      <c r="L92" s="229"/>
      <c r="M92" s="229"/>
      <c r="N92" s="230"/>
      <c r="O92" s="147"/>
      <c r="P92" s="147"/>
    </row>
    <row r="93" spans="1:16" ht="21.75" customHeight="1" x14ac:dyDescent="0.35">
      <c r="A93" s="142"/>
      <c r="B93" s="143"/>
      <c r="C93" s="143"/>
      <c r="D93" s="144" t="s">
        <v>58</v>
      </c>
      <c r="E93" s="143"/>
      <c r="F93" s="143"/>
      <c r="G93" s="228"/>
      <c r="H93" s="145" t="s">
        <v>59</v>
      </c>
      <c r="I93" s="146">
        <f ca="1">IFERROR(__xludf.DUMMYFUNCTION("IMPORTRANGE(""https://docs.google.com/spreadsheets/d/1IYY_tgx_IHuhSq3AJ5eI5OnqOPBNLWSHKh2a30DoXe8/edit?usp=sharing"",""ปัตตานี!I33"")"),0)</f>
        <v>0</v>
      </c>
      <c r="J93" s="146">
        <f ca="1">IFERROR(__xludf.DUMMYFUNCTION("IMPORTRANGE(""https://docs.google.com/spreadsheets/d/1IYY_tgx_IHuhSq3AJ5eI5OnqOPBNLWSHKh2a30DoXe8/edit?usp=sharing"",""ปัตตานี!J33"")"),0)</f>
        <v>0</v>
      </c>
      <c r="K93" s="147">
        <f t="shared" ca="1" si="51"/>
        <v>0</v>
      </c>
      <c r="L93" s="230"/>
      <c r="M93" s="230"/>
      <c r="N93" s="230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52" t="s">
        <v>17</v>
      </c>
      <c r="E94" s="543"/>
      <c r="F94" s="543"/>
      <c r="G94" s="543"/>
      <c r="H94" s="153" t="s">
        <v>12</v>
      </c>
      <c r="I94" s="168"/>
      <c r="J94" s="168"/>
      <c r="K94" s="169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8"/>
      <c r="J95" s="168"/>
      <c r="K95" s="169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8"/>
      <c r="J96" s="168"/>
      <c r="K96" s="169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5">
      <c r="A97" s="162"/>
      <c r="B97" s="163"/>
      <c r="C97" s="163" t="s">
        <v>16</v>
      </c>
      <c r="D97" s="164" t="s">
        <v>38</v>
      </c>
      <c r="E97" s="165"/>
      <c r="F97" s="165"/>
      <c r="G97" s="166" t="s">
        <v>39</v>
      </c>
      <c r="H97" s="167" t="s">
        <v>12</v>
      </c>
      <c r="I97" s="168" t="s">
        <v>40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 x14ac:dyDescent="0.35">
      <c r="A98" s="162"/>
      <c r="B98" s="163"/>
      <c r="C98" s="163"/>
      <c r="D98" s="172"/>
      <c r="E98" s="165"/>
      <c r="F98" s="165" t="s">
        <v>40</v>
      </c>
      <c r="G98" s="166" t="s">
        <v>41</v>
      </c>
      <c r="H98" s="167" t="s">
        <v>12</v>
      </c>
      <c r="I98" s="168"/>
      <c r="J98" s="168"/>
      <c r="K98" s="169"/>
      <c r="L98" s="173">
        <f ca="1">L99+L100</f>
        <v>0</v>
      </c>
      <c r="M98" s="174">
        <f ca="1">IFERROR(__xludf.DUMMYFUNCTION("IMPORTRANGE(""https://docs.google.com/spreadsheets/d/1Yj_ptqi66GCucihVvJfMjLAmec39IyEx_6qawtMGysU/edit?usp=sharing"",""สบก!AR86"")"),0)</f>
        <v>0</v>
      </c>
      <c r="N98" s="175">
        <f ca="1">IFERROR(__xludf.DUMMYFUNCTION("IMPORTRANGE(""https://docs.google.com/spreadsheets/d/1Yj_ptqi66GCucihVvJfMjLAmec39IyEx_6qawtMGysU/edit?usp=sharing"",""สบก!AS86"")"),0)</f>
        <v>0</v>
      </c>
      <c r="O98" s="176">
        <f ca="1">IF(L98&gt;0,N98*100/L98,0)</f>
        <v>0</v>
      </c>
      <c r="P98" s="176">
        <f ca="1">IF(M98&gt;0,N98*100/M98,0)</f>
        <v>0</v>
      </c>
    </row>
    <row r="99" spans="1:16" ht="21.75" customHeight="1" x14ac:dyDescent="0.35">
      <c r="A99" s="162"/>
      <c r="B99" s="163"/>
      <c r="C99" s="163"/>
      <c r="D99" s="172"/>
      <c r="E99" s="165"/>
      <c r="F99" s="165"/>
      <c r="G99" s="177" t="s">
        <v>42</v>
      </c>
      <c r="H99" s="167" t="s">
        <v>12</v>
      </c>
      <c r="I99" s="168"/>
      <c r="J99" s="168"/>
      <c r="K99" s="169"/>
      <c r="L99" s="174">
        <f ca="1">IFERROR(__xludf.DUMMYFUNCTION("IMPORTRANGE(""https://docs.google.com/spreadsheets/d/1Yj_ptqi66GCucihVvJfMjLAmec39IyEx_6qawtMGysU/edit?usp=sharing"",""สบก!AN86"")"),0)</f>
        <v>0</v>
      </c>
      <c r="M99" s="173"/>
      <c r="N99" s="173"/>
      <c r="O99" s="176"/>
      <c r="P99" s="176"/>
    </row>
    <row r="100" spans="1:16" ht="21.75" customHeight="1" x14ac:dyDescent="0.35">
      <c r="A100" s="162"/>
      <c r="B100" s="163"/>
      <c r="C100" s="163"/>
      <c r="D100" s="172"/>
      <c r="E100" s="165"/>
      <c r="F100" s="165"/>
      <c r="G100" s="177" t="s">
        <v>43</v>
      </c>
      <c r="H100" s="167" t="s">
        <v>12</v>
      </c>
      <c r="I100" s="168"/>
      <c r="J100" s="195"/>
      <c r="K100" s="231"/>
      <c r="L100" s="174">
        <f ca="1">IFERROR(__xludf.DUMMYFUNCTION("IMPORTRANGE(""https://docs.google.com/spreadsheets/d/1Yj_ptqi66GCucihVvJfMjLAmec39IyEx_6qawtMGysU/edit?usp=sharing"",""สบก!AO86"")"),0)</f>
        <v>0</v>
      </c>
      <c r="M100" s="173"/>
      <c r="N100" s="173"/>
      <c r="O100" s="176"/>
      <c r="P100" s="176"/>
    </row>
    <row r="101" spans="1:16" ht="21.75" customHeight="1" x14ac:dyDescent="0.45">
      <c r="A101" s="178"/>
      <c r="B101" s="81"/>
      <c r="C101" s="82" t="s">
        <v>16</v>
      </c>
      <c r="D101" s="549" t="s">
        <v>23</v>
      </c>
      <c r="E101" s="545"/>
      <c r="F101" s="89"/>
      <c r="G101" s="83" t="s">
        <v>18</v>
      </c>
      <c r="H101" s="179" t="s">
        <v>12</v>
      </c>
      <c r="I101" s="195"/>
      <c r="J101" s="195"/>
      <c r="K101" s="231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80"/>
      <c r="B102" s="95"/>
      <c r="C102" s="95"/>
      <c r="D102" s="181"/>
      <c r="E102" s="96"/>
      <c r="F102" s="96"/>
      <c r="G102" s="97" t="s">
        <v>19</v>
      </c>
      <c r="H102" s="182" t="s">
        <v>12</v>
      </c>
      <c r="I102" s="195"/>
      <c r="J102" s="195"/>
      <c r="K102" s="231"/>
      <c r="L102" s="91">
        <f ca="1">IFERROR(__xludf.DUMMYFUNCTION("IMPORTRANGE(""https://docs.google.com/spreadsheets/d/1Yj_ptqi66GCucihVvJfMjLAmec39IyEx_6qawtMGysU/edit?usp=sharing"",""สบก!AP86"")"),0)</f>
        <v>0</v>
      </c>
      <c r="M102" s="101"/>
      <c r="N102" s="91">
        <f ca="1">IFERROR(__xludf.DUMMYFUNCTION("IMPORTRANGE(""https://docs.google.com/spreadsheets/d/1Yj_ptqi66GCucihVvJfMjLAmec39IyEx_6qawtMGysU/edit?usp=sharing"",""สบก!AT86"")"),0)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3"/>
      <c r="B103" s="184"/>
      <c r="C103" s="163" t="s">
        <v>16</v>
      </c>
      <c r="D103" s="185" t="s">
        <v>44</v>
      </c>
      <c r="E103" s="186"/>
      <c r="F103" s="186"/>
      <c r="G103" s="187"/>
      <c r="H103" s="188"/>
      <c r="I103" s="168"/>
      <c r="J103" s="195"/>
      <c r="K103" s="231"/>
      <c r="L103" s="176"/>
      <c r="M103" s="176"/>
      <c r="N103" s="176"/>
      <c r="O103" s="189"/>
      <c r="P103" s="189"/>
    </row>
    <row r="104" spans="1:16" ht="21.75" customHeight="1" x14ac:dyDescent="0.35">
      <c r="A104" s="183"/>
      <c r="B104" s="184"/>
      <c r="C104" s="184"/>
      <c r="D104" s="190">
        <v>1</v>
      </c>
      <c r="E104" s="191" t="s">
        <v>45</v>
      </c>
      <c r="F104" s="192"/>
      <c r="G104" s="193"/>
      <c r="H104" s="194"/>
      <c r="I104" s="195"/>
      <c r="J104" s="195">
        <f ca="1">IFERROR(__xludf.DUMMYFUNCTION("IMPORTRANGE(""https://docs.google.com/spreadsheets/d/1IYY_tgx_IHuhSq3AJ5eI5OnqOPBNLWSHKh2a30DoXe8/edit?usp=sharing"",""ปัตตานี!J39"")"),0)</f>
        <v>0</v>
      </c>
      <c r="K104" s="231"/>
      <c r="L104" s="176"/>
      <c r="M104" s="176"/>
      <c r="N104" s="176"/>
      <c r="O104" s="189"/>
      <c r="P104" s="189"/>
    </row>
    <row r="105" spans="1:16" ht="21.75" customHeight="1" x14ac:dyDescent="0.35">
      <c r="A105" s="183"/>
      <c r="B105" s="184"/>
      <c r="C105" s="184"/>
      <c r="D105" s="197">
        <v>2</v>
      </c>
      <c r="E105" s="198" t="s">
        <v>46</v>
      </c>
      <c r="F105" s="199"/>
      <c r="G105" s="200"/>
      <c r="H105" s="194"/>
      <c r="I105" s="195"/>
      <c r="J105" s="195">
        <f ca="1">IFERROR(__xludf.DUMMYFUNCTION("IMPORTRANGE(""https://docs.google.com/spreadsheets/d/1IYY_tgx_IHuhSq3AJ5eI5OnqOPBNLWSHKh2a30DoXe8/edit?usp=sharing"",""ปัตตานี!J40"")"),0)</f>
        <v>0</v>
      </c>
      <c r="K105" s="231"/>
      <c r="L105" s="176" t="s">
        <v>40</v>
      </c>
      <c r="M105" s="176"/>
      <c r="N105" s="176" t="s">
        <v>40</v>
      </c>
      <c r="O105" s="189"/>
      <c r="P105" s="189"/>
    </row>
    <row r="106" spans="1:16" ht="21.75" customHeight="1" x14ac:dyDescent="0.35">
      <c r="A106" s="183"/>
      <c r="B106" s="184"/>
      <c r="C106" s="184"/>
      <c r="D106" s="201"/>
      <c r="E106" s="202" t="s">
        <v>47</v>
      </c>
      <c r="F106" s="203"/>
      <c r="G106" s="204"/>
      <c r="H106" s="194"/>
      <c r="I106" s="195"/>
      <c r="J106" s="195">
        <f ca="1">IFERROR(__xludf.DUMMYFUNCTION("IMPORTRANGE(""https://docs.google.com/spreadsheets/d/1IYY_tgx_IHuhSq3AJ5eI5OnqOPBNLWSHKh2a30DoXe8/edit?usp=sharing"",""ปัตตานี!J41"")"),0)</f>
        <v>0</v>
      </c>
      <c r="K106" s="231"/>
      <c r="L106" s="176"/>
      <c r="M106" s="176"/>
      <c r="N106" s="176"/>
      <c r="O106" s="189"/>
      <c r="P106" s="189"/>
    </row>
    <row r="107" spans="1:16" ht="21.75" customHeight="1" x14ac:dyDescent="0.35">
      <c r="A107" s="183"/>
      <c r="B107" s="184"/>
      <c r="C107" s="184"/>
      <c r="D107" s="201"/>
      <c r="E107" s="202" t="s">
        <v>48</v>
      </c>
      <c r="F107" s="203"/>
      <c r="G107" s="204"/>
      <c r="H107" s="194"/>
      <c r="I107" s="195"/>
      <c r="J107" s="195">
        <f ca="1">IFERROR(__xludf.DUMMYFUNCTION("IMPORTRANGE(""https://docs.google.com/spreadsheets/d/1IYY_tgx_IHuhSq3AJ5eI5OnqOPBNLWSHKh2a30DoXe8/edit?usp=sharing"",""ปัตตานี!J42"")"),0)</f>
        <v>0</v>
      </c>
      <c r="K107" s="231"/>
      <c r="L107" s="176"/>
      <c r="M107" s="176"/>
      <c r="N107" s="176"/>
      <c r="O107" s="189"/>
      <c r="P107" s="189"/>
    </row>
    <row r="108" spans="1:16" ht="21.75" customHeight="1" x14ac:dyDescent="0.35">
      <c r="A108" s="183"/>
      <c r="B108" s="184"/>
      <c r="C108" s="184"/>
      <c r="D108" s="201"/>
      <c r="E108" s="203"/>
      <c r="F108" s="203" t="s">
        <v>60</v>
      </c>
      <c r="G108" s="203"/>
      <c r="H108" s="188" t="s">
        <v>61</v>
      </c>
      <c r="I108" s="210">
        <f ca="1">IFERROR(__xludf.DUMMYFUNCTION("IMPORTRANGE(""https://docs.google.com/spreadsheets/d/1IYY_tgx_IHuhSq3AJ5eI5OnqOPBNLWSHKh2a30DoXe8/edit?usp=sharing"",""ปัตตานี!I43"")"),0)</f>
        <v>0</v>
      </c>
      <c r="J108" s="211">
        <f ca="1">IFERROR(__xludf.DUMMYFUNCTION("IMPORTRANGE(""https://docs.google.com/spreadsheets/d/1IYY_tgx_IHuhSq3AJ5eI5OnqOPBNLWSHKh2a30DoXe8/edit?usp=sharing"",""ปัตตานี!J43"")"),0)</f>
        <v>0</v>
      </c>
      <c r="K108" s="231">
        <f t="shared" ref="K108:K113" ca="1" si="57">IF(I108&gt;0,J108*100/I108,0)</f>
        <v>0</v>
      </c>
      <c r="L108" s="176"/>
      <c r="M108" s="176"/>
      <c r="N108" s="176"/>
      <c r="O108" s="189"/>
      <c r="P108" s="189"/>
    </row>
    <row r="109" spans="1:16" ht="21.75" customHeight="1" x14ac:dyDescent="0.35">
      <c r="A109" s="183"/>
      <c r="B109" s="184"/>
      <c r="C109" s="184"/>
      <c r="D109" s="201"/>
      <c r="E109" s="206"/>
      <c r="F109" s="202" t="s">
        <v>62</v>
      </c>
      <c r="G109" s="203"/>
      <c r="H109" s="188" t="s">
        <v>37</v>
      </c>
      <c r="I109" s="210">
        <f ca="1">IFERROR(__xludf.DUMMYFUNCTION("IMPORTRANGE(""https://docs.google.com/spreadsheets/d/1IYY_tgx_IHuhSq3AJ5eI5OnqOPBNLWSHKh2a30DoXe8/edit?usp=sharing"",""ปัตตานี!I44"")"),0)</f>
        <v>0</v>
      </c>
      <c r="J109" s="211">
        <f ca="1">IFERROR(__xludf.DUMMYFUNCTION("IMPORTRANGE(""https://docs.google.com/spreadsheets/d/1IYY_tgx_IHuhSq3AJ5eI5OnqOPBNLWSHKh2a30DoXe8/edit?usp=sharing"",""ปัตตานี!J44"")"),0)</f>
        <v>0</v>
      </c>
      <c r="K109" s="231">
        <f t="shared" ca="1" si="57"/>
        <v>0</v>
      </c>
      <c r="L109" s="176"/>
      <c r="M109" s="176"/>
      <c r="N109" s="176"/>
      <c r="O109" s="189"/>
      <c r="P109" s="189"/>
    </row>
    <row r="110" spans="1:16" ht="21.75" customHeight="1" x14ac:dyDescent="0.35">
      <c r="A110" s="183"/>
      <c r="B110" s="184"/>
      <c r="C110" s="184"/>
      <c r="D110" s="201"/>
      <c r="E110" s="206"/>
      <c r="F110" s="203"/>
      <c r="G110" s="232" t="s">
        <v>63</v>
      </c>
      <c r="H110" s="188" t="s">
        <v>37</v>
      </c>
      <c r="I110" s="210">
        <f ca="1">IFERROR(__xludf.DUMMYFUNCTION("IMPORTRANGE(""https://docs.google.com/spreadsheets/d/1IYY_tgx_IHuhSq3AJ5eI5OnqOPBNLWSHKh2a30DoXe8/edit?usp=sharing"",""ปัตตานี!I45"")"),0)</f>
        <v>0</v>
      </c>
      <c r="J110" s="211">
        <f ca="1">IFERROR(__xludf.DUMMYFUNCTION("IMPORTRANGE(""https://docs.google.com/spreadsheets/d/1IYY_tgx_IHuhSq3AJ5eI5OnqOPBNLWSHKh2a30DoXe8/edit?usp=sharing"",""ปัตตานี!J45"")"),0)</f>
        <v>0</v>
      </c>
      <c r="K110" s="231">
        <f t="shared" ca="1" si="57"/>
        <v>0</v>
      </c>
      <c r="L110" s="176"/>
      <c r="M110" s="176"/>
      <c r="N110" s="176"/>
      <c r="O110" s="189"/>
      <c r="P110" s="189"/>
    </row>
    <row r="111" spans="1:16" ht="21.75" customHeight="1" x14ac:dyDescent="0.35">
      <c r="A111" s="183"/>
      <c r="B111" s="184"/>
      <c r="C111" s="184"/>
      <c r="D111" s="201"/>
      <c r="E111" s="206"/>
      <c r="F111" s="203"/>
      <c r="G111" s="232" t="s">
        <v>64</v>
      </c>
      <c r="H111" s="188" t="s">
        <v>37</v>
      </c>
      <c r="I111" s="210">
        <f ca="1">IFERROR(__xludf.DUMMYFUNCTION("IMPORTRANGE(""https://docs.google.com/spreadsheets/d/1IYY_tgx_IHuhSq3AJ5eI5OnqOPBNLWSHKh2a30DoXe8/edit?usp=sharing"",""ปัตตานี!I46"")"),0)</f>
        <v>0</v>
      </c>
      <c r="J111" s="211">
        <f ca="1">IFERROR(__xludf.DUMMYFUNCTION("IMPORTRANGE(""https://docs.google.com/spreadsheets/d/1IYY_tgx_IHuhSq3AJ5eI5OnqOPBNLWSHKh2a30DoXe8/edit?usp=sharing"",""ปัตตานี!J46"")"),0)</f>
        <v>0</v>
      </c>
      <c r="K111" s="231">
        <f t="shared" ca="1" si="57"/>
        <v>0</v>
      </c>
      <c r="L111" s="176"/>
      <c r="M111" s="176"/>
      <c r="N111" s="176"/>
      <c r="O111" s="189"/>
      <c r="P111" s="189"/>
    </row>
    <row r="112" spans="1:16" ht="21.75" customHeight="1" x14ac:dyDescent="0.35">
      <c r="A112" s="183"/>
      <c r="B112" s="184"/>
      <c r="C112" s="184"/>
      <c r="D112" s="201"/>
      <c r="E112" s="206"/>
      <c r="F112" s="203"/>
      <c r="G112" s="233" t="s">
        <v>65</v>
      </c>
      <c r="H112" s="188" t="s">
        <v>37</v>
      </c>
      <c r="I112" s="210">
        <f ca="1">IFERROR(__xludf.DUMMYFUNCTION("IMPORTRANGE(""https://docs.google.com/spreadsheets/d/1IYY_tgx_IHuhSq3AJ5eI5OnqOPBNLWSHKh2a30DoXe8/edit?usp=sharing"",""ปัตตานี!I47"")"),0)</f>
        <v>0</v>
      </c>
      <c r="J112" s="211">
        <f ca="1">IFERROR(__xludf.DUMMYFUNCTION("IMPORTRANGE(""https://docs.google.com/spreadsheets/d/1IYY_tgx_IHuhSq3AJ5eI5OnqOPBNLWSHKh2a30DoXe8/edit?usp=sharing"",""ปัตตานี!J47"")"),0)</f>
        <v>0</v>
      </c>
      <c r="K112" s="231">
        <f t="shared" ca="1" si="57"/>
        <v>0</v>
      </c>
      <c r="L112" s="176"/>
      <c r="M112" s="176"/>
      <c r="N112" s="176"/>
      <c r="O112" s="189"/>
      <c r="P112" s="189"/>
    </row>
    <row r="113" spans="1:16" ht="21.75" customHeight="1" x14ac:dyDescent="0.35">
      <c r="A113" s="183"/>
      <c r="B113" s="184"/>
      <c r="C113" s="184"/>
      <c r="D113" s="201"/>
      <c r="E113" s="206"/>
      <c r="F113" s="203" t="s">
        <v>66</v>
      </c>
      <c r="G113" s="203"/>
      <c r="H113" s="188" t="s">
        <v>59</v>
      </c>
      <c r="I113" s="210">
        <f ca="1">IFERROR(__xludf.DUMMYFUNCTION("IMPORTRANGE(""https://docs.google.com/spreadsheets/d/1IYY_tgx_IHuhSq3AJ5eI5OnqOPBNLWSHKh2a30DoXe8/edit?usp=sharing"",""ปัตตานี!I48"")"),0)</f>
        <v>0</v>
      </c>
      <c r="J113" s="211">
        <f ca="1">IFERROR(__xludf.DUMMYFUNCTION("IMPORTRANGE(""https://docs.google.com/spreadsheets/d/1IYY_tgx_IHuhSq3AJ5eI5OnqOPBNLWSHKh2a30DoXe8/edit?usp=sharing"",""ปัตตานี!J48"")"),0)</f>
        <v>0</v>
      </c>
      <c r="K113" s="231">
        <f t="shared" ca="1" si="57"/>
        <v>0</v>
      </c>
      <c r="L113" s="176"/>
      <c r="M113" s="176"/>
      <c r="N113" s="176"/>
      <c r="O113" s="189"/>
      <c r="P113" s="189"/>
    </row>
    <row r="114" spans="1:16" ht="21.75" customHeight="1" x14ac:dyDescent="0.35">
      <c r="A114" s="183"/>
      <c r="B114" s="184"/>
      <c r="C114" s="184"/>
      <c r="D114" s="201"/>
      <c r="E114" s="202" t="s">
        <v>54</v>
      </c>
      <c r="F114" s="203"/>
      <c r="G114" s="204"/>
      <c r="H114" s="194"/>
      <c r="I114" s="195"/>
      <c r="J114" s="195">
        <f ca="1">IFERROR(__xludf.DUMMYFUNCTION("IMPORTRANGE(""https://docs.google.com/spreadsheets/d/1IYY_tgx_IHuhSq3AJ5eI5OnqOPBNLWSHKh2a30DoXe8/edit?usp=sharing"",""ปัตตานี!J49"")"),0)</f>
        <v>0</v>
      </c>
      <c r="K114" s="231"/>
      <c r="L114" s="176"/>
      <c r="M114" s="176"/>
      <c r="N114" s="176"/>
      <c r="O114" s="189"/>
      <c r="P114" s="189"/>
    </row>
    <row r="115" spans="1:16" ht="21.75" customHeight="1" x14ac:dyDescent="0.35">
      <c r="A115" s="183"/>
      <c r="B115" s="184"/>
      <c r="C115" s="184"/>
      <c r="D115" s="213">
        <v>3</v>
      </c>
      <c r="E115" s="214" t="s">
        <v>55</v>
      </c>
      <c r="F115" s="215"/>
      <c r="G115" s="216"/>
      <c r="H115" s="194"/>
      <c r="I115" s="195"/>
      <c r="J115" s="234">
        <f ca="1">IFERROR(__xludf.DUMMYFUNCTION("IMPORTRANGE(""https://docs.google.com/spreadsheets/d/1IYY_tgx_IHuhSq3AJ5eI5OnqOPBNLWSHKh2a30DoXe8/edit?usp=sharing"",""ปัตตานี!J50"")"),0)</f>
        <v>0</v>
      </c>
      <c r="K115" s="231"/>
      <c r="L115" s="176"/>
      <c r="M115" s="176"/>
      <c r="N115" s="176"/>
      <c r="O115" s="189"/>
      <c r="P115" s="189"/>
    </row>
    <row r="116" spans="1:16" ht="21.75" customHeight="1" x14ac:dyDescent="0.35">
      <c r="A116" s="218" t="s">
        <v>67</v>
      </c>
      <c r="B116" s="235"/>
      <c r="C116" s="236"/>
      <c r="D116" s="235"/>
      <c r="E116" s="237"/>
      <c r="F116" s="237"/>
      <c r="G116" s="238"/>
      <c r="H116" s="223"/>
      <c r="I116" s="224"/>
      <c r="J116" s="224"/>
      <c r="K116" s="225"/>
      <c r="L116" s="226"/>
      <c r="M116" s="226"/>
      <c r="N116" s="226"/>
      <c r="O116" s="227"/>
      <c r="P116" s="227"/>
    </row>
    <row r="117" spans="1:16" ht="21.75" customHeight="1" x14ac:dyDescent="0.35">
      <c r="A117" s="142"/>
      <c r="B117" s="143" t="s">
        <v>68</v>
      </c>
      <c r="C117" s="239"/>
      <c r="D117" s="144"/>
      <c r="E117" s="143"/>
      <c r="F117" s="143"/>
      <c r="G117" s="228"/>
      <c r="H117" s="145" t="s">
        <v>37</v>
      </c>
      <c r="I117" s="146">
        <f ca="1">IFERROR(__xludf.DUMMYFUNCTION("IMPORTRANGE(""https://docs.google.com/spreadsheets/d/1IYY_tgx_IHuhSq3AJ5eI5OnqOPBNLWSHKh2a30DoXe8/edit?usp=sharing"",""ปัตตานี!I52"")"),0)</f>
        <v>0</v>
      </c>
      <c r="J117" s="146">
        <f ca="1">IFERROR(__xludf.DUMMYFUNCTION("IMPORTRANGE(""https://docs.google.com/spreadsheets/d/1IYY_tgx_IHuhSq3AJ5eI5OnqOPBNLWSHKh2a30DoXe8/edit?usp=sharing"",""ปัตตานี!J52"")"),0)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52" t="s">
        <v>17</v>
      </c>
      <c r="E118" s="543"/>
      <c r="F118" s="543"/>
      <c r="G118" s="543"/>
      <c r="H118" s="153" t="s">
        <v>12</v>
      </c>
      <c r="I118" s="168"/>
      <c r="J118" s="168"/>
      <c r="K118" s="169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8"/>
      <c r="J119" s="168"/>
      <c r="K119" s="169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8"/>
      <c r="J120" s="168"/>
      <c r="K120" s="169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5">
      <c r="A121" s="162"/>
      <c r="B121" s="163"/>
      <c r="C121" s="163" t="s">
        <v>16</v>
      </c>
      <c r="D121" s="164" t="s">
        <v>38</v>
      </c>
      <c r="E121" s="165"/>
      <c r="F121" s="165"/>
      <c r="G121" s="166" t="s">
        <v>39</v>
      </c>
      <c r="H121" s="167" t="s">
        <v>12</v>
      </c>
      <c r="I121" s="168" t="s">
        <v>40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 x14ac:dyDescent="0.35">
      <c r="A122" s="162"/>
      <c r="B122" s="163"/>
      <c r="C122" s="163"/>
      <c r="D122" s="172"/>
      <c r="E122" s="165"/>
      <c r="F122" s="165" t="s">
        <v>40</v>
      </c>
      <c r="G122" s="166" t="s">
        <v>41</v>
      </c>
      <c r="H122" s="167" t="s">
        <v>12</v>
      </c>
      <c r="I122" s="168"/>
      <c r="J122" s="168"/>
      <c r="K122" s="169"/>
      <c r="L122" s="173">
        <f ca="1">L123+L124</f>
        <v>0</v>
      </c>
      <c r="M122" s="174">
        <f ca="1">IFERROR(__xludf.DUMMYFUNCTION("IMPORTRANGE(""https://docs.google.com/spreadsheets/d/1Yj_ptqi66GCucihVvJfMjLAmec39IyEx_6qawtMGysU/edit?usp=sharing"",""สบก!BA86"")"),0)</f>
        <v>0</v>
      </c>
      <c r="N122" s="175">
        <f ca="1">IFERROR(__xludf.DUMMYFUNCTION("IMPORTRANGE(""https://docs.google.com/spreadsheets/d/1Yj_ptqi66GCucihVvJfMjLAmec39IyEx_6qawtMGysU/edit?usp=sharing"",""สบก!BB86"")"),0)</f>
        <v>0</v>
      </c>
      <c r="O122" s="176">
        <f ca="1">IF(L122&gt;0,N122*100/L122,0)</f>
        <v>0</v>
      </c>
      <c r="P122" s="176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2"/>
      <c r="E123" s="165"/>
      <c r="F123" s="165"/>
      <c r="G123" s="177" t="s">
        <v>42</v>
      </c>
      <c r="H123" s="167" t="s">
        <v>12</v>
      </c>
      <c r="I123" s="168"/>
      <c r="J123" s="168"/>
      <c r="K123" s="169"/>
      <c r="L123" s="174">
        <f ca="1">IFERROR(__xludf.DUMMYFUNCTION("IMPORTRANGE(""https://docs.google.com/spreadsheets/d/1Yj_ptqi66GCucihVvJfMjLAmec39IyEx_6qawtMGysU/edit?usp=sharing"",""สบก!AW86"")"),0)</f>
        <v>0</v>
      </c>
      <c r="M123" s="173"/>
      <c r="N123" s="173"/>
      <c r="O123" s="176"/>
      <c r="P123" s="176"/>
    </row>
    <row r="124" spans="1:16" ht="21.75" customHeight="1" x14ac:dyDescent="0.35">
      <c r="A124" s="162"/>
      <c r="B124" s="163"/>
      <c r="C124" s="163"/>
      <c r="D124" s="172"/>
      <c r="E124" s="165"/>
      <c r="F124" s="165"/>
      <c r="G124" s="177" t="s">
        <v>43</v>
      </c>
      <c r="H124" s="167" t="s">
        <v>12</v>
      </c>
      <c r="I124" s="168"/>
      <c r="J124" s="195"/>
      <c r="K124" s="231"/>
      <c r="L124" s="174">
        <f ca="1">IFERROR(__xludf.DUMMYFUNCTION("IMPORTRANGE(""https://docs.google.com/spreadsheets/d/1Yj_ptqi66GCucihVvJfMjLAmec39IyEx_6qawtMGysU/edit?usp=sharing"",""สบก!AX86"")"),0)</f>
        <v>0</v>
      </c>
      <c r="M124" s="173"/>
      <c r="N124" s="173"/>
      <c r="O124" s="176"/>
      <c r="P124" s="176"/>
    </row>
    <row r="125" spans="1:16" ht="21.75" customHeight="1" x14ac:dyDescent="0.45">
      <c r="A125" s="178"/>
      <c r="B125" s="81"/>
      <c r="C125" s="82" t="s">
        <v>16</v>
      </c>
      <c r="D125" s="549" t="s">
        <v>23</v>
      </c>
      <c r="E125" s="545"/>
      <c r="F125" s="89"/>
      <c r="G125" s="83" t="s">
        <v>18</v>
      </c>
      <c r="H125" s="179" t="s">
        <v>12</v>
      </c>
      <c r="I125" s="195"/>
      <c r="J125" s="195"/>
      <c r="K125" s="231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80"/>
      <c r="B126" s="95"/>
      <c r="C126" s="95"/>
      <c r="D126" s="181"/>
      <c r="E126" s="96"/>
      <c r="F126" s="96"/>
      <c r="G126" s="97" t="s">
        <v>19</v>
      </c>
      <c r="H126" s="182" t="s">
        <v>12</v>
      </c>
      <c r="I126" s="195"/>
      <c r="J126" s="195"/>
      <c r="K126" s="231"/>
      <c r="L126" s="91">
        <f ca="1">IFERROR(__xludf.DUMMYFUNCTION("IMPORTRANGE(""https://docs.google.com/spreadsheets/d/1Yj_ptqi66GCucihVvJfMjLAmec39IyEx_6qawtMGysU/edit?usp=sharing"",""สบก!AY86"")"),0)</f>
        <v>0</v>
      </c>
      <c r="M126" s="101"/>
      <c r="N126" s="91">
        <f ca="1">IFERROR(__xludf.DUMMYFUNCTION("IMPORTRANGE(""https://docs.google.com/spreadsheets/d/1Yj_ptqi66GCucihVvJfMjLAmec39IyEx_6qawtMGysU/edit?usp=sharing"",""สบก!BC86"")"),0)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3"/>
      <c r="B127" s="184"/>
      <c r="C127" s="163" t="s">
        <v>16</v>
      </c>
      <c r="D127" s="240" t="s">
        <v>250</v>
      </c>
      <c r="E127" s="186"/>
      <c r="F127" s="186"/>
      <c r="G127" s="187"/>
      <c r="H127" s="188"/>
      <c r="I127" s="168"/>
      <c r="J127" s="195"/>
      <c r="K127" s="231"/>
      <c r="L127" s="176"/>
      <c r="M127" s="176"/>
      <c r="N127" s="176"/>
      <c r="O127" s="189"/>
      <c r="P127" s="189"/>
    </row>
    <row r="128" spans="1:16" ht="21.75" customHeight="1" x14ac:dyDescent="0.35">
      <c r="A128" s="183"/>
      <c r="B128" s="184"/>
      <c r="C128" s="184"/>
      <c r="D128" s="190">
        <v>1</v>
      </c>
      <c r="E128" s="191" t="s">
        <v>45</v>
      </c>
      <c r="F128" s="192"/>
      <c r="G128" s="193"/>
      <c r="H128" s="194"/>
      <c r="I128" s="195"/>
      <c r="J128" s="211">
        <f ca="1">IFERROR(__xludf.DUMMYFUNCTION("IMPORTRANGE(""https://docs.google.com/spreadsheets/d/1IYY_tgx_IHuhSq3AJ5eI5OnqOPBNLWSHKh2a30DoXe8/edit?usp=sharing"",""ปัตตานี!J58"")"),0)</f>
        <v>0</v>
      </c>
      <c r="K128" s="231"/>
      <c r="L128" s="176"/>
      <c r="M128" s="176"/>
      <c r="N128" s="176"/>
      <c r="O128" s="189"/>
      <c r="P128" s="189"/>
    </row>
    <row r="129" spans="1:16" ht="21.75" customHeight="1" x14ac:dyDescent="0.35">
      <c r="A129" s="183"/>
      <c r="B129" s="184"/>
      <c r="C129" s="184"/>
      <c r="D129" s="197">
        <v>2</v>
      </c>
      <c r="E129" s="198" t="s">
        <v>46</v>
      </c>
      <c r="F129" s="199"/>
      <c r="G129" s="200"/>
      <c r="H129" s="194"/>
      <c r="I129" s="195"/>
      <c r="J129" s="195">
        <f ca="1">IFERROR(__xludf.DUMMYFUNCTION("IMPORTRANGE(""https://docs.google.com/spreadsheets/d/1IYY_tgx_IHuhSq3AJ5eI5OnqOPBNLWSHKh2a30DoXe8/edit?usp=sharing"",""ปัตตานี!J59"")"),0)</f>
        <v>0</v>
      </c>
      <c r="K129" s="231"/>
      <c r="L129" s="176" t="s">
        <v>40</v>
      </c>
      <c r="M129" s="176"/>
      <c r="N129" s="176" t="s">
        <v>40</v>
      </c>
      <c r="O129" s="189"/>
      <c r="P129" s="189"/>
    </row>
    <row r="130" spans="1:16" ht="21.75" customHeight="1" x14ac:dyDescent="0.35">
      <c r="A130" s="183"/>
      <c r="B130" s="184"/>
      <c r="C130" s="184"/>
      <c r="D130" s="201"/>
      <c r="E130" s="202" t="s">
        <v>47</v>
      </c>
      <c r="F130" s="203"/>
      <c r="G130" s="204"/>
      <c r="H130" s="194"/>
      <c r="I130" s="195"/>
      <c r="J130" s="195">
        <f ca="1">IFERROR(__xludf.DUMMYFUNCTION("IMPORTRANGE(""https://docs.google.com/spreadsheets/d/1IYY_tgx_IHuhSq3AJ5eI5OnqOPBNLWSHKh2a30DoXe8/edit?usp=sharing"",""ปัตตานี!J60"")"),0)</f>
        <v>0</v>
      </c>
      <c r="K130" s="231"/>
      <c r="L130" s="176"/>
      <c r="M130" s="176"/>
      <c r="N130" s="176"/>
      <c r="O130" s="189"/>
      <c r="P130" s="189"/>
    </row>
    <row r="131" spans="1:16" ht="21.75" customHeight="1" x14ac:dyDescent="0.35">
      <c r="A131" s="183"/>
      <c r="B131" s="184"/>
      <c r="C131" s="184"/>
      <c r="D131" s="201"/>
      <c r="E131" s="202" t="s">
        <v>48</v>
      </c>
      <c r="F131" s="203"/>
      <c r="G131" s="204"/>
      <c r="H131" s="194"/>
      <c r="I131" s="195"/>
      <c r="J131" s="195">
        <f ca="1">IFERROR(__xludf.DUMMYFUNCTION("IMPORTRANGE(""https://docs.google.com/spreadsheets/d/1IYY_tgx_IHuhSq3AJ5eI5OnqOPBNLWSHKh2a30DoXe8/edit?usp=sharing"",""ปัตตานี!J61"")"),0)</f>
        <v>0</v>
      </c>
      <c r="K131" s="231"/>
      <c r="L131" s="176"/>
      <c r="M131" s="176"/>
      <c r="N131" s="176"/>
      <c r="O131" s="189"/>
      <c r="P131" s="189"/>
    </row>
    <row r="132" spans="1:16" ht="21.75" customHeight="1" x14ac:dyDescent="0.35">
      <c r="A132" s="183"/>
      <c r="B132" s="184"/>
      <c r="C132" s="184"/>
      <c r="D132" s="201"/>
      <c r="E132" s="206"/>
      <c r="F132" s="202" t="s">
        <v>70</v>
      </c>
      <c r="G132" s="204"/>
      <c r="H132" s="188" t="s">
        <v>37</v>
      </c>
      <c r="I132" s="195">
        <f ca="1">IFERROR(__xludf.DUMMYFUNCTION("IMPORTRANGE(""https://docs.google.com/spreadsheets/d/1IYY_tgx_IHuhSq3AJ5eI5OnqOPBNLWSHKh2a30DoXe8/edit?usp=sharing"",""ปัตตานี!I62"")"),0)</f>
        <v>0</v>
      </c>
      <c r="J132" s="211">
        <f ca="1">IFERROR(__xludf.DUMMYFUNCTION("IMPORTRANGE(""https://docs.google.com/spreadsheets/d/1IYY_tgx_IHuhSq3AJ5eI5OnqOPBNLWSHKh2a30DoXe8/edit?usp=sharing"",""ปัตตานี!J62"")"),0)</f>
        <v>0</v>
      </c>
      <c r="K132" s="231">
        <f t="shared" ref="K132:K133" ca="1" si="63">IF(I132&gt;0,J132*100/I132,0)</f>
        <v>0</v>
      </c>
      <c r="L132" s="176"/>
      <c r="M132" s="176"/>
      <c r="N132" s="176"/>
      <c r="O132" s="189"/>
      <c r="P132" s="189"/>
    </row>
    <row r="133" spans="1:16" ht="21.75" customHeight="1" x14ac:dyDescent="0.35">
      <c r="A133" s="183"/>
      <c r="B133" s="184"/>
      <c r="C133" s="184"/>
      <c r="D133" s="201"/>
      <c r="E133" s="206"/>
      <c r="F133" s="202" t="s">
        <v>71</v>
      </c>
      <c r="G133" s="204"/>
      <c r="H133" s="188" t="s">
        <v>37</v>
      </c>
      <c r="I133" s="195">
        <f ca="1">IFERROR(__xludf.DUMMYFUNCTION("IMPORTRANGE(""https://docs.google.com/spreadsheets/d/1IYY_tgx_IHuhSq3AJ5eI5OnqOPBNLWSHKh2a30DoXe8/edit?usp=sharing"",""ปัตตานี!I63"")"),0)</f>
        <v>0</v>
      </c>
      <c r="J133" s="211">
        <f ca="1">IFERROR(__xludf.DUMMYFUNCTION("IMPORTRANGE(""https://docs.google.com/spreadsheets/d/1IYY_tgx_IHuhSq3AJ5eI5OnqOPBNLWSHKh2a30DoXe8/edit?usp=sharing"",""ปัตตานี!J63"")"),0)</f>
        <v>0</v>
      </c>
      <c r="K133" s="231">
        <f t="shared" ca="1" si="63"/>
        <v>0</v>
      </c>
      <c r="L133" s="176"/>
      <c r="M133" s="176"/>
      <c r="N133" s="176"/>
      <c r="O133" s="189"/>
      <c r="P133" s="189"/>
    </row>
    <row r="134" spans="1:16" ht="21.75" customHeight="1" x14ac:dyDescent="0.35">
      <c r="A134" s="183"/>
      <c r="B134" s="184"/>
      <c r="C134" s="184"/>
      <c r="D134" s="201"/>
      <c r="E134" s="202" t="s">
        <v>54</v>
      </c>
      <c r="F134" s="203"/>
      <c r="G134" s="204"/>
      <c r="H134" s="194"/>
      <c r="I134" s="195"/>
      <c r="J134" s="195">
        <f ca="1">IFERROR(__xludf.DUMMYFUNCTION("IMPORTRANGE(""https://docs.google.com/spreadsheets/d/1IYY_tgx_IHuhSq3AJ5eI5OnqOPBNLWSHKh2a30DoXe8/edit?usp=sharing"",""ปัตตานี!J64"")"),0)</f>
        <v>0</v>
      </c>
      <c r="K134" s="231"/>
      <c r="L134" s="176"/>
      <c r="M134" s="176"/>
      <c r="N134" s="176"/>
      <c r="O134" s="189"/>
      <c r="P134" s="189"/>
    </row>
    <row r="135" spans="1:16" ht="21.75" customHeight="1" x14ac:dyDescent="0.35">
      <c r="A135" s="241"/>
      <c r="B135" s="242"/>
      <c r="C135" s="242"/>
      <c r="D135" s="243">
        <v>3</v>
      </c>
      <c r="E135" s="244" t="s">
        <v>55</v>
      </c>
      <c r="F135" s="245"/>
      <c r="G135" s="246"/>
      <c r="H135" s="247"/>
      <c r="I135" s="248"/>
      <c r="J135" s="249">
        <f ca="1">IFERROR(__xludf.DUMMYFUNCTION("IMPORTRANGE(""https://docs.google.com/spreadsheets/d/1IYY_tgx_IHuhSq3AJ5eI5OnqOPBNLWSHKh2a30DoXe8/edit?usp=sharing"",""ปัตตานี!J65"")"),0)</f>
        <v>0</v>
      </c>
      <c r="K135" s="250"/>
      <c r="L135" s="251"/>
      <c r="M135" s="251"/>
      <c r="N135" s="251"/>
      <c r="O135" s="252"/>
      <c r="P135" s="252"/>
    </row>
    <row r="136" spans="1:16" ht="21.75" customHeight="1" x14ac:dyDescent="0.35">
      <c r="A136" s="253" t="s">
        <v>72</v>
      </c>
      <c r="B136" s="254"/>
      <c r="C136" s="254"/>
      <c r="D136" s="254"/>
      <c r="E136" s="255"/>
      <c r="F136" s="255"/>
      <c r="G136" s="256"/>
      <c r="H136" s="257"/>
      <c r="I136" s="258"/>
      <c r="J136" s="258"/>
      <c r="K136" s="259"/>
      <c r="L136" s="260"/>
      <c r="M136" s="260"/>
      <c r="N136" s="260"/>
      <c r="O136" s="260"/>
      <c r="P136" s="260"/>
    </row>
    <row r="137" spans="1:16" ht="21.75" customHeight="1" x14ac:dyDescent="0.35">
      <c r="A137" s="261" t="s">
        <v>73</v>
      </c>
      <c r="B137" s="262"/>
      <c r="C137" s="262"/>
      <c r="D137" s="263"/>
      <c r="E137" s="263"/>
      <c r="F137" s="263"/>
      <c r="G137" s="264"/>
      <c r="H137" s="265"/>
      <c r="I137" s="266"/>
      <c r="J137" s="266"/>
      <c r="K137" s="267"/>
      <c r="L137" s="267"/>
      <c r="M137" s="267"/>
      <c r="N137" s="267"/>
      <c r="O137" s="268"/>
      <c r="P137" s="268"/>
    </row>
    <row r="138" spans="1:16" ht="21.75" customHeight="1" x14ac:dyDescent="0.35">
      <c r="A138" s="269"/>
      <c r="B138" s="270" t="s">
        <v>74</v>
      </c>
      <c r="C138" s="271"/>
      <c r="D138" s="270"/>
      <c r="E138" s="270"/>
      <c r="F138" s="270"/>
      <c r="G138" s="272"/>
      <c r="H138" s="273" t="s">
        <v>37</v>
      </c>
      <c r="I138" s="274">
        <f ca="1">IFERROR(__xludf.DUMMYFUNCTION("IMPORTRANGE(""https://docs.google.com/spreadsheets/d/1IYY_tgx_IHuhSq3AJ5eI5OnqOPBNLWSHKh2a30DoXe8/edit?usp=sharing"",""ปัตตานี!I68"")"),15)</f>
        <v>15</v>
      </c>
      <c r="J138" s="274">
        <f ca="1">IFERROR(__xludf.DUMMYFUNCTION("IMPORTRANGE(""https://docs.google.com/spreadsheets/d/1IYY_tgx_IHuhSq3AJ5eI5OnqOPBNLWSHKh2a30DoXe8/edit?usp=sharing"",""ปัตตานี!J68"")"),15)</f>
        <v>15</v>
      </c>
      <c r="K138" s="275">
        <f ca="1">IF(I138&gt;0,J138*100/I138,0)</f>
        <v>100</v>
      </c>
      <c r="L138" s="276"/>
      <c r="M138" s="276"/>
      <c r="N138" s="276"/>
      <c r="O138" s="275"/>
      <c r="P138" s="275"/>
    </row>
    <row r="139" spans="1:16" ht="21.75" customHeight="1" x14ac:dyDescent="0.35">
      <c r="A139" s="269"/>
      <c r="B139" s="270" t="s">
        <v>75</v>
      </c>
      <c r="C139" s="271"/>
      <c r="D139" s="270"/>
      <c r="E139" s="270"/>
      <c r="F139" s="270"/>
      <c r="G139" s="272"/>
      <c r="H139" s="273"/>
      <c r="I139" s="274"/>
      <c r="J139" s="274"/>
      <c r="K139" s="275"/>
      <c r="L139" s="276"/>
      <c r="M139" s="276"/>
      <c r="N139" s="276"/>
      <c r="O139" s="275"/>
      <c r="P139" s="275"/>
    </row>
    <row r="140" spans="1:16" ht="21.75" customHeight="1" x14ac:dyDescent="0.45">
      <c r="A140" s="150"/>
      <c r="B140" s="151"/>
      <c r="C140" s="152" t="s">
        <v>16</v>
      </c>
      <c r="D140" s="552" t="s">
        <v>17</v>
      </c>
      <c r="E140" s="543"/>
      <c r="F140" s="543"/>
      <c r="G140" s="543"/>
      <c r="H140" s="153" t="s">
        <v>12</v>
      </c>
      <c r="I140" s="168"/>
      <c r="J140" s="168"/>
      <c r="K140" s="169"/>
      <c r="L140" s="156">
        <f t="shared" ref="L140:N140" ca="1" si="64">L141+L142</f>
        <v>376600</v>
      </c>
      <c r="M140" s="156">
        <f t="shared" ca="1" si="64"/>
        <v>213750</v>
      </c>
      <c r="N140" s="156">
        <f t="shared" ca="1" si="64"/>
        <v>205294</v>
      </c>
      <c r="O140" s="155">
        <f t="shared" ref="O140:O142" ca="1" si="65">IF(L140&gt;0,N140*100/L140,0)</f>
        <v>54.51248008497079</v>
      </c>
      <c r="P140" s="155">
        <f t="shared" ref="P140:P142" ca="1" si="66">IF(M140&gt;0,N140*100/M140,0)</f>
        <v>96.043976608187137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8"/>
      <c r="J141" s="168"/>
      <c r="K141" s="169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8"/>
      <c r="J142" s="168"/>
      <c r="K142" s="169"/>
      <c r="L142" s="161">
        <f t="shared" ref="L142:N142" ca="1" si="68">L144+L148</f>
        <v>376600</v>
      </c>
      <c r="M142" s="161">
        <f t="shared" ca="1" si="68"/>
        <v>213750</v>
      </c>
      <c r="N142" s="161">
        <f t="shared" ca="1" si="68"/>
        <v>205294</v>
      </c>
      <c r="O142" s="160">
        <f t="shared" ca="1" si="65"/>
        <v>54.51248008497079</v>
      </c>
      <c r="P142" s="160">
        <f t="shared" ca="1" si="66"/>
        <v>96.043976608187137</v>
      </c>
    </row>
    <row r="143" spans="1:16" ht="21.75" customHeight="1" x14ac:dyDescent="0.35">
      <c r="A143" s="162"/>
      <c r="B143" s="163"/>
      <c r="C143" s="163" t="s">
        <v>16</v>
      </c>
      <c r="D143" s="164" t="s">
        <v>38</v>
      </c>
      <c r="E143" s="165"/>
      <c r="F143" s="165"/>
      <c r="G143" s="166" t="s">
        <v>39</v>
      </c>
      <c r="H143" s="167" t="s">
        <v>12</v>
      </c>
      <c r="I143" s="168" t="s">
        <v>40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 x14ac:dyDescent="0.35">
      <c r="A144" s="162"/>
      <c r="B144" s="163"/>
      <c r="C144" s="163"/>
      <c r="D144" s="172"/>
      <c r="E144" s="165"/>
      <c r="F144" s="165" t="s">
        <v>40</v>
      </c>
      <c r="G144" s="166" t="s">
        <v>41</v>
      </c>
      <c r="H144" s="167" t="s">
        <v>12</v>
      </c>
      <c r="I144" s="168"/>
      <c r="J144" s="168"/>
      <c r="K144" s="169"/>
      <c r="L144" s="173">
        <f ca="1">L145+L146</f>
        <v>376600</v>
      </c>
      <c r="M144" s="174">
        <f ca="1">IFERROR(__xludf.DUMMYFUNCTION("IMPORTRANGE(""https://docs.google.com/spreadsheets/d/1Yj_ptqi66GCucihVvJfMjLAmec39IyEx_6qawtMGysU/edit?usp=sharing"",""สบก!BJ86"")"),213750)</f>
        <v>213750</v>
      </c>
      <c r="N144" s="175">
        <f ca="1">IFERROR(__xludf.DUMMYFUNCTION("IMPORTRANGE(""https://docs.google.com/spreadsheets/d/1Yj_ptqi66GCucihVvJfMjLAmec39IyEx_6qawtMGysU/edit?usp=sharing"",""สบก!BK86"")"),205294)</f>
        <v>205294</v>
      </c>
      <c r="O144" s="176">
        <f ca="1">IF(L144&gt;0,N144*100/L144,0)</f>
        <v>54.51248008497079</v>
      </c>
      <c r="P144" s="176">
        <f ca="1">IF(M144&gt;0,N144*100/M144,0)</f>
        <v>96.043976608187137</v>
      </c>
    </row>
    <row r="145" spans="1:16" ht="21.75" customHeight="1" x14ac:dyDescent="0.35">
      <c r="A145" s="162"/>
      <c r="B145" s="163"/>
      <c r="C145" s="163"/>
      <c r="D145" s="172"/>
      <c r="E145" s="165"/>
      <c r="F145" s="165"/>
      <c r="G145" s="177" t="s">
        <v>42</v>
      </c>
      <c r="H145" s="167" t="s">
        <v>12</v>
      </c>
      <c r="I145" s="168"/>
      <c r="J145" s="168"/>
      <c r="K145" s="169"/>
      <c r="L145" s="174">
        <f ca="1">IFERROR(__xludf.DUMMYFUNCTION("IMPORTRANGE(""https://docs.google.com/spreadsheets/d/1Yj_ptqi66GCucihVvJfMjLAmec39IyEx_6qawtMGysU/edit?usp=sharing"",""สบก!BF86"")"),318000)</f>
        <v>318000</v>
      </c>
      <c r="M145" s="173"/>
      <c r="N145" s="173"/>
      <c r="O145" s="176"/>
      <c r="P145" s="176"/>
    </row>
    <row r="146" spans="1:16" ht="21.75" customHeight="1" x14ac:dyDescent="0.35">
      <c r="A146" s="162"/>
      <c r="B146" s="163"/>
      <c r="C146" s="163"/>
      <c r="D146" s="172"/>
      <c r="E146" s="165"/>
      <c r="F146" s="165"/>
      <c r="G146" s="177" t="s">
        <v>43</v>
      </c>
      <c r="H146" s="167" t="s">
        <v>12</v>
      </c>
      <c r="I146" s="168"/>
      <c r="J146" s="168"/>
      <c r="K146" s="169"/>
      <c r="L146" s="174">
        <f ca="1">IFERROR(__xludf.DUMMYFUNCTION("IMPORTRANGE(""https://docs.google.com/spreadsheets/d/1Yj_ptqi66GCucihVvJfMjLAmec39IyEx_6qawtMGysU/edit?usp=sharing"",""สบก!BG86"")"),58600)</f>
        <v>58600</v>
      </c>
      <c r="M146" s="173"/>
      <c r="N146" s="173"/>
      <c r="O146" s="176"/>
      <c r="P146" s="176"/>
    </row>
    <row r="147" spans="1:16" ht="21.75" customHeight="1" x14ac:dyDescent="0.45">
      <c r="A147" s="178"/>
      <c r="B147" s="81"/>
      <c r="C147" s="82" t="s">
        <v>16</v>
      </c>
      <c r="D147" s="549" t="s">
        <v>23</v>
      </c>
      <c r="E147" s="545"/>
      <c r="F147" s="89"/>
      <c r="G147" s="83" t="s">
        <v>18</v>
      </c>
      <c r="H147" s="179" t="s">
        <v>12</v>
      </c>
      <c r="I147" s="195"/>
      <c r="J147" s="195"/>
      <c r="K147" s="231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80"/>
      <c r="B148" s="95"/>
      <c r="C148" s="95"/>
      <c r="D148" s="181"/>
      <c r="E148" s="96"/>
      <c r="F148" s="96"/>
      <c r="G148" s="97" t="s">
        <v>19</v>
      </c>
      <c r="H148" s="182" t="s">
        <v>12</v>
      </c>
      <c r="I148" s="195"/>
      <c r="J148" s="195"/>
      <c r="K148" s="231"/>
      <c r="L148" s="91">
        <f ca="1">IFERROR(__xludf.DUMMYFUNCTION("IMPORTRANGE(""https://docs.google.com/spreadsheets/d/1Yj_ptqi66GCucihVvJfMjLAmec39IyEx_6qawtMGysU/edit?usp=sharing"",""สบก!BH86"")"),0)</f>
        <v>0</v>
      </c>
      <c r="M148" s="101"/>
      <c r="N148" s="91">
        <f ca="1">IFERROR(__xludf.DUMMYFUNCTION("IMPORTRANGE(""https://docs.google.com/spreadsheets/d/1Yj_ptqi66GCucihVvJfMjLAmec39IyEx_6qawtMGysU/edit?usp=sharing"",""สบก!BL86"")"),0)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7"/>
      <c r="B149" s="278"/>
      <c r="C149" s="279" t="s">
        <v>76</v>
      </c>
      <c r="D149" s="279"/>
      <c r="E149" s="279"/>
      <c r="F149" s="279"/>
      <c r="G149" s="280"/>
      <c r="H149" s="281" t="s">
        <v>77</v>
      </c>
      <c r="I149" s="282">
        <f ca="1">IFERROR(__xludf.DUMMYFUNCTION("IMPORTRANGE(""https://docs.google.com/spreadsheets/d/1IYY_tgx_IHuhSq3AJ5eI5OnqOPBNLWSHKh2a30DoXe8/edit?usp=sharing"",""ปัตตานี!I74"")"),4)</f>
        <v>4</v>
      </c>
      <c r="J149" s="282">
        <f ca="1">IFERROR(__xludf.DUMMYFUNCTION("IMPORTRANGE(""https://docs.google.com/spreadsheets/d/1IYY_tgx_IHuhSq3AJ5eI5OnqOPBNLWSHKh2a30DoXe8/edit?usp=sharing"",""ปัตตานี!J74"")"),1)</f>
        <v>1</v>
      </c>
      <c r="K149" s="283">
        <f ca="1">IF(I149&gt;0,J149*100/I149,0)</f>
        <v>25</v>
      </c>
      <c r="L149" s="284"/>
      <c r="M149" s="284"/>
      <c r="N149" s="284"/>
      <c r="O149" s="284"/>
      <c r="P149" s="284"/>
    </row>
    <row r="150" spans="1:16" ht="21.75" customHeight="1" x14ac:dyDescent="0.35">
      <c r="A150" s="162"/>
      <c r="B150" s="163"/>
      <c r="C150" s="163" t="s">
        <v>16</v>
      </c>
      <c r="D150" s="164" t="s">
        <v>38</v>
      </c>
      <c r="E150" s="165"/>
      <c r="F150" s="165"/>
      <c r="G150" s="166" t="s">
        <v>39</v>
      </c>
      <c r="H150" s="167" t="s">
        <v>12</v>
      </c>
      <c r="I150" s="168" t="s">
        <v>40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 x14ac:dyDescent="0.35">
      <c r="A151" s="162"/>
      <c r="B151" s="163"/>
      <c r="C151" s="163"/>
      <c r="D151" s="172"/>
      <c r="E151" s="165"/>
      <c r="F151" s="165" t="s">
        <v>40</v>
      </c>
      <c r="G151" s="166" t="s">
        <v>41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 x14ac:dyDescent="0.35">
      <c r="A152" s="162"/>
      <c r="B152" s="163"/>
      <c r="C152" s="163"/>
      <c r="D152" s="172"/>
      <c r="E152" s="165"/>
      <c r="F152" s="165"/>
      <c r="G152" s="177" t="s">
        <v>43</v>
      </c>
      <c r="H152" s="167" t="s">
        <v>12</v>
      </c>
      <c r="I152" s="168"/>
      <c r="J152" s="168"/>
      <c r="K152" s="169"/>
      <c r="L152" s="176"/>
      <c r="M152" s="176"/>
      <c r="N152" s="173"/>
      <c r="O152" s="176"/>
      <c r="P152" s="176"/>
    </row>
    <row r="153" spans="1:16" ht="21.75" customHeight="1" x14ac:dyDescent="0.35">
      <c r="A153" s="183"/>
      <c r="B153" s="184"/>
      <c r="C153" s="163" t="s">
        <v>16</v>
      </c>
      <c r="D153" s="185" t="s">
        <v>44</v>
      </c>
      <c r="E153" s="186"/>
      <c r="F153" s="186"/>
      <c r="G153" s="187"/>
      <c r="H153" s="188"/>
      <c r="I153" s="168"/>
      <c r="J153" s="168"/>
      <c r="K153" s="169"/>
      <c r="L153" s="189"/>
      <c r="M153" s="189"/>
      <c r="N153" s="189"/>
      <c r="O153" s="189"/>
      <c r="P153" s="189"/>
    </row>
    <row r="154" spans="1:16" ht="21.75" customHeight="1" x14ac:dyDescent="0.35">
      <c r="A154" s="183"/>
      <c r="B154" s="184"/>
      <c r="C154" s="184"/>
      <c r="D154" s="190">
        <v>1</v>
      </c>
      <c r="E154" s="191" t="s">
        <v>45</v>
      </c>
      <c r="F154" s="192"/>
      <c r="G154" s="193"/>
      <c r="H154" s="194"/>
      <c r="I154" s="195"/>
      <c r="J154" s="196">
        <f ca="1">IFERROR(__xludf.DUMMYFUNCTION("IMPORTRANGE(""https://docs.google.com/spreadsheets/d/1IYY_tgx_IHuhSq3AJ5eI5OnqOPBNLWSHKh2a30DoXe8/edit?usp=sharing"",""ปัตตานี!J79"")"),0)</f>
        <v>0</v>
      </c>
      <c r="K154" s="169"/>
      <c r="L154" s="189"/>
      <c r="M154" s="189"/>
      <c r="N154" s="189"/>
      <c r="O154" s="189"/>
      <c r="P154" s="189"/>
    </row>
    <row r="155" spans="1:16" ht="21.75" customHeight="1" x14ac:dyDescent="0.35">
      <c r="A155" s="183"/>
      <c r="B155" s="184"/>
      <c r="C155" s="184"/>
      <c r="D155" s="197">
        <v>2</v>
      </c>
      <c r="E155" s="198" t="s">
        <v>46</v>
      </c>
      <c r="F155" s="199"/>
      <c r="G155" s="200"/>
      <c r="H155" s="194"/>
      <c r="I155" s="195"/>
      <c r="J155" s="205">
        <f ca="1">IFERROR(__xludf.DUMMYFUNCTION("IMPORTRANGE(""https://docs.google.com/spreadsheets/d/1IYY_tgx_IHuhSq3AJ5eI5OnqOPBNLWSHKh2a30DoXe8/edit?usp=sharing"",""ปัตตานี!J80"")"),1)</f>
        <v>1</v>
      </c>
      <c r="K155" s="169"/>
      <c r="L155" s="189"/>
      <c r="M155" s="189"/>
      <c r="N155" s="189"/>
      <c r="O155" s="189"/>
      <c r="P155" s="189"/>
    </row>
    <row r="156" spans="1:16" ht="21.75" customHeight="1" x14ac:dyDescent="0.35">
      <c r="A156" s="183"/>
      <c r="B156" s="184"/>
      <c r="C156" s="184"/>
      <c r="D156" s="201"/>
      <c r="E156" s="202" t="s">
        <v>47</v>
      </c>
      <c r="F156" s="203"/>
      <c r="G156" s="204"/>
      <c r="H156" s="194"/>
      <c r="I156" s="195"/>
      <c r="J156" s="205">
        <f ca="1">IFERROR(__xludf.DUMMYFUNCTION("IMPORTRANGE(""https://docs.google.com/spreadsheets/d/1IYY_tgx_IHuhSq3AJ5eI5OnqOPBNLWSHKh2a30DoXe8/edit?usp=sharing"",""ปัตตานี!J81"")"),1)</f>
        <v>1</v>
      </c>
      <c r="K156" s="169"/>
      <c r="L156" s="189"/>
      <c r="M156" s="189"/>
      <c r="N156" s="189"/>
      <c r="O156" s="189"/>
      <c r="P156" s="189"/>
    </row>
    <row r="157" spans="1:16" ht="21.75" customHeight="1" x14ac:dyDescent="0.35">
      <c r="A157" s="183"/>
      <c r="B157" s="184"/>
      <c r="C157" s="184"/>
      <c r="D157" s="201"/>
      <c r="E157" s="202" t="s">
        <v>48</v>
      </c>
      <c r="F157" s="203"/>
      <c r="G157" s="204"/>
      <c r="H157" s="194"/>
      <c r="I157" s="195"/>
      <c r="J157" s="205">
        <f ca="1">IFERROR(__xludf.DUMMYFUNCTION("IMPORTRANGE(""https://docs.google.com/spreadsheets/d/1IYY_tgx_IHuhSq3AJ5eI5OnqOPBNLWSHKh2a30DoXe8/edit?usp=sharing"",""ปัตตานี!J82"")"),1)</f>
        <v>1</v>
      </c>
      <c r="K157" s="169"/>
      <c r="L157" s="189"/>
      <c r="M157" s="189"/>
      <c r="N157" s="189"/>
      <c r="O157" s="189"/>
      <c r="P157" s="189"/>
    </row>
    <row r="158" spans="1:16" ht="21.75" customHeight="1" x14ac:dyDescent="0.35">
      <c r="A158" s="183"/>
      <c r="B158" s="184"/>
      <c r="C158" s="184"/>
      <c r="D158" s="201"/>
      <c r="E158" s="206"/>
      <c r="F158" s="202" t="s">
        <v>78</v>
      </c>
      <c r="G158" s="204"/>
      <c r="H158" s="188" t="s">
        <v>77</v>
      </c>
      <c r="I158" s="195">
        <f ca="1">IFERROR(__xludf.DUMMYFUNCTION("IMPORTRANGE(""https://docs.google.com/spreadsheets/d/1IYY_tgx_IHuhSq3AJ5eI5OnqOPBNLWSHKh2a30DoXe8/edit?usp=sharing"",""ปัตตานี!I83"")"),4)</f>
        <v>4</v>
      </c>
      <c r="J158" s="196">
        <f ca="1">IFERROR(__xludf.DUMMYFUNCTION("IMPORTRANGE(""https://docs.google.com/spreadsheets/d/1IYY_tgx_IHuhSq3AJ5eI5OnqOPBNLWSHKh2a30DoXe8/edit?usp=sharing"",""ปัตตานี!J83"")"),1)</f>
        <v>1</v>
      </c>
      <c r="K158" s="169">
        <f ca="1">IF(I158&gt;0,J158*100/I158,0)</f>
        <v>25</v>
      </c>
      <c r="L158" s="189"/>
      <c r="M158" s="189"/>
      <c r="N158" s="189"/>
      <c r="O158" s="189"/>
      <c r="P158" s="189"/>
    </row>
    <row r="159" spans="1:16" ht="21.75" customHeight="1" x14ac:dyDescent="0.35">
      <c r="A159" s="183"/>
      <c r="B159" s="184"/>
      <c r="C159" s="184"/>
      <c r="D159" s="201"/>
      <c r="E159" s="203"/>
      <c r="F159" s="285" t="s">
        <v>79</v>
      </c>
      <c r="G159" s="204"/>
      <c r="H159" s="286" t="s">
        <v>37</v>
      </c>
      <c r="I159" s="195"/>
      <c r="J159" s="211">
        <f ca="1">IFERROR(__xludf.DUMMYFUNCTION("IMPORTRANGE(""https://docs.google.com/spreadsheets/d/1IYY_tgx_IHuhSq3AJ5eI5OnqOPBNLWSHKh2a30DoXe8/edit?usp=sharing"",""ปัตตานี!J84"")"),55)</f>
        <v>55</v>
      </c>
      <c r="K159" s="169"/>
      <c r="L159" s="189"/>
      <c r="M159" s="189"/>
      <c r="N159" s="189"/>
      <c r="O159" s="189"/>
      <c r="P159" s="189"/>
    </row>
    <row r="160" spans="1:16" ht="21.75" customHeight="1" x14ac:dyDescent="0.45">
      <c r="A160" s="183"/>
      <c r="B160" s="184"/>
      <c r="C160" s="184"/>
      <c r="D160" s="201"/>
      <c r="E160" s="203"/>
      <c r="F160" s="203"/>
      <c r="G160" s="287" t="s">
        <v>80</v>
      </c>
      <c r="H160" s="286" t="s">
        <v>37</v>
      </c>
      <c r="I160" s="195"/>
      <c r="J160" s="288">
        <f ca="1">IFERROR(__xludf.DUMMYFUNCTION("IMPORTRANGE(""https://docs.google.com/spreadsheets/d/1IYY_tgx_IHuhSq3AJ5eI5OnqOPBNLWSHKh2a30DoXe8/edit?usp=sharing"",""ปัตตานี!J85"")"),55)</f>
        <v>55</v>
      </c>
      <c r="K160" s="169"/>
      <c r="L160" s="189"/>
      <c r="M160" s="189"/>
      <c r="N160" s="189"/>
      <c r="O160" s="189"/>
      <c r="P160" s="189"/>
    </row>
    <row r="161" spans="1:16" ht="21.75" customHeight="1" x14ac:dyDescent="0.45">
      <c r="A161" s="183"/>
      <c r="B161" s="184"/>
      <c r="C161" s="184"/>
      <c r="D161" s="201"/>
      <c r="E161" s="203"/>
      <c r="F161" s="203"/>
      <c r="G161" s="287" t="s">
        <v>81</v>
      </c>
      <c r="H161" s="286" t="s">
        <v>37</v>
      </c>
      <c r="I161" s="195"/>
      <c r="J161" s="288">
        <f ca="1">IFERROR(__xludf.DUMMYFUNCTION("IMPORTRANGE(""https://docs.google.com/spreadsheets/d/1IYY_tgx_IHuhSq3AJ5eI5OnqOPBNLWSHKh2a30DoXe8/edit?usp=sharing"",""ปัตตานี!J86"")"),0)</f>
        <v>0</v>
      </c>
      <c r="K161" s="169"/>
      <c r="L161" s="189"/>
      <c r="M161" s="189"/>
      <c r="N161" s="189"/>
      <c r="O161" s="189"/>
      <c r="P161" s="189"/>
    </row>
    <row r="162" spans="1:16" ht="21.75" customHeight="1" x14ac:dyDescent="0.35">
      <c r="A162" s="183"/>
      <c r="B162" s="184"/>
      <c r="C162" s="184"/>
      <c r="D162" s="201"/>
      <c r="E162" s="202" t="s">
        <v>54</v>
      </c>
      <c r="F162" s="203"/>
      <c r="G162" s="204"/>
      <c r="H162" s="194"/>
      <c r="I162" s="195"/>
      <c r="J162" s="205">
        <f ca="1">IFERROR(__xludf.DUMMYFUNCTION("IMPORTRANGE(""https://docs.google.com/spreadsheets/d/1IYY_tgx_IHuhSq3AJ5eI5OnqOPBNLWSHKh2a30DoXe8/edit?usp=sharing"",""ปัตตานี!J87"")"),0)</f>
        <v>0</v>
      </c>
      <c r="K162" s="169"/>
      <c r="L162" s="189"/>
      <c r="M162" s="189"/>
      <c r="N162" s="189"/>
      <c r="O162" s="189"/>
      <c r="P162" s="189"/>
    </row>
    <row r="163" spans="1:16" ht="21.75" customHeight="1" x14ac:dyDescent="0.35">
      <c r="A163" s="183"/>
      <c r="B163" s="184"/>
      <c r="C163" s="184"/>
      <c r="D163" s="213">
        <v>3</v>
      </c>
      <c r="E163" s="214" t="s">
        <v>55</v>
      </c>
      <c r="F163" s="215"/>
      <c r="G163" s="216"/>
      <c r="H163" s="194"/>
      <c r="I163" s="195"/>
      <c r="J163" s="217">
        <f ca="1">IFERROR(__xludf.DUMMYFUNCTION("IMPORTRANGE(""https://docs.google.com/spreadsheets/d/1IYY_tgx_IHuhSq3AJ5eI5OnqOPBNLWSHKh2a30DoXe8/edit?usp=sharing"",""ปัตตานี!J88"")"),0)</f>
        <v>0</v>
      </c>
      <c r="K163" s="169"/>
      <c r="L163" s="189"/>
      <c r="M163" s="189"/>
      <c r="N163" s="189"/>
      <c r="O163" s="189"/>
      <c r="P163" s="189"/>
    </row>
    <row r="164" spans="1:16" ht="21.75" customHeight="1" x14ac:dyDescent="0.35">
      <c r="A164" s="277"/>
      <c r="B164" s="278"/>
      <c r="C164" s="279" t="s">
        <v>82</v>
      </c>
      <c r="D164" s="279"/>
      <c r="E164" s="279"/>
      <c r="F164" s="279"/>
      <c r="G164" s="280"/>
      <c r="H164" s="289" t="s">
        <v>83</v>
      </c>
      <c r="I164" s="290">
        <f ca="1">IFERROR(__xludf.DUMMYFUNCTION("IMPORTRANGE(""https://docs.google.com/spreadsheets/d/1IYY_tgx_IHuhSq3AJ5eI5OnqOPBNLWSHKh2a30DoXe8/edit?usp=sharing"",""ปัตตานี!I89"")"),2)</f>
        <v>2</v>
      </c>
      <c r="J164" s="290">
        <f ca="1">IFERROR(__xludf.DUMMYFUNCTION("IMPORTRANGE(""https://docs.google.com/spreadsheets/d/1IYY_tgx_IHuhSq3AJ5eI5OnqOPBNLWSHKh2a30DoXe8/edit?usp=sharing"",""ปัตตานี!J89"")"),2)</f>
        <v>2</v>
      </c>
      <c r="K164" s="291">
        <f ca="1">IF(I164&gt;0,J164*100/I164,0)</f>
        <v>100</v>
      </c>
      <c r="L164" s="284"/>
      <c r="M164" s="284"/>
      <c r="N164" s="284"/>
      <c r="O164" s="284"/>
      <c r="P164" s="284"/>
    </row>
    <row r="165" spans="1:16" ht="21.75" customHeight="1" x14ac:dyDescent="0.35">
      <c r="A165" s="162"/>
      <c r="B165" s="163"/>
      <c r="C165" s="163" t="s">
        <v>16</v>
      </c>
      <c r="D165" s="164" t="s">
        <v>38</v>
      </c>
      <c r="E165" s="165"/>
      <c r="F165" s="165"/>
      <c r="G165" s="166" t="s">
        <v>39</v>
      </c>
      <c r="H165" s="167" t="s">
        <v>12</v>
      </c>
      <c r="I165" s="168" t="s">
        <v>40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 x14ac:dyDescent="0.35">
      <c r="A166" s="162"/>
      <c r="B166" s="163"/>
      <c r="C166" s="163"/>
      <c r="D166" s="172"/>
      <c r="E166" s="165"/>
      <c r="F166" s="165" t="s">
        <v>40</v>
      </c>
      <c r="G166" s="166" t="s">
        <v>41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 x14ac:dyDescent="0.35">
      <c r="A167" s="162"/>
      <c r="B167" s="163"/>
      <c r="C167" s="163"/>
      <c r="D167" s="172"/>
      <c r="E167" s="165"/>
      <c r="F167" s="165"/>
      <c r="G167" s="177" t="s">
        <v>43</v>
      </c>
      <c r="H167" s="167" t="s">
        <v>12</v>
      </c>
      <c r="I167" s="168"/>
      <c r="J167" s="168"/>
      <c r="K167" s="169"/>
      <c r="L167" s="176"/>
      <c r="M167" s="176"/>
      <c r="N167" s="173"/>
      <c r="O167" s="176"/>
      <c r="P167" s="176"/>
    </row>
    <row r="168" spans="1:16" ht="21.75" customHeight="1" x14ac:dyDescent="0.35">
      <c r="A168" s="183"/>
      <c r="B168" s="184"/>
      <c r="C168" s="163" t="s">
        <v>16</v>
      </c>
      <c r="D168" s="185" t="s">
        <v>44</v>
      </c>
      <c r="E168" s="186"/>
      <c r="F168" s="186"/>
      <c r="G168" s="187"/>
      <c r="H168" s="188"/>
      <c r="I168" s="168"/>
      <c r="J168" s="168"/>
      <c r="K168" s="169"/>
      <c r="L168" s="189"/>
      <c r="M168" s="189"/>
      <c r="N168" s="189"/>
      <c r="O168" s="189"/>
      <c r="P168" s="189"/>
    </row>
    <row r="169" spans="1:16" ht="21.75" customHeight="1" x14ac:dyDescent="0.35">
      <c r="A169" s="183"/>
      <c r="B169" s="184"/>
      <c r="C169" s="184"/>
      <c r="D169" s="190">
        <v>1</v>
      </c>
      <c r="E169" s="191" t="s">
        <v>45</v>
      </c>
      <c r="F169" s="192"/>
      <c r="G169" s="193"/>
      <c r="H169" s="194"/>
      <c r="I169" s="195"/>
      <c r="J169" s="196">
        <f ca="1">IFERROR(__xludf.DUMMYFUNCTION("IMPORTRANGE(""https://docs.google.com/spreadsheets/d/1IYY_tgx_IHuhSq3AJ5eI5OnqOPBNLWSHKh2a30DoXe8/edit?usp=sharing"",""ปัตตานี!J94"")"),0)</f>
        <v>0</v>
      </c>
      <c r="K169" s="169"/>
      <c r="L169" s="189"/>
      <c r="M169" s="189"/>
      <c r="N169" s="189"/>
      <c r="O169" s="189"/>
      <c r="P169" s="189"/>
    </row>
    <row r="170" spans="1:16" ht="21.75" customHeight="1" x14ac:dyDescent="0.35">
      <c r="A170" s="183"/>
      <c r="B170" s="184"/>
      <c r="C170" s="184"/>
      <c r="D170" s="197">
        <v>2</v>
      </c>
      <c r="E170" s="198" t="s">
        <v>46</v>
      </c>
      <c r="F170" s="199"/>
      <c r="G170" s="200"/>
      <c r="H170" s="194"/>
      <c r="I170" s="195"/>
      <c r="J170" s="205">
        <f ca="1">IFERROR(__xludf.DUMMYFUNCTION("IMPORTRANGE(""https://docs.google.com/spreadsheets/d/1IYY_tgx_IHuhSq3AJ5eI5OnqOPBNLWSHKh2a30DoXe8/edit?usp=sharing"",""ปัตตานี!J95"")"),1)</f>
        <v>1</v>
      </c>
      <c r="K170" s="169"/>
      <c r="L170" s="189"/>
      <c r="M170" s="189"/>
      <c r="N170" s="189"/>
      <c r="O170" s="189"/>
      <c r="P170" s="189"/>
    </row>
    <row r="171" spans="1:16" ht="21.75" customHeight="1" x14ac:dyDescent="0.35">
      <c r="A171" s="183"/>
      <c r="B171" s="184"/>
      <c r="C171" s="184"/>
      <c r="D171" s="201"/>
      <c r="E171" s="202" t="s">
        <v>47</v>
      </c>
      <c r="F171" s="203"/>
      <c r="G171" s="204"/>
      <c r="H171" s="194"/>
      <c r="I171" s="195"/>
      <c r="J171" s="205">
        <f ca="1">IFERROR(__xludf.DUMMYFUNCTION("IMPORTRANGE(""https://docs.google.com/spreadsheets/d/1IYY_tgx_IHuhSq3AJ5eI5OnqOPBNLWSHKh2a30DoXe8/edit?usp=sharing"",""ปัตตานี!J96"")"),1)</f>
        <v>1</v>
      </c>
      <c r="K171" s="169"/>
      <c r="L171" s="189"/>
      <c r="M171" s="189"/>
      <c r="N171" s="189"/>
      <c r="O171" s="189"/>
      <c r="P171" s="189"/>
    </row>
    <row r="172" spans="1:16" ht="21.75" customHeight="1" x14ac:dyDescent="0.35">
      <c r="A172" s="183"/>
      <c r="B172" s="184"/>
      <c r="C172" s="184"/>
      <c r="D172" s="201"/>
      <c r="E172" s="202" t="s">
        <v>48</v>
      </c>
      <c r="F172" s="203"/>
      <c r="G172" s="204"/>
      <c r="H172" s="194"/>
      <c r="I172" s="195"/>
      <c r="J172" s="205">
        <f ca="1">IFERROR(__xludf.DUMMYFUNCTION("IMPORTRANGE(""https://docs.google.com/spreadsheets/d/1IYY_tgx_IHuhSq3AJ5eI5OnqOPBNLWSHKh2a30DoXe8/edit?usp=sharing"",""ปัตตานี!J97"")"),1)</f>
        <v>1</v>
      </c>
      <c r="K172" s="169"/>
      <c r="L172" s="189"/>
      <c r="M172" s="189"/>
      <c r="N172" s="189"/>
      <c r="O172" s="189"/>
      <c r="P172" s="189"/>
    </row>
    <row r="173" spans="1:16" ht="21.75" customHeight="1" x14ac:dyDescent="0.35">
      <c r="A173" s="183"/>
      <c r="B173" s="184"/>
      <c r="C173" s="184"/>
      <c r="D173" s="201"/>
      <c r="E173" s="206"/>
      <c r="F173" s="212" t="s">
        <v>84</v>
      </c>
      <c r="G173" s="204"/>
      <c r="H173" s="188" t="s">
        <v>83</v>
      </c>
      <c r="I173" s="195">
        <f ca="1">IFERROR(__xludf.DUMMYFUNCTION("IMPORTRANGE(""https://docs.google.com/spreadsheets/d/1IYY_tgx_IHuhSq3AJ5eI5OnqOPBNLWSHKh2a30DoXe8/edit?usp=sharing"",""ปัตตานี!I98"")"),2)</f>
        <v>2</v>
      </c>
      <c r="J173" s="196">
        <f ca="1">IFERROR(__xludf.DUMMYFUNCTION("IMPORTRANGE(""https://docs.google.com/spreadsheets/d/1IYY_tgx_IHuhSq3AJ5eI5OnqOPBNLWSHKh2a30DoXe8/edit?usp=sharing"",""ปัตตานี!J98"")"),2)</f>
        <v>2</v>
      </c>
      <c r="K173" s="169">
        <f ca="1">IF(I173&gt;0,J173*100/I173,0)</f>
        <v>100</v>
      </c>
      <c r="L173" s="176"/>
      <c r="M173" s="176"/>
      <c r="N173" s="173"/>
      <c r="O173" s="176"/>
      <c r="P173" s="176"/>
    </row>
    <row r="174" spans="1:16" ht="21.75" customHeight="1" x14ac:dyDescent="0.35">
      <c r="A174" s="183"/>
      <c r="B174" s="184"/>
      <c r="C174" s="184"/>
      <c r="D174" s="201"/>
      <c r="E174" s="202" t="s">
        <v>54</v>
      </c>
      <c r="F174" s="203"/>
      <c r="G174" s="204"/>
      <c r="H174" s="194"/>
      <c r="I174" s="195"/>
      <c r="J174" s="205">
        <f ca="1">IFERROR(__xludf.DUMMYFUNCTION("IMPORTRANGE(""https://docs.google.com/spreadsheets/d/1IYY_tgx_IHuhSq3AJ5eI5OnqOPBNLWSHKh2a30DoXe8/edit?usp=sharing"",""ปัตตานี!J99"")"),0)</f>
        <v>0</v>
      </c>
      <c r="K174" s="169"/>
      <c r="L174" s="189"/>
      <c r="M174" s="189"/>
      <c r="N174" s="189"/>
      <c r="O174" s="189"/>
      <c r="P174" s="189"/>
    </row>
    <row r="175" spans="1:16" ht="21.75" customHeight="1" x14ac:dyDescent="0.35">
      <c r="A175" s="183"/>
      <c r="B175" s="184"/>
      <c r="C175" s="184"/>
      <c r="D175" s="213">
        <v>3</v>
      </c>
      <c r="E175" s="214" t="s">
        <v>55</v>
      </c>
      <c r="F175" s="215"/>
      <c r="G175" s="216"/>
      <c r="H175" s="194"/>
      <c r="I175" s="195"/>
      <c r="J175" s="217">
        <f ca="1">IFERROR(__xludf.DUMMYFUNCTION("IMPORTRANGE(""https://docs.google.com/spreadsheets/d/1IYY_tgx_IHuhSq3AJ5eI5OnqOPBNLWSHKh2a30DoXe8/edit?usp=sharing"",""ปัตตานี!J100"")"),0)</f>
        <v>0</v>
      </c>
      <c r="K175" s="169"/>
      <c r="L175" s="189"/>
      <c r="M175" s="189"/>
      <c r="N175" s="189"/>
      <c r="O175" s="189"/>
      <c r="P175" s="189"/>
    </row>
    <row r="176" spans="1:16" ht="21.75" customHeight="1" x14ac:dyDescent="0.35">
      <c r="A176" s="277"/>
      <c r="B176" s="278"/>
      <c r="C176" s="279" t="s">
        <v>85</v>
      </c>
      <c r="D176" s="279"/>
      <c r="E176" s="279"/>
      <c r="F176" s="279"/>
      <c r="G176" s="280"/>
      <c r="H176" s="289" t="s">
        <v>83</v>
      </c>
      <c r="I176" s="290">
        <f ca="1">IFERROR(__xludf.DUMMYFUNCTION("IMPORTRANGE(""https://docs.google.com/spreadsheets/d/1IYY_tgx_IHuhSq3AJ5eI5OnqOPBNLWSHKh2a30DoXe8/edit?usp=sharing"",""ปัตตานี!I101"")"),0)</f>
        <v>0</v>
      </c>
      <c r="J176" s="290">
        <f ca="1">IFERROR(__xludf.DUMMYFUNCTION("IMPORTRANGE(""https://docs.google.com/spreadsheets/d/1IYY_tgx_IHuhSq3AJ5eI5OnqOPBNLWSHKh2a30DoXe8/edit?usp=sharing"",""ปัตตานี!J101"")"),0)</f>
        <v>0</v>
      </c>
      <c r="K176" s="291">
        <f ca="1">IF(I176&gt;0,J176*100/I176,0)</f>
        <v>0</v>
      </c>
      <c r="L176" s="284"/>
      <c r="M176" s="284"/>
      <c r="N176" s="284"/>
      <c r="O176" s="284"/>
      <c r="P176" s="284"/>
    </row>
    <row r="177" spans="1:16" ht="21.75" customHeight="1" x14ac:dyDescent="0.35">
      <c r="A177" s="162"/>
      <c r="B177" s="163"/>
      <c r="C177" s="163" t="s">
        <v>16</v>
      </c>
      <c r="D177" s="164" t="s">
        <v>38</v>
      </c>
      <c r="E177" s="165"/>
      <c r="F177" s="165"/>
      <c r="G177" s="166" t="s">
        <v>39</v>
      </c>
      <c r="H177" s="167" t="s">
        <v>12</v>
      </c>
      <c r="I177" s="168" t="s">
        <v>40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 x14ac:dyDescent="0.35">
      <c r="A178" s="162"/>
      <c r="B178" s="163"/>
      <c r="C178" s="163"/>
      <c r="D178" s="172"/>
      <c r="E178" s="165"/>
      <c r="F178" s="165" t="s">
        <v>40</v>
      </c>
      <c r="G178" s="166" t="s">
        <v>41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 x14ac:dyDescent="0.35">
      <c r="A179" s="162"/>
      <c r="B179" s="163"/>
      <c r="C179" s="163"/>
      <c r="D179" s="172"/>
      <c r="E179" s="165"/>
      <c r="F179" s="165"/>
      <c r="G179" s="177" t="s">
        <v>43</v>
      </c>
      <c r="H179" s="167" t="s">
        <v>12</v>
      </c>
      <c r="I179" s="168"/>
      <c r="J179" s="195"/>
      <c r="K179" s="231"/>
      <c r="L179" s="176"/>
      <c r="M179" s="176"/>
      <c r="N179" s="173"/>
      <c r="O179" s="176"/>
      <c r="P179" s="176"/>
    </row>
    <row r="180" spans="1:16" ht="21.75" customHeight="1" x14ac:dyDescent="0.35">
      <c r="A180" s="183"/>
      <c r="B180" s="184"/>
      <c r="C180" s="163" t="s">
        <v>16</v>
      </c>
      <c r="D180" s="185" t="s">
        <v>44</v>
      </c>
      <c r="E180" s="186"/>
      <c r="F180" s="186"/>
      <c r="G180" s="187"/>
      <c r="H180" s="188"/>
      <c r="I180" s="168"/>
      <c r="J180" s="195"/>
      <c r="K180" s="231"/>
      <c r="L180" s="176"/>
      <c r="M180" s="176"/>
      <c r="N180" s="176"/>
      <c r="O180" s="189"/>
      <c r="P180" s="189"/>
    </row>
    <row r="181" spans="1:16" ht="21.75" customHeight="1" x14ac:dyDescent="0.35">
      <c r="A181" s="183"/>
      <c r="B181" s="184"/>
      <c r="C181" s="184"/>
      <c r="D181" s="190">
        <v>1</v>
      </c>
      <c r="E181" s="191" t="s">
        <v>45</v>
      </c>
      <c r="F181" s="192"/>
      <c r="G181" s="193"/>
      <c r="H181" s="194"/>
      <c r="I181" s="195"/>
      <c r="J181" s="195">
        <f ca="1">IFERROR(__xludf.DUMMYFUNCTION("IMPORTRANGE(""https://docs.google.com/spreadsheets/d/1IYY_tgx_IHuhSq3AJ5eI5OnqOPBNLWSHKh2a30DoXe8/edit?usp=sharing"",""ปัตตานี!J106"")"),0)</f>
        <v>0</v>
      </c>
      <c r="K181" s="231"/>
      <c r="L181" s="176"/>
      <c r="M181" s="176"/>
      <c r="N181" s="176"/>
      <c r="O181" s="189"/>
      <c r="P181" s="189"/>
    </row>
    <row r="182" spans="1:16" ht="21.75" customHeight="1" x14ac:dyDescent="0.35">
      <c r="A182" s="183"/>
      <c r="B182" s="184"/>
      <c r="C182" s="184"/>
      <c r="D182" s="197">
        <v>2</v>
      </c>
      <c r="E182" s="198" t="s">
        <v>46</v>
      </c>
      <c r="F182" s="199"/>
      <c r="G182" s="200"/>
      <c r="H182" s="194"/>
      <c r="I182" s="195"/>
      <c r="J182" s="195">
        <f ca="1">IFERROR(__xludf.DUMMYFUNCTION("IMPORTRANGE(""https://docs.google.com/spreadsheets/d/1IYY_tgx_IHuhSq3AJ5eI5OnqOPBNLWSHKh2a30DoXe8/edit?usp=sharing"",""ปัตตานี!J107"")"),0)</f>
        <v>0</v>
      </c>
      <c r="K182" s="231"/>
      <c r="L182" s="176"/>
      <c r="M182" s="176"/>
      <c r="N182" s="176"/>
      <c r="O182" s="189"/>
      <c r="P182" s="189"/>
    </row>
    <row r="183" spans="1:16" ht="21.75" customHeight="1" x14ac:dyDescent="0.35">
      <c r="A183" s="183"/>
      <c r="B183" s="184"/>
      <c r="C183" s="184"/>
      <c r="D183" s="201"/>
      <c r="E183" s="202" t="s">
        <v>47</v>
      </c>
      <c r="F183" s="203"/>
      <c r="G183" s="204"/>
      <c r="H183" s="194"/>
      <c r="I183" s="195"/>
      <c r="J183" s="195">
        <f ca="1">IFERROR(__xludf.DUMMYFUNCTION("IMPORTRANGE(""https://docs.google.com/spreadsheets/d/1IYY_tgx_IHuhSq3AJ5eI5OnqOPBNLWSHKh2a30DoXe8/edit?usp=sharing"",""ปัตตานี!J108"")"),0)</f>
        <v>0</v>
      </c>
      <c r="K183" s="231"/>
      <c r="L183" s="176"/>
      <c r="M183" s="176"/>
      <c r="N183" s="176"/>
      <c r="O183" s="189"/>
      <c r="P183" s="189"/>
    </row>
    <row r="184" spans="1:16" ht="21.75" customHeight="1" x14ac:dyDescent="0.35">
      <c r="A184" s="183"/>
      <c r="B184" s="184"/>
      <c r="C184" s="184"/>
      <c r="D184" s="201"/>
      <c r="E184" s="202" t="s">
        <v>48</v>
      </c>
      <c r="F184" s="203"/>
      <c r="G184" s="204"/>
      <c r="H184" s="194"/>
      <c r="I184" s="195"/>
      <c r="J184" s="195">
        <f ca="1">IFERROR(__xludf.DUMMYFUNCTION("IMPORTRANGE(""https://docs.google.com/spreadsheets/d/1IYY_tgx_IHuhSq3AJ5eI5OnqOPBNLWSHKh2a30DoXe8/edit?usp=sharing"",""ปัตตานี!J109"")"),0)</f>
        <v>0</v>
      </c>
      <c r="K184" s="231"/>
      <c r="L184" s="176"/>
      <c r="M184" s="176"/>
      <c r="N184" s="176"/>
      <c r="O184" s="189"/>
      <c r="P184" s="189"/>
    </row>
    <row r="185" spans="1:16" ht="21.75" customHeight="1" x14ac:dyDescent="0.35">
      <c r="A185" s="183"/>
      <c r="B185" s="184"/>
      <c r="C185" s="184"/>
      <c r="D185" s="201"/>
      <c r="E185" s="206"/>
      <c r="F185" s="202" t="s">
        <v>86</v>
      </c>
      <c r="G185" s="204"/>
      <c r="H185" s="188" t="s">
        <v>83</v>
      </c>
      <c r="I185" s="195">
        <f ca="1">IFERROR(__xludf.DUMMYFUNCTION("IMPORTRANGE(""https://docs.google.com/spreadsheets/d/1IYY_tgx_IHuhSq3AJ5eI5OnqOPBNLWSHKh2a30DoXe8/edit?usp=sharing"",""ปัตตานี!I110"")"),0)</f>
        <v>0</v>
      </c>
      <c r="J185" s="211">
        <f ca="1">IFERROR(__xludf.DUMMYFUNCTION("IMPORTRANGE(""https://docs.google.com/spreadsheets/d/1IYY_tgx_IHuhSq3AJ5eI5OnqOPBNLWSHKh2a30DoXe8/edit?usp=sharing"",""ปัตตานี!J110"")"),0)</f>
        <v>0</v>
      </c>
      <c r="K185" s="231">
        <f t="shared" ref="K185:K186" ca="1" si="69">IF(I185&gt;0,J185*100/I185,0)</f>
        <v>0</v>
      </c>
      <c r="L185" s="176"/>
      <c r="M185" s="176"/>
      <c r="N185" s="173"/>
      <c r="O185" s="176"/>
      <c r="P185" s="176"/>
    </row>
    <row r="186" spans="1:16" ht="21.75" customHeight="1" x14ac:dyDescent="0.35">
      <c r="A186" s="183"/>
      <c r="B186" s="184"/>
      <c r="C186" s="184"/>
      <c r="D186" s="201"/>
      <c r="E186" s="206"/>
      <c r="F186" s="202" t="s">
        <v>87</v>
      </c>
      <c r="G186" s="204"/>
      <c r="H186" s="188" t="s">
        <v>83</v>
      </c>
      <c r="I186" s="195">
        <f ca="1">IFERROR(__xludf.DUMMYFUNCTION("IMPORTRANGE(""https://docs.google.com/spreadsheets/d/1IYY_tgx_IHuhSq3AJ5eI5OnqOPBNLWSHKh2a30DoXe8/edit?usp=sharing"",""ปัตตานี!I111"")"),0)</f>
        <v>0</v>
      </c>
      <c r="J186" s="211">
        <f ca="1">IFERROR(__xludf.DUMMYFUNCTION("IMPORTRANGE(""https://docs.google.com/spreadsheets/d/1IYY_tgx_IHuhSq3AJ5eI5OnqOPBNLWSHKh2a30DoXe8/edit?usp=sharing"",""ปัตตานี!J111"")"),0)</f>
        <v>0</v>
      </c>
      <c r="K186" s="231">
        <f t="shared" ca="1" si="69"/>
        <v>0</v>
      </c>
      <c r="L186" s="176"/>
      <c r="M186" s="176"/>
      <c r="N186" s="173"/>
      <c r="O186" s="176"/>
      <c r="P186" s="176"/>
    </row>
    <row r="187" spans="1:16" ht="21.75" customHeight="1" x14ac:dyDescent="0.35">
      <c r="A187" s="183"/>
      <c r="B187" s="184"/>
      <c r="C187" s="184"/>
      <c r="D187" s="201"/>
      <c r="E187" s="202" t="s">
        <v>54</v>
      </c>
      <c r="F187" s="203"/>
      <c r="G187" s="204"/>
      <c r="H187" s="194"/>
      <c r="I187" s="195"/>
      <c r="J187" s="195">
        <f ca="1">IFERROR(__xludf.DUMMYFUNCTION("IMPORTRANGE(""https://docs.google.com/spreadsheets/d/1IYY_tgx_IHuhSq3AJ5eI5OnqOPBNLWSHKh2a30DoXe8/edit?usp=sharing"",""ปัตตานี!J112"")"),0)</f>
        <v>0</v>
      </c>
      <c r="K187" s="231"/>
      <c r="L187" s="176"/>
      <c r="M187" s="176"/>
      <c r="N187" s="176"/>
      <c r="O187" s="189"/>
      <c r="P187" s="189"/>
    </row>
    <row r="188" spans="1:16" ht="21.75" customHeight="1" x14ac:dyDescent="0.35">
      <c r="A188" s="183"/>
      <c r="B188" s="184"/>
      <c r="C188" s="184"/>
      <c r="D188" s="213">
        <v>3</v>
      </c>
      <c r="E188" s="214" t="s">
        <v>55</v>
      </c>
      <c r="F188" s="215"/>
      <c r="G188" s="216"/>
      <c r="H188" s="194"/>
      <c r="I188" s="195"/>
      <c r="J188" s="234">
        <f ca="1">IFERROR(__xludf.DUMMYFUNCTION("IMPORTRANGE(""https://docs.google.com/spreadsheets/d/1IYY_tgx_IHuhSq3AJ5eI5OnqOPBNLWSHKh2a30DoXe8/edit?usp=sharing"",""ปัตตานี!J113"")"),0)</f>
        <v>0</v>
      </c>
      <c r="K188" s="231"/>
      <c r="L188" s="176"/>
      <c r="M188" s="176"/>
      <c r="N188" s="176"/>
      <c r="O188" s="189"/>
      <c r="P188" s="189"/>
    </row>
    <row r="189" spans="1:16" ht="21.75" customHeight="1" x14ac:dyDescent="0.35">
      <c r="A189" s="277"/>
      <c r="B189" s="278"/>
      <c r="C189" s="279" t="s">
        <v>88</v>
      </c>
      <c r="D189" s="279"/>
      <c r="E189" s="279"/>
      <c r="F189" s="279"/>
      <c r="G189" s="280"/>
      <c r="H189" s="292" t="s">
        <v>89</v>
      </c>
      <c r="I189" s="290">
        <f ca="1">IFERROR(__xludf.DUMMYFUNCTION("IMPORTRANGE(""https://docs.google.com/spreadsheets/d/1IYY_tgx_IHuhSq3AJ5eI5OnqOPBNLWSHKh2a30DoXe8/edit?usp=sharing"",""ปัตตานี!I114"")"),12800)</f>
        <v>12800</v>
      </c>
      <c r="J189" s="290">
        <f ca="1">IFERROR(__xludf.DUMMYFUNCTION("IMPORTRANGE(""https://docs.google.com/spreadsheets/d/1IYY_tgx_IHuhSq3AJ5eI5OnqOPBNLWSHKh2a30DoXe8/edit?usp=sharing"",""ปัตตานี!J114"")"),0)</f>
        <v>0</v>
      </c>
      <c r="K189" s="291">
        <f ca="1">IF(I189&gt;0,J189*100/I189,0)</f>
        <v>0</v>
      </c>
      <c r="L189" s="284"/>
      <c r="M189" s="284"/>
      <c r="N189" s="284"/>
      <c r="O189" s="284"/>
      <c r="P189" s="284"/>
    </row>
    <row r="190" spans="1:16" ht="21.75" customHeight="1" x14ac:dyDescent="0.35">
      <c r="A190" s="162"/>
      <c r="B190" s="163"/>
      <c r="C190" s="163" t="s">
        <v>16</v>
      </c>
      <c r="D190" s="164" t="s">
        <v>38</v>
      </c>
      <c r="E190" s="165"/>
      <c r="F190" s="165"/>
      <c r="G190" s="166" t="s">
        <v>39</v>
      </c>
      <c r="H190" s="167" t="s">
        <v>12</v>
      </c>
      <c r="I190" s="168" t="s">
        <v>40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 x14ac:dyDescent="0.35">
      <c r="A191" s="162"/>
      <c r="B191" s="163"/>
      <c r="C191" s="163"/>
      <c r="D191" s="172"/>
      <c r="E191" s="165"/>
      <c r="F191" s="165" t="s">
        <v>40</v>
      </c>
      <c r="G191" s="166" t="s">
        <v>41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 x14ac:dyDescent="0.35">
      <c r="A192" s="162"/>
      <c r="B192" s="163"/>
      <c r="C192" s="163"/>
      <c r="D192" s="172"/>
      <c r="E192" s="165"/>
      <c r="F192" s="165"/>
      <c r="G192" s="177" t="s">
        <v>43</v>
      </c>
      <c r="H192" s="167" t="s">
        <v>12</v>
      </c>
      <c r="I192" s="168"/>
      <c r="J192" s="168"/>
      <c r="K192" s="169"/>
      <c r="L192" s="176"/>
      <c r="M192" s="176"/>
      <c r="N192" s="173"/>
      <c r="O192" s="176"/>
      <c r="P192" s="176"/>
    </row>
    <row r="193" spans="1:16" ht="21.75" customHeight="1" x14ac:dyDescent="0.35">
      <c r="A193" s="183"/>
      <c r="B193" s="184"/>
      <c r="C193" s="163" t="s">
        <v>16</v>
      </c>
      <c r="D193" s="185" t="s">
        <v>44</v>
      </c>
      <c r="E193" s="186"/>
      <c r="F193" s="186"/>
      <c r="G193" s="187"/>
      <c r="H193" s="188"/>
      <c r="I193" s="168"/>
      <c r="J193" s="168"/>
      <c r="K193" s="169"/>
      <c r="L193" s="189"/>
      <c r="M193" s="189"/>
      <c r="N193" s="189"/>
      <c r="O193" s="189"/>
      <c r="P193" s="189"/>
    </row>
    <row r="194" spans="1:16" ht="21.75" customHeight="1" x14ac:dyDescent="0.35">
      <c r="A194" s="183"/>
      <c r="B194" s="184"/>
      <c r="C194" s="184"/>
      <c r="D194" s="190">
        <v>1</v>
      </c>
      <c r="E194" s="191" t="s">
        <v>45</v>
      </c>
      <c r="F194" s="192"/>
      <c r="G194" s="193"/>
      <c r="H194" s="194"/>
      <c r="I194" s="195"/>
      <c r="J194" s="205">
        <f ca="1">IFERROR(__xludf.DUMMYFUNCTION("IMPORTRANGE(""https://docs.google.com/spreadsheets/d/1IYY_tgx_IHuhSq3AJ5eI5OnqOPBNLWSHKh2a30DoXe8/edit?usp=sharing"",""ปัตตานี!J119"")"),0)</f>
        <v>0</v>
      </c>
      <c r="K194" s="169"/>
      <c r="L194" s="189"/>
      <c r="M194" s="189"/>
      <c r="N194" s="189"/>
      <c r="O194" s="189"/>
      <c r="P194" s="189"/>
    </row>
    <row r="195" spans="1:16" ht="21.75" customHeight="1" x14ac:dyDescent="0.35">
      <c r="A195" s="183"/>
      <c r="B195" s="184"/>
      <c r="C195" s="184"/>
      <c r="D195" s="197">
        <v>2</v>
      </c>
      <c r="E195" s="198" t="s">
        <v>46</v>
      </c>
      <c r="F195" s="199"/>
      <c r="G195" s="200"/>
      <c r="H195" s="194"/>
      <c r="I195" s="195"/>
      <c r="J195" s="196">
        <f ca="1">IFERROR(__xludf.DUMMYFUNCTION("IMPORTRANGE(""https://docs.google.com/spreadsheets/d/1IYY_tgx_IHuhSq3AJ5eI5OnqOPBNLWSHKh2a30DoXe8/edit?usp=sharing"",""ปัตตานี!J120"")"),1)</f>
        <v>1</v>
      </c>
      <c r="K195" s="169"/>
      <c r="L195" s="189"/>
      <c r="M195" s="189"/>
      <c r="N195" s="189"/>
      <c r="O195" s="189"/>
      <c r="P195" s="189"/>
    </row>
    <row r="196" spans="1:16" ht="21.75" customHeight="1" x14ac:dyDescent="0.35">
      <c r="A196" s="183"/>
      <c r="B196" s="184"/>
      <c r="C196" s="184"/>
      <c r="D196" s="201"/>
      <c r="E196" s="202" t="s">
        <v>47</v>
      </c>
      <c r="F196" s="203"/>
      <c r="G196" s="204"/>
      <c r="H196" s="194"/>
      <c r="I196" s="195"/>
      <c r="J196" s="196">
        <f ca="1">IFERROR(__xludf.DUMMYFUNCTION("IMPORTRANGE(""https://docs.google.com/spreadsheets/d/1IYY_tgx_IHuhSq3AJ5eI5OnqOPBNLWSHKh2a30DoXe8/edit?usp=sharing"",""ปัตตานี!J121"")"),1)</f>
        <v>1</v>
      </c>
      <c r="K196" s="169"/>
      <c r="L196" s="189"/>
      <c r="M196" s="189"/>
      <c r="N196" s="189"/>
      <c r="O196" s="189"/>
      <c r="P196" s="189"/>
    </row>
    <row r="197" spans="1:16" ht="21.75" customHeight="1" x14ac:dyDescent="0.35">
      <c r="A197" s="183"/>
      <c r="B197" s="184"/>
      <c r="C197" s="184"/>
      <c r="D197" s="201"/>
      <c r="E197" s="202" t="s">
        <v>48</v>
      </c>
      <c r="F197" s="203"/>
      <c r="G197" s="204"/>
      <c r="H197" s="194"/>
      <c r="I197" s="195"/>
      <c r="J197" s="205">
        <f ca="1">IFERROR(__xludf.DUMMYFUNCTION("IMPORTRANGE(""https://docs.google.com/spreadsheets/d/1IYY_tgx_IHuhSq3AJ5eI5OnqOPBNLWSHKh2a30DoXe8/edit?usp=sharing"",""ปัตตานี!J122"")"),1)</f>
        <v>1</v>
      </c>
      <c r="K197" s="169"/>
      <c r="L197" s="189"/>
      <c r="M197" s="189"/>
      <c r="N197" s="189"/>
      <c r="O197" s="189"/>
      <c r="P197" s="189"/>
    </row>
    <row r="198" spans="1:16" ht="21.75" customHeight="1" x14ac:dyDescent="0.35">
      <c r="A198" s="183"/>
      <c r="B198" s="184"/>
      <c r="C198" s="184"/>
      <c r="D198" s="201"/>
      <c r="E198" s="203"/>
      <c r="F198" s="203" t="s">
        <v>90</v>
      </c>
      <c r="G198" s="204"/>
      <c r="H198" s="188"/>
      <c r="I198" s="195"/>
      <c r="J198" s="195"/>
      <c r="K198" s="169"/>
      <c r="L198" s="189"/>
      <c r="M198" s="189"/>
      <c r="N198" s="189"/>
      <c r="O198" s="189"/>
      <c r="P198" s="189"/>
    </row>
    <row r="199" spans="1:16" ht="21.75" customHeight="1" x14ac:dyDescent="0.35">
      <c r="A199" s="183"/>
      <c r="B199" s="184"/>
      <c r="C199" s="184"/>
      <c r="D199" s="201"/>
      <c r="E199" s="206"/>
      <c r="F199" s="203"/>
      <c r="G199" s="202" t="s">
        <v>91</v>
      </c>
      <c r="H199" s="188" t="s">
        <v>89</v>
      </c>
      <c r="I199" s="195">
        <f ca="1">IFERROR(__xludf.DUMMYFUNCTION("IMPORTRANGE(""https://docs.google.com/spreadsheets/d/1IYY_tgx_IHuhSq3AJ5eI5OnqOPBNLWSHKh2a30DoXe8/edit?usp=sharing"",""ปัตตานี!I124"")"),12800)</f>
        <v>12800</v>
      </c>
      <c r="J199" s="196">
        <f ca="1">IFERROR(__xludf.DUMMYFUNCTION("IMPORTRANGE(""https://docs.google.com/spreadsheets/d/1IYY_tgx_IHuhSq3AJ5eI5OnqOPBNLWSHKh2a30DoXe8/edit?usp=sharing"",""ปัตตานี!J124"")"),0)</f>
        <v>0</v>
      </c>
      <c r="K199" s="169">
        <f t="shared" ref="K199:K201" ca="1" si="70">IF(I199&gt;0,J199*100/I199,0)</f>
        <v>0</v>
      </c>
      <c r="L199" s="189"/>
      <c r="M199" s="189"/>
      <c r="N199" s="189"/>
      <c r="O199" s="189"/>
      <c r="P199" s="189"/>
    </row>
    <row r="200" spans="1:16" ht="21.75" customHeight="1" x14ac:dyDescent="0.35">
      <c r="A200" s="183"/>
      <c r="B200" s="184"/>
      <c r="C200" s="184"/>
      <c r="D200" s="201"/>
      <c r="E200" s="206"/>
      <c r="F200" s="203"/>
      <c r="G200" s="202" t="s">
        <v>92</v>
      </c>
      <c r="H200" s="188" t="s">
        <v>89</v>
      </c>
      <c r="I200" s="195">
        <f ca="1">IFERROR(__xludf.DUMMYFUNCTION("IMPORTRANGE(""https://docs.google.com/spreadsheets/d/1IYY_tgx_IHuhSq3AJ5eI5OnqOPBNLWSHKh2a30DoXe8/edit?usp=sharing"",""ปัตตานี!I125"")"),12800)</f>
        <v>12800</v>
      </c>
      <c r="J200" s="196">
        <f ca="1">IFERROR(__xludf.DUMMYFUNCTION("IMPORTRANGE(""https://docs.google.com/spreadsheets/d/1IYY_tgx_IHuhSq3AJ5eI5OnqOPBNLWSHKh2a30DoXe8/edit?usp=sharing"",""ปัตตานี!J125"")"),0)</f>
        <v>0</v>
      </c>
      <c r="K200" s="169">
        <f t="shared" ca="1" si="70"/>
        <v>0</v>
      </c>
      <c r="L200" s="176"/>
      <c r="M200" s="176"/>
      <c r="N200" s="173"/>
      <c r="O200" s="176"/>
      <c r="P200" s="176"/>
    </row>
    <row r="201" spans="1:16" ht="21.75" customHeight="1" x14ac:dyDescent="0.35">
      <c r="A201" s="183"/>
      <c r="B201" s="184"/>
      <c r="C201" s="184"/>
      <c r="D201" s="201"/>
      <c r="E201" s="206"/>
      <c r="F201" s="203" t="s">
        <v>93</v>
      </c>
      <c r="G201" s="204"/>
      <c r="H201" s="188" t="s">
        <v>37</v>
      </c>
      <c r="I201" s="195">
        <f ca="1">IFERROR(__xludf.DUMMYFUNCTION("IMPORTRANGE(""https://docs.google.com/spreadsheets/d/1IYY_tgx_IHuhSq3AJ5eI5OnqOPBNLWSHKh2a30DoXe8/edit?usp=sharing"",""ปัตตานี!I126"")"),15)</f>
        <v>15</v>
      </c>
      <c r="J201" s="196">
        <f ca="1">IFERROR(__xludf.DUMMYFUNCTION("IMPORTRANGE(""https://docs.google.com/spreadsheets/d/1IYY_tgx_IHuhSq3AJ5eI5OnqOPBNLWSHKh2a30DoXe8/edit?usp=sharing"",""ปัตตานี!J126"")"),15)</f>
        <v>15</v>
      </c>
      <c r="K201" s="169">
        <f t="shared" ca="1" si="70"/>
        <v>100</v>
      </c>
      <c r="L201" s="176"/>
      <c r="M201" s="176"/>
      <c r="N201" s="173"/>
      <c r="O201" s="176"/>
      <c r="P201" s="176"/>
    </row>
    <row r="202" spans="1:16" ht="21.75" customHeight="1" x14ac:dyDescent="0.35">
      <c r="A202" s="183"/>
      <c r="B202" s="184"/>
      <c r="C202" s="184"/>
      <c r="D202" s="201"/>
      <c r="E202" s="202" t="s">
        <v>54</v>
      </c>
      <c r="F202" s="203"/>
      <c r="G202" s="204"/>
      <c r="H202" s="194"/>
      <c r="I202" s="195"/>
      <c r="J202" s="205">
        <f ca="1">IFERROR(__xludf.DUMMYFUNCTION("IMPORTRANGE(""https://docs.google.com/spreadsheets/d/1IYY_tgx_IHuhSq3AJ5eI5OnqOPBNLWSHKh2a30DoXe8/edit?usp=sharing"",""ปัตตานี!J127"")"),0)</f>
        <v>0</v>
      </c>
      <c r="K202" s="169"/>
      <c r="L202" s="189"/>
      <c r="M202" s="189"/>
      <c r="N202" s="189"/>
      <c r="O202" s="189"/>
      <c r="P202" s="189"/>
    </row>
    <row r="203" spans="1:16" ht="21.75" customHeight="1" x14ac:dyDescent="0.35">
      <c r="A203" s="241"/>
      <c r="B203" s="242"/>
      <c r="C203" s="242"/>
      <c r="D203" s="243">
        <v>3</v>
      </c>
      <c r="E203" s="244" t="s">
        <v>55</v>
      </c>
      <c r="F203" s="245"/>
      <c r="G203" s="246"/>
      <c r="H203" s="247"/>
      <c r="I203" s="248"/>
      <c r="J203" s="293">
        <f ca="1">IFERROR(__xludf.DUMMYFUNCTION("IMPORTRANGE(""https://docs.google.com/spreadsheets/d/1IYY_tgx_IHuhSq3AJ5eI5OnqOPBNLWSHKh2a30DoXe8/edit?usp=sharing"",""ปัตตานี!J128"")"),0)</f>
        <v>0</v>
      </c>
      <c r="K203" s="294"/>
      <c r="L203" s="252"/>
      <c r="M203" s="252"/>
      <c r="N203" s="252"/>
      <c r="O203" s="252"/>
      <c r="P203" s="252"/>
    </row>
    <row r="204" spans="1:16" ht="21.75" customHeight="1" x14ac:dyDescent="0.35">
      <c r="A204" s="277"/>
      <c r="B204" s="278"/>
      <c r="C204" s="295" t="s">
        <v>94</v>
      </c>
      <c r="D204" s="279"/>
      <c r="E204" s="279"/>
      <c r="F204" s="279"/>
      <c r="G204" s="280"/>
      <c r="H204" s="292" t="s">
        <v>37</v>
      </c>
      <c r="I204" s="290">
        <f ca="1">IFERROR(__xludf.DUMMYFUNCTION("IMPORTRANGE(""https://docs.google.com/spreadsheets/d/1IYY_tgx_IHuhSq3AJ5eI5OnqOPBNLWSHKh2a30DoXe8/edit?usp=sharing"",""ปัตตานี!I129"")"),0)</f>
        <v>0</v>
      </c>
      <c r="J204" s="290">
        <f ca="1">IFERROR(__xludf.DUMMYFUNCTION("IMPORTRANGE(""https://docs.google.com/spreadsheets/d/1IYY_tgx_IHuhSq3AJ5eI5OnqOPBNLWSHKh2a30DoXe8/edit?usp=sharing"",""ปัตตานี!J129"")"),0)</f>
        <v>0</v>
      </c>
      <c r="K204" s="291">
        <f ca="1">IF(I204&gt;0,J204*100/I204,0)</f>
        <v>0</v>
      </c>
      <c r="L204" s="284"/>
      <c r="M204" s="284"/>
      <c r="N204" s="284"/>
      <c r="O204" s="284"/>
      <c r="P204" s="284"/>
    </row>
    <row r="205" spans="1:16" ht="21.75" customHeight="1" x14ac:dyDescent="0.35">
      <c r="A205" s="162"/>
      <c r="B205" s="163"/>
      <c r="C205" s="163" t="s">
        <v>16</v>
      </c>
      <c r="D205" s="164" t="s">
        <v>38</v>
      </c>
      <c r="E205" s="165"/>
      <c r="F205" s="165"/>
      <c r="G205" s="166" t="s">
        <v>39</v>
      </c>
      <c r="H205" s="167" t="s">
        <v>12</v>
      </c>
      <c r="I205" s="168" t="s">
        <v>40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 x14ac:dyDescent="0.35">
      <c r="A206" s="162"/>
      <c r="B206" s="163"/>
      <c r="C206" s="163"/>
      <c r="D206" s="172"/>
      <c r="E206" s="165"/>
      <c r="F206" s="165" t="s">
        <v>40</v>
      </c>
      <c r="G206" s="166" t="s">
        <v>41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 x14ac:dyDescent="0.35">
      <c r="A207" s="162"/>
      <c r="B207" s="163"/>
      <c r="C207" s="163"/>
      <c r="D207" s="172"/>
      <c r="E207" s="165"/>
      <c r="F207" s="165"/>
      <c r="G207" s="177" t="s">
        <v>43</v>
      </c>
      <c r="H207" s="167" t="s">
        <v>12</v>
      </c>
      <c r="I207" s="168"/>
      <c r="J207" s="195"/>
      <c r="K207" s="231"/>
      <c r="L207" s="176"/>
      <c r="M207" s="176"/>
      <c r="N207" s="173"/>
      <c r="O207" s="176"/>
      <c r="P207" s="176"/>
    </row>
    <row r="208" spans="1:16" ht="21.75" customHeight="1" x14ac:dyDescent="0.35">
      <c r="A208" s="183"/>
      <c r="B208" s="184"/>
      <c r="C208" s="163" t="s">
        <v>16</v>
      </c>
      <c r="D208" s="185" t="s">
        <v>44</v>
      </c>
      <c r="E208" s="186"/>
      <c r="F208" s="186"/>
      <c r="G208" s="187"/>
      <c r="H208" s="188"/>
      <c r="I208" s="168"/>
      <c r="J208" s="195"/>
      <c r="K208" s="231"/>
      <c r="L208" s="176"/>
      <c r="M208" s="176"/>
      <c r="N208" s="176"/>
      <c r="O208" s="189"/>
      <c r="P208" s="189"/>
    </row>
    <row r="209" spans="1:16" ht="21.75" customHeight="1" x14ac:dyDescent="0.35">
      <c r="A209" s="183"/>
      <c r="B209" s="184"/>
      <c r="C209" s="184"/>
      <c r="D209" s="190">
        <v>1</v>
      </c>
      <c r="E209" s="191" t="s">
        <v>45</v>
      </c>
      <c r="F209" s="192"/>
      <c r="G209" s="193"/>
      <c r="H209" s="194"/>
      <c r="I209" s="195"/>
      <c r="J209" s="195">
        <f ca="1">IFERROR(__xludf.DUMMYFUNCTION("IMPORTRANGE(""https://docs.google.com/spreadsheets/d/1IYY_tgx_IHuhSq3AJ5eI5OnqOPBNLWSHKh2a30DoXe8/edit?usp=sharing"",""ปัตตานี!J134"")"),0)</f>
        <v>0</v>
      </c>
      <c r="K209" s="231"/>
      <c r="L209" s="176"/>
      <c r="M209" s="176"/>
      <c r="N209" s="176"/>
      <c r="O209" s="189"/>
      <c r="P209" s="189"/>
    </row>
    <row r="210" spans="1:16" ht="21.75" customHeight="1" x14ac:dyDescent="0.35">
      <c r="A210" s="183"/>
      <c r="B210" s="184"/>
      <c r="C210" s="184"/>
      <c r="D210" s="197">
        <v>2</v>
      </c>
      <c r="E210" s="198" t="s">
        <v>46</v>
      </c>
      <c r="F210" s="199"/>
      <c r="G210" s="200"/>
      <c r="H210" s="194"/>
      <c r="I210" s="195"/>
      <c r="J210" s="195">
        <f ca="1">IFERROR(__xludf.DUMMYFUNCTION("IMPORTRANGE(""https://docs.google.com/spreadsheets/d/1IYY_tgx_IHuhSq3AJ5eI5OnqOPBNLWSHKh2a30DoXe8/edit?usp=sharing"",""ปัตตานี!J135"")"),0)</f>
        <v>0</v>
      </c>
      <c r="K210" s="231"/>
      <c r="L210" s="176"/>
      <c r="M210" s="176"/>
      <c r="N210" s="176"/>
      <c r="O210" s="189"/>
      <c r="P210" s="189"/>
    </row>
    <row r="211" spans="1:16" ht="21.75" customHeight="1" x14ac:dyDescent="0.35">
      <c r="A211" s="183"/>
      <c r="B211" s="184"/>
      <c r="C211" s="184"/>
      <c r="D211" s="201"/>
      <c r="E211" s="202" t="s">
        <v>47</v>
      </c>
      <c r="F211" s="203"/>
      <c r="G211" s="204"/>
      <c r="H211" s="194"/>
      <c r="I211" s="195"/>
      <c r="J211" s="195">
        <f ca="1">IFERROR(__xludf.DUMMYFUNCTION("IMPORTRANGE(""https://docs.google.com/spreadsheets/d/1IYY_tgx_IHuhSq3AJ5eI5OnqOPBNLWSHKh2a30DoXe8/edit?usp=sharing"",""ปัตตานี!J136"")"),0)</f>
        <v>0</v>
      </c>
      <c r="K211" s="231"/>
      <c r="L211" s="176"/>
      <c r="M211" s="176"/>
      <c r="N211" s="176"/>
      <c r="O211" s="189"/>
      <c r="P211" s="189"/>
    </row>
    <row r="212" spans="1:16" ht="21.75" customHeight="1" x14ac:dyDescent="0.35">
      <c r="A212" s="183"/>
      <c r="B212" s="184"/>
      <c r="C212" s="184"/>
      <c r="D212" s="201"/>
      <c r="E212" s="202" t="s">
        <v>48</v>
      </c>
      <c r="F212" s="203"/>
      <c r="G212" s="204"/>
      <c r="H212" s="194"/>
      <c r="I212" s="195"/>
      <c r="J212" s="195">
        <f ca="1">IFERROR(__xludf.DUMMYFUNCTION("IMPORTRANGE(""https://docs.google.com/spreadsheets/d/1IYY_tgx_IHuhSq3AJ5eI5OnqOPBNLWSHKh2a30DoXe8/edit?usp=sharing"",""ปัตตานี!J137"")"),0)</f>
        <v>0</v>
      </c>
      <c r="K212" s="231"/>
      <c r="L212" s="176"/>
      <c r="M212" s="176"/>
      <c r="N212" s="176"/>
      <c r="O212" s="189"/>
      <c r="P212" s="189"/>
    </row>
    <row r="213" spans="1:16" ht="21.75" customHeight="1" x14ac:dyDescent="0.35">
      <c r="A213" s="183"/>
      <c r="B213" s="184"/>
      <c r="C213" s="184"/>
      <c r="D213" s="201"/>
      <c r="E213" s="206"/>
      <c r="F213" s="203" t="s">
        <v>95</v>
      </c>
      <c r="G213" s="204"/>
      <c r="H213" s="188" t="s">
        <v>37</v>
      </c>
      <c r="I213" s="195">
        <f ca="1">IFERROR(__xludf.DUMMYFUNCTION("IMPORTRANGE(""https://docs.google.com/spreadsheets/d/1IYY_tgx_IHuhSq3AJ5eI5OnqOPBNLWSHKh2a30DoXe8/edit?usp=sharing"",""ปัตตานี!I138"")"),0)</f>
        <v>0</v>
      </c>
      <c r="J213" s="211">
        <f ca="1">IFERROR(__xludf.DUMMYFUNCTION("IMPORTRANGE(""https://docs.google.com/spreadsheets/d/1IYY_tgx_IHuhSq3AJ5eI5OnqOPBNLWSHKh2a30DoXe8/edit?usp=sharing"",""ปัตตานี!J138"")"),0)</f>
        <v>0</v>
      </c>
      <c r="K213" s="231">
        <f ca="1">IF(I213&gt;0,J213*100/I213,0)</f>
        <v>0</v>
      </c>
      <c r="L213" s="176"/>
      <c r="M213" s="176"/>
      <c r="N213" s="173"/>
      <c r="O213" s="176"/>
      <c r="P213" s="176"/>
    </row>
    <row r="214" spans="1:16" ht="21.75" customHeight="1" x14ac:dyDescent="0.35">
      <c r="A214" s="183"/>
      <c r="B214" s="184"/>
      <c r="C214" s="184"/>
      <c r="D214" s="201"/>
      <c r="E214" s="206"/>
      <c r="F214" s="202" t="s">
        <v>53</v>
      </c>
      <c r="G214" s="204"/>
      <c r="H214" s="188"/>
      <c r="I214" s="195"/>
      <c r="J214" s="195"/>
      <c r="K214" s="231"/>
      <c r="L214" s="176"/>
      <c r="M214" s="176"/>
      <c r="N214" s="176"/>
      <c r="O214" s="189"/>
      <c r="P214" s="189"/>
    </row>
    <row r="215" spans="1:16" ht="21.75" customHeight="1" x14ac:dyDescent="0.35">
      <c r="A215" s="183"/>
      <c r="B215" s="184"/>
      <c r="C215" s="184"/>
      <c r="D215" s="201"/>
      <c r="E215" s="206"/>
      <c r="F215" s="203"/>
      <c r="G215" s="233" t="s">
        <v>96</v>
      </c>
      <c r="H215" s="188" t="s">
        <v>37</v>
      </c>
      <c r="I215" s="195">
        <f ca="1">IFERROR(__xludf.DUMMYFUNCTION("IMPORTRANGE(""https://docs.google.com/spreadsheets/d/1IYY_tgx_IHuhSq3AJ5eI5OnqOPBNLWSHKh2a30DoXe8/edit?usp=sharing"",""ปัตตานี!I140"")"),0)</f>
        <v>0</v>
      </c>
      <c r="J215" s="211">
        <f ca="1">IFERROR(__xludf.DUMMYFUNCTION("IMPORTRANGE(""https://docs.google.com/spreadsheets/d/1IYY_tgx_IHuhSq3AJ5eI5OnqOPBNLWSHKh2a30DoXe8/edit?usp=sharing"",""ปัตตานี!J140"")"),0)</f>
        <v>0</v>
      </c>
      <c r="K215" s="231">
        <f t="shared" ref="K215:K216" ca="1" si="71">IF(I215&gt;0,J215*100/I215,0)</f>
        <v>0</v>
      </c>
      <c r="L215" s="176"/>
      <c r="M215" s="176"/>
      <c r="N215" s="173"/>
      <c r="O215" s="176"/>
      <c r="P215" s="176"/>
    </row>
    <row r="216" spans="1:16" ht="21.75" customHeight="1" x14ac:dyDescent="0.35">
      <c r="A216" s="183"/>
      <c r="B216" s="184"/>
      <c r="C216" s="184"/>
      <c r="D216" s="201"/>
      <c r="E216" s="206"/>
      <c r="F216" s="203"/>
      <c r="G216" s="233" t="s">
        <v>97</v>
      </c>
      <c r="H216" s="188" t="s">
        <v>59</v>
      </c>
      <c r="I216" s="195">
        <f ca="1">IFERROR(__xludf.DUMMYFUNCTION("IMPORTRANGE(""https://docs.google.com/spreadsheets/d/1IYY_tgx_IHuhSq3AJ5eI5OnqOPBNLWSHKh2a30DoXe8/edit?usp=sharing"",""ปัตตานี!I141"")"),0)</f>
        <v>0</v>
      </c>
      <c r="J216" s="211">
        <f ca="1">IFERROR(__xludf.DUMMYFUNCTION("IMPORTRANGE(""https://docs.google.com/spreadsheets/d/1IYY_tgx_IHuhSq3AJ5eI5OnqOPBNLWSHKh2a30DoXe8/edit?usp=sharing"",""ปัตตานี!J141"")"),0)</f>
        <v>0</v>
      </c>
      <c r="K216" s="231">
        <f t="shared" ca="1" si="71"/>
        <v>0</v>
      </c>
      <c r="L216" s="176"/>
      <c r="M216" s="176"/>
      <c r="N216" s="173"/>
      <c r="O216" s="176"/>
      <c r="P216" s="176"/>
    </row>
    <row r="217" spans="1:16" ht="21.75" customHeight="1" x14ac:dyDescent="0.35">
      <c r="A217" s="183"/>
      <c r="B217" s="184"/>
      <c r="C217" s="184"/>
      <c r="D217" s="201"/>
      <c r="E217" s="202" t="s">
        <v>54</v>
      </c>
      <c r="F217" s="203"/>
      <c r="G217" s="204"/>
      <c r="H217" s="194"/>
      <c r="I217" s="195"/>
      <c r="J217" s="195">
        <f ca="1">IFERROR(__xludf.DUMMYFUNCTION("IMPORTRANGE(""https://docs.google.com/spreadsheets/d/1IYY_tgx_IHuhSq3AJ5eI5OnqOPBNLWSHKh2a30DoXe8/edit?usp=sharing"",""ปัตตานี!J142"")"),0)</f>
        <v>0</v>
      </c>
      <c r="K217" s="231"/>
      <c r="L217" s="176"/>
      <c r="M217" s="176"/>
      <c r="N217" s="176"/>
      <c r="O217" s="189"/>
      <c r="P217" s="189"/>
    </row>
    <row r="218" spans="1:16" ht="21.75" customHeight="1" x14ac:dyDescent="0.35">
      <c r="A218" s="241"/>
      <c r="B218" s="242"/>
      <c r="C218" s="242"/>
      <c r="D218" s="243">
        <v>3</v>
      </c>
      <c r="E218" s="244" t="s">
        <v>55</v>
      </c>
      <c r="F218" s="245"/>
      <c r="G218" s="246"/>
      <c r="H218" s="247"/>
      <c r="I218" s="248"/>
      <c r="J218" s="249">
        <f ca="1">IFERROR(__xludf.DUMMYFUNCTION("IMPORTRANGE(""https://docs.google.com/spreadsheets/d/1IYY_tgx_IHuhSq3AJ5eI5OnqOPBNLWSHKh2a30DoXe8/edit?usp=sharing"",""ปัตตานี!J143"")"),0)</f>
        <v>0</v>
      </c>
      <c r="K218" s="250"/>
      <c r="L218" s="251"/>
      <c r="M218" s="251"/>
      <c r="N218" s="251"/>
      <c r="O218" s="252"/>
      <c r="P218" s="252"/>
    </row>
    <row r="219" spans="1:16" ht="21.75" customHeight="1" x14ac:dyDescent="0.35">
      <c r="A219" s="269"/>
      <c r="B219" s="270" t="s">
        <v>98</v>
      </c>
      <c r="C219" s="271"/>
      <c r="D219" s="270"/>
      <c r="E219" s="270"/>
      <c r="F219" s="270"/>
      <c r="G219" s="272"/>
      <c r="H219" s="273" t="s">
        <v>37</v>
      </c>
      <c r="I219" s="274">
        <f ca="1">IFERROR(__xludf.DUMMYFUNCTION("IMPORTRANGE(""https://docs.google.com/spreadsheets/d/1IYY_tgx_IHuhSq3AJ5eI5OnqOPBNLWSHKh2a30DoXe8/edit?usp=sharing"",""ปัตตานี!I144"")"),15)</f>
        <v>15</v>
      </c>
      <c r="J219" s="274">
        <f ca="1">IFERROR(__xludf.DUMMYFUNCTION("IMPORTRANGE(""https://docs.google.com/spreadsheets/d/1IYY_tgx_IHuhSq3AJ5eI5OnqOPBNLWSHKh2a30DoXe8/edit?usp=sharing"",""ปัตตานี!J144"")"),15)</f>
        <v>15</v>
      </c>
      <c r="K219" s="275">
        <f ca="1">IF(I219&gt;0,J219*100/I219,0)</f>
        <v>100</v>
      </c>
      <c r="L219" s="276"/>
      <c r="M219" s="276"/>
      <c r="N219" s="276"/>
      <c r="O219" s="275"/>
      <c r="P219" s="275"/>
    </row>
    <row r="220" spans="1:16" ht="21.75" customHeight="1" x14ac:dyDescent="0.45">
      <c r="A220" s="150"/>
      <c r="B220" s="151"/>
      <c r="C220" s="152" t="s">
        <v>16</v>
      </c>
      <c r="D220" s="552" t="s">
        <v>17</v>
      </c>
      <c r="E220" s="543"/>
      <c r="F220" s="543"/>
      <c r="G220" s="543"/>
      <c r="H220" s="153" t="s">
        <v>12</v>
      </c>
      <c r="I220" s="168"/>
      <c r="J220" s="168"/>
      <c r="K220" s="169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8"/>
      <c r="J221" s="168"/>
      <c r="K221" s="169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8"/>
      <c r="J222" s="168"/>
      <c r="K222" s="169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5">
      <c r="A223" s="162"/>
      <c r="B223" s="163"/>
      <c r="C223" s="163" t="s">
        <v>16</v>
      </c>
      <c r="D223" s="164" t="s">
        <v>38</v>
      </c>
      <c r="E223" s="165"/>
      <c r="F223" s="165"/>
      <c r="G223" s="166" t="s">
        <v>39</v>
      </c>
      <c r="H223" s="167" t="s">
        <v>12</v>
      </c>
      <c r="I223" s="168" t="s">
        <v>40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 x14ac:dyDescent="0.35">
      <c r="A224" s="162"/>
      <c r="B224" s="163"/>
      <c r="C224" s="163"/>
      <c r="D224" s="172"/>
      <c r="E224" s="165"/>
      <c r="F224" s="165" t="s">
        <v>40</v>
      </c>
      <c r="G224" s="166" t="s">
        <v>41</v>
      </c>
      <c r="H224" s="167" t="s">
        <v>12</v>
      </c>
      <c r="I224" s="168"/>
      <c r="J224" s="168"/>
      <c r="K224" s="169"/>
      <c r="L224" s="173">
        <f ca="1">L225+L226</f>
        <v>21125</v>
      </c>
      <c r="M224" s="174">
        <f ca="1">IFERROR(__xludf.DUMMYFUNCTION("IMPORTRANGE(""https://docs.google.com/spreadsheets/d/1Yj_ptqi66GCucihVvJfMjLAmec39IyEx_6qawtMGysU/edit?usp=sharing"",""สบก!BS86"")"),21125)</f>
        <v>21125</v>
      </c>
      <c r="N224" s="175">
        <f ca="1">IFERROR(__xludf.DUMMYFUNCTION("IMPORTRANGE(""https://docs.google.com/spreadsheets/d/1Yj_ptqi66GCucihVvJfMjLAmec39IyEx_6qawtMGysU/edit?usp=sharing"",""สบก!BT86"")"),21125)</f>
        <v>21125</v>
      </c>
      <c r="O224" s="176">
        <f ca="1">IF(L224&gt;0,N224*100/L224,0)</f>
        <v>100</v>
      </c>
      <c r="P224" s="176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2"/>
      <c r="E225" s="165"/>
      <c r="F225" s="165"/>
      <c r="G225" s="177" t="s">
        <v>42</v>
      </c>
      <c r="H225" s="167" t="s">
        <v>12</v>
      </c>
      <c r="I225" s="168"/>
      <c r="J225" s="168"/>
      <c r="K225" s="169"/>
      <c r="L225" s="174">
        <f ca="1">IFERROR(__xludf.DUMMYFUNCTION("IMPORTRANGE(""https://docs.google.com/spreadsheets/d/1Yj_ptqi66GCucihVvJfMjLAmec39IyEx_6qawtMGysU/edit?usp=sharing"",""สบก!BO86"")"),0)</f>
        <v>0</v>
      </c>
      <c r="M225" s="173"/>
      <c r="N225" s="173"/>
      <c r="O225" s="176"/>
      <c r="P225" s="176"/>
    </row>
    <row r="226" spans="1:16" ht="21.75" customHeight="1" x14ac:dyDescent="0.35">
      <c r="A226" s="162"/>
      <c r="B226" s="163"/>
      <c r="C226" s="163"/>
      <c r="D226" s="172"/>
      <c r="E226" s="165"/>
      <c r="F226" s="165"/>
      <c r="G226" s="177" t="s">
        <v>43</v>
      </c>
      <c r="H226" s="167" t="s">
        <v>12</v>
      </c>
      <c r="I226" s="168"/>
      <c r="J226" s="168"/>
      <c r="K226" s="169"/>
      <c r="L226" s="174">
        <f ca="1">IFERROR(__xludf.DUMMYFUNCTION("IMPORTRANGE(""https://docs.google.com/spreadsheets/d/1Yj_ptqi66GCucihVvJfMjLAmec39IyEx_6qawtMGysU/edit?usp=sharing"",""สบก!BP86"")"),21125)</f>
        <v>21125</v>
      </c>
      <c r="M226" s="173"/>
      <c r="N226" s="173"/>
      <c r="O226" s="176"/>
      <c r="P226" s="176"/>
    </row>
    <row r="227" spans="1:16" ht="21.75" customHeight="1" x14ac:dyDescent="0.45">
      <c r="A227" s="178"/>
      <c r="B227" s="81"/>
      <c r="C227" s="82" t="s">
        <v>16</v>
      </c>
      <c r="D227" s="549" t="s">
        <v>23</v>
      </c>
      <c r="E227" s="545"/>
      <c r="F227" s="89"/>
      <c r="G227" s="83" t="s">
        <v>18</v>
      </c>
      <c r="H227" s="179" t="s">
        <v>12</v>
      </c>
      <c r="I227" s="208"/>
      <c r="J227" s="208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80"/>
      <c r="B228" s="95"/>
      <c r="C228" s="95"/>
      <c r="D228" s="181"/>
      <c r="E228" s="96"/>
      <c r="F228" s="96"/>
      <c r="G228" s="97" t="s">
        <v>19</v>
      </c>
      <c r="H228" s="182" t="s">
        <v>12</v>
      </c>
      <c r="I228" s="208"/>
      <c r="J228" s="208"/>
      <c r="K228" s="296"/>
      <c r="L228" s="91">
        <f ca="1">IFERROR(__xludf.DUMMYFUNCTION("IMPORTRANGE(""https://docs.google.com/spreadsheets/d/1Yj_ptqi66GCucihVvJfMjLAmec39IyEx_6qawtMGysU/edit?usp=sharing"",""สบก!BQ86"")"),0)</f>
        <v>0</v>
      </c>
      <c r="M228" s="101"/>
      <c r="N228" s="91">
        <f ca="1">IFERROR(__xludf.DUMMYFUNCTION("IMPORTRANGE(""https://docs.google.com/spreadsheets/d/1Yj_ptqi66GCucihVvJfMjLAmec39IyEx_6qawtMGysU/edit?usp=sharing"",""สบก!BU86"")"),0)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3"/>
      <c r="B229" s="297"/>
      <c r="C229" s="271" t="s">
        <v>99</v>
      </c>
      <c r="D229" s="270"/>
      <c r="E229" s="270"/>
      <c r="F229" s="270"/>
      <c r="G229" s="272"/>
      <c r="H229" s="273" t="s">
        <v>37</v>
      </c>
      <c r="I229" s="274">
        <f ca="1">IFERROR(__xludf.DUMMYFUNCTION("IMPORTRANGE(""https://docs.google.com/spreadsheets/d/1IYY_tgx_IHuhSq3AJ5eI5OnqOPBNLWSHKh2a30DoXe8/edit?usp=sharing"",""ปัตตานี!I149"")"),15)</f>
        <v>15</v>
      </c>
      <c r="J229" s="274">
        <f ca="1">IFERROR(__xludf.DUMMYFUNCTION("IMPORTRANGE(""https://docs.google.com/spreadsheets/d/1IYY_tgx_IHuhSq3AJ5eI5OnqOPBNLWSHKh2a30DoXe8/edit?usp=sharing"",""ปัตตานี!J149"")"),15)</f>
        <v>15</v>
      </c>
      <c r="K229" s="275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3"/>
      <c r="B230" s="184"/>
      <c r="C230" s="163" t="s">
        <v>16</v>
      </c>
      <c r="D230" s="185" t="s">
        <v>44</v>
      </c>
      <c r="E230" s="186"/>
      <c r="F230" s="186"/>
      <c r="G230" s="187"/>
      <c r="H230" s="188"/>
      <c r="I230" s="168"/>
      <c r="J230" s="168"/>
      <c r="K230" s="169"/>
      <c r="L230" s="189"/>
      <c r="M230" s="189"/>
      <c r="N230" s="189"/>
      <c r="O230" s="189"/>
      <c r="P230" s="189"/>
    </row>
    <row r="231" spans="1:16" ht="21.75" customHeight="1" x14ac:dyDescent="0.35">
      <c r="A231" s="183"/>
      <c r="B231" s="184"/>
      <c r="C231" s="184"/>
      <c r="D231" s="190">
        <v>1</v>
      </c>
      <c r="E231" s="191" t="s">
        <v>45</v>
      </c>
      <c r="F231" s="192"/>
      <c r="G231" s="193"/>
      <c r="H231" s="194"/>
      <c r="I231" s="195"/>
      <c r="J231" s="205">
        <f ca="1">IFERROR(__xludf.DUMMYFUNCTION("IMPORTRANGE(""https://docs.google.com/spreadsheets/d/1IYY_tgx_IHuhSq3AJ5eI5OnqOPBNLWSHKh2a30DoXe8/edit?usp=sharing"",""ปัตตานี!J151"")"),0)</f>
        <v>0</v>
      </c>
      <c r="K231" s="169"/>
      <c r="L231" s="189"/>
      <c r="M231" s="189"/>
      <c r="N231" s="189"/>
      <c r="O231" s="189"/>
      <c r="P231" s="189"/>
    </row>
    <row r="232" spans="1:16" ht="21.75" customHeight="1" x14ac:dyDescent="0.35">
      <c r="A232" s="183"/>
      <c r="B232" s="184"/>
      <c r="C232" s="184"/>
      <c r="D232" s="197">
        <v>2</v>
      </c>
      <c r="E232" s="198" t="s">
        <v>46</v>
      </c>
      <c r="F232" s="199"/>
      <c r="G232" s="200"/>
      <c r="H232" s="194"/>
      <c r="I232" s="195"/>
      <c r="J232" s="196">
        <f ca="1">IFERROR(__xludf.DUMMYFUNCTION("IMPORTRANGE(""https://docs.google.com/spreadsheets/d/1IYY_tgx_IHuhSq3AJ5eI5OnqOPBNLWSHKh2a30DoXe8/edit?usp=sharing"",""ปัตตานี!J152"")"),1)</f>
        <v>1</v>
      </c>
      <c r="K232" s="169"/>
      <c r="L232" s="189" t="s">
        <v>40</v>
      </c>
      <c r="M232" s="189"/>
      <c r="N232" s="189" t="s">
        <v>40</v>
      </c>
      <c r="O232" s="189"/>
      <c r="P232" s="189"/>
    </row>
    <row r="233" spans="1:16" ht="21.75" customHeight="1" x14ac:dyDescent="0.35">
      <c r="A233" s="183"/>
      <c r="B233" s="184"/>
      <c r="C233" s="184"/>
      <c r="D233" s="201"/>
      <c r="E233" s="202" t="s">
        <v>47</v>
      </c>
      <c r="F233" s="203"/>
      <c r="G233" s="204"/>
      <c r="H233" s="194"/>
      <c r="I233" s="195"/>
      <c r="J233" s="196">
        <f ca="1">IFERROR(__xludf.DUMMYFUNCTION("IMPORTRANGE(""https://docs.google.com/spreadsheets/d/1IYY_tgx_IHuhSq3AJ5eI5OnqOPBNLWSHKh2a30DoXe8/edit?usp=sharing"",""ปัตตานี!J153"")"),1)</f>
        <v>1</v>
      </c>
      <c r="K233" s="169"/>
      <c r="L233" s="189"/>
      <c r="M233" s="189"/>
      <c r="N233" s="189"/>
      <c r="O233" s="189"/>
      <c r="P233" s="189"/>
    </row>
    <row r="234" spans="1:16" ht="21.75" customHeight="1" x14ac:dyDescent="0.35">
      <c r="A234" s="183"/>
      <c r="B234" s="184"/>
      <c r="C234" s="184"/>
      <c r="D234" s="201"/>
      <c r="E234" s="202" t="s">
        <v>48</v>
      </c>
      <c r="F234" s="203"/>
      <c r="G234" s="204"/>
      <c r="H234" s="194"/>
      <c r="I234" s="195"/>
      <c r="J234" s="205">
        <f ca="1">IFERROR(__xludf.DUMMYFUNCTION("IMPORTRANGE(""https://docs.google.com/spreadsheets/d/1IYY_tgx_IHuhSq3AJ5eI5OnqOPBNLWSHKh2a30DoXe8/edit?usp=sharing"",""ปัตตานี!J154"")"),1)</f>
        <v>1</v>
      </c>
      <c r="K234" s="169"/>
      <c r="L234" s="189"/>
      <c r="M234" s="189"/>
      <c r="N234" s="189"/>
      <c r="O234" s="189"/>
      <c r="P234" s="189"/>
    </row>
    <row r="235" spans="1:16" ht="21.75" customHeight="1" x14ac:dyDescent="0.35">
      <c r="A235" s="183"/>
      <c r="B235" s="184"/>
      <c r="C235" s="184"/>
      <c r="D235" s="201"/>
      <c r="E235" s="206"/>
      <c r="F235" s="203"/>
      <c r="G235" s="299" t="s">
        <v>70</v>
      </c>
      <c r="H235" s="194" t="s">
        <v>37</v>
      </c>
      <c r="I235" s="195">
        <f ca="1">IFERROR(__xludf.DUMMYFUNCTION("IMPORTRANGE(""https://docs.google.com/spreadsheets/d/1IYY_tgx_IHuhSq3AJ5eI5OnqOPBNLWSHKh2a30DoXe8/edit?usp=sharing"",""ปัตตานี!I155"")"),15)</f>
        <v>15</v>
      </c>
      <c r="J235" s="196">
        <f ca="1">IFERROR(__xludf.DUMMYFUNCTION("IMPORTRANGE(""https://docs.google.com/spreadsheets/d/1IYY_tgx_IHuhSq3AJ5eI5OnqOPBNLWSHKh2a30DoXe8/edit?usp=sharing"",""ปัตตานี!J155"")"),15)</f>
        <v>15</v>
      </c>
      <c r="K235" s="169">
        <f ca="1">IF(I235&gt;0,J235*100/I235,0)</f>
        <v>100</v>
      </c>
      <c r="L235" s="189"/>
      <c r="M235" s="189"/>
      <c r="N235" s="189"/>
      <c r="O235" s="189"/>
      <c r="P235" s="189"/>
    </row>
    <row r="236" spans="1:16" ht="21.75" customHeight="1" x14ac:dyDescent="0.35">
      <c r="A236" s="183"/>
      <c r="B236" s="184"/>
      <c r="C236" s="184"/>
      <c r="D236" s="201"/>
      <c r="E236" s="202" t="s">
        <v>54</v>
      </c>
      <c r="F236" s="203"/>
      <c r="G236" s="204"/>
      <c r="H236" s="194"/>
      <c r="I236" s="195"/>
      <c r="J236" s="205">
        <f ca="1">IFERROR(__xludf.DUMMYFUNCTION("IMPORTRANGE(""https://docs.google.com/spreadsheets/d/1IYY_tgx_IHuhSq3AJ5eI5OnqOPBNLWSHKh2a30DoXe8/edit?usp=sharing"",""ปัตตานี!J156"")"),0)</f>
        <v>0</v>
      </c>
      <c r="K236" s="169"/>
      <c r="L236" s="189"/>
      <c r="M236" s="189"/>
      <c r="N236" s="189"/>
      <c r="O236" s="189"/>
      <c r="P236" s="189"/>
    </row>
    <row r="237" spans="1:16" ht="21.75" customHeight="1" x14ac:dyDescent="0.35">
      <c r="A237" s="183"/>
      <c r="B237" s="184"/>
      <c r="C237" s="184"/>
      <c r="D237" s="213">
        <v>3</v>
      </c>
      <c r="E237" s="214" t="s">
        <v>55</v>
      </c>
      <c r="F237" s="215"/>
      <c r="G237" s="216"/>
      <c r="H237" s="194"/>
      <c r="I237" s="195"/>
      <c r="J237" s="217">
        <f ca="1">IFERROR(__xludf.DUMMYFUNCTION("IMPORTRANGE(""https://docs.google.com/spreadsheets/d/1IYY_tgx_IHuhSq3AJ5eI5OnqOPBNLWSHKh2a30DoXe8/edit?usp=sharing"",""ปัตตานี!J157"")"),0)</f>
        <v>0</v>
      </c>
      <c r="K237" s="169"/>
      <c r="L237" s="189"/>
      <c r="M237" s="189"/>
      <c r="N237" s="189"/>
      <c r="O237" s="189"/>
      <c r="P237" s="189"/>
    </row>
    <row r="238" spans="1:16" ht="21.75" customHeight="1" x14ac:dyDescent="0.35">
      <c r="A238" s="183"/>
      <c r="B238" s="184"/>
      <c r="C238" s="271" t="s">
        <v>100</v>
      </c>
      <c r="D238" s="300"/>
      <c r="E238" s="270"/>
      <c r="F238" s="270"/>
      <c r="G238" s="272"/>
      <c r="H238" s="273" t="s">
        <v>37</v>
      </c>
      <c r="I238" s="274">
        <f ca="1">IFERROR(__xludf.DUMMYFUNCTION("IMPORTRANGE(""https://docs.google.com/spreadsheets/d/1IYY_tgx_IHuhSq3AJ5eI5OnqOPBNLWSHKh2a30DoXe8/edit?usp=sharing"",""ปัตตานี!I158"")"),0)</f>
        <v>0</v>
      </c>
      <c r="J238" s="274">
        <f ca="1">IFERROR(__xludf.DUMMYFUNCTION("IMPORTRANGE(""https://docs.google.com/spreadsheets/d/1IYY_tgx_IHuhSq3AJ5eI5OnqOPBNLWSHKh2a30DoXe8/edit?usp=sharing"",""ปัตตานี!J158"")"),0)</f>
        <v>0</v>
      </c>
      <c r="K238" s="275">
        <f ca="1">IF(I238&gt;0,J238*100/I238,0)</f>
        <v>0</v>
      </c>
      <c r="L238" s="189"/>
      <c r="M238" s="189"/>
      <c r="N238" s="189"/>
      <c r="O238" s="189"/>
      <c r="P238" s="189"/>
    </row>
    <row r="239" spans="1:16" ht="21.75" customHeight="1" x14ac:dyDescent="0.35">
      <c r="A239" s="183"/>
      <c r="B239" s="184"/>
      <c r="C239" s="163" t="s">
        <v>16</v>
      </c>
      <c r="D239" s="185" t="s">
        <v>44</v>
      </c>
      <c r="E239" s="186"/>
      <c r="F239" s="186"/>
      <c r="G239" s="187"/>
      <c r="H239" s="188"/>
      <c r="I239" s="168"/>
      <c r="J239" s="168"/>
      <c r="K239" s="169"/>
      <c r="L239" s="189"/>
      <c r="M239" s="189"/>
      <c r="N239" s="189"/>
      <c r="O239" s="189"/>
      <c r="P239" s="189"/>
    </row>
    <row r="240" spans="1:16" ht="21.75" customHeight="1" x14ac:dyDescent="0.35">
      <c r="A240" s="183"/>
      <c r="B240" s="184"/>
      <c r="C240" s="184"/>
      <c r="D240" s="190">
        <v>1</v>
      </c>
      <c r="E240" s="191" t="s">
        <v>45</v>
      </c>
      <c r="F240" s="192"/>
      <c r="G240" s="193"/>
      <c r="H240" s="194"/>
      <c r="I240" s="195"/>
      <c r="J240" s="195" t="str">
        <f ca="1">IFERROR(__xludf.DUMMYFUNCTION("IMPORTRANGE(""https://docs.google.com/spreadsheets/d/1IYY_tgx_IHuhSq3AJ5eI5OnqOPBNLWSHKh2a30DoXe8/edit?usp=sharing"",""ปัตตานี!J159"")"),"")</f>
        <v/>
      </c>
      <c r="K240" s="169"/>
      <c r="L240" s="189"/>
      <c r="M240" s="189"/>
      <c r="N240" s="189"/>
      <c r="O240" s="189"/>
      <c r="P240" s="189"/>
    </row>
    <row r="241" spans="1:16" ht="21.75" customHeight="1" x14ac:dyDescent="0.35">
      <c r="A241" s="183"/>
      <c r="B241" s="184"/>
      <c r="C241" s="184"/>
      <c r="D241" s="197">
        <v>2</v>
      </c>
      <c r="E241" s="198" t="s">
        <v>46</v>
      </c>
      <c r="F241" s="199"/>
      <c r="G241" s="200"/>
      <c r="H241" s="194"/>
      <c r="I241" s="195"/>
      <c r="J241" s="195">
        <f ca="1">IFERROR(__xludf.DUMMYFUNCTION("IMPORTRANGE(""https://docs.google.com/spreadsheets/d/1IYY_tgx_IHuhSq3AJ5eI5OnqOPBNLWSHKh2a30DoXe8/edit?usp=sharing"",""ปัตตานี!J161"")"),0)</f>
        <v>0</v>
      </c>
      <c r="K241" s="169"/>
      <c r="L241" s="189" t="s">
        <v>40</v>
      </c>
      <c r="M241" s="189"/>
      <c r="N241" s="189" t="s">
        <v>40</v>
      </c>
      <c r="O241" s="189"/>
      <c r="P241" s="189"/>
    </row>
    <row r="242" spans="1:16" ht="21.75" customHeight="1" x14ac:dyDescent="0.35">
      <c r="A242" s="183"/>
      <c r="B242" s="184"/>
      <c r="C242" s="184"/>
      <c r="D242" s="201"/>
      <c r="E242" s="202" t="s">
        <v>47</v>
      </c>
      <c r="F242" s="203"/>
      <c r="G242" s="204"/>
      <c r="H242" s="194"/>
      <c r="I242" s="195"/>
      <c r="J242" s="195">
        <f ca="1">IFERROR(__xludf.DUMMYFUNCTION("IMPORTRANGE(""https://docs.google.com/spreadsheets/d/1IYY_tgx_IHuhSq3AJ5eI5OnqOPBNLWSHKh2a30DoXe8/edit?usp=sharing"",""ปัตตานี!J162"")"),0)</f>
        <v>0</v>
      </c>
      <c r="K242" s="169"/>
      <c r="L242" s="189"/>
      <c r="M242" s="189"/>
      <c r="N242" s="189"/>
      <c r="O242" s="189"/>
      <c r="P242" s="189"/>
    </row>
    <row r="243" spans="1:16" ht="21.75" customHeight="1" x14ac:dyDescent="0.35">
      <c r="A243" s="183"/>
      <c r="B243" s="184"/>
      <c r="C243" s="184"/>
      <c r="D243" s="201"/>
      <c r="E243" s="202" t="s">
        <v>48</v>
      </c>
      <c r="F243" s="203"/>
      <c r="G243" s="204"/>
      <c r="H243" s="194"/>
      <c r="I243" s="195"/>
      <c r="J243" s="195">
        <f ca="1">IFERROR(__xludf.DUMMYFUNCTION("IMPORTRANGE(""https://docs.google.com/spreadsheets/d/1IYY_tgx_IHuhSq3AJ5eI5OnqOPBNLWSHKh2a30DoXe8/edit?usp=sharing"",""ปัตตานี!J163"")"),0)</f>
        <v>0</v>
      </c>
      <c r="K243" s="169"/>
      <c r="L243" s="189"/>
      <c r="M243" s="189"/>
      <c r="N243" s="189"/>
      <c r="O243" s="189"/>
      <c r="P243" s="189"/>
    </row>
    <row r="244" spans="1:16" ht="21.75" customHeight="1" x14ac:dyDescent="0.35">
      <c r="A244" s="183"/>
      <c r="B244" s="184"/>
      <c r="C244" s="184"/>
      <c r="D244" s="201"/>
      <c r="E244" s="203"/>
      <c r="F244" s="202" t="s">
        <v>101</v>
      </c>
      <c r="G244" s="203"/>
      <c r="H244" s="194" t="s">
        <v>37</v>
      </c>
      <c r="I244" s="211">
        <f ca="1">IFERROR(__xludf.DUMMYFUNCTION("IMPORTRANGE(""https://docs.google.com/spreadsheets/d/1IYY_tgx_IHuhSq3AJ5eI5OnqOPBNLWSHKh2a30DoXe8/edit?usp=sharing"",""ปัตตานี!I164"")"),0)</f>
        <v>0</v>
      </c>
      <c r="J244" s="195">
        <f ca="1">IFERROR(__xludf.DUMMYFUNCTION("IMPORTRANGE(""https://docs.google.com/spreadsheets/d/1IYY_tgx_IHuhSq3AJ5eI5OnqOPBNLWSHKh2a30DoXe8/edit?usp=sharing"",""ปัตตานี!J164"")"),0)</f>
        <v>0</v>
      </c>
      <c r="K244" s="169">
        <f ca="1">IF(I244&gt;0,J244*100/I244,0)</f>
        <v>0</v>
      </c>
      <c r="L244" s="189"/>
      <c r="M244" s="189"/>
      <c r="N244" s="189"/>
      <c r="O244" s="189"/>
      <c r="P244" s="189"/>
    </row>
    <row r="245" spans="1:16" ht="21.75" customHeight="1" x14ac:dyDescent="0.35">
      <c r="A245" s="183"/>
      <c r="B245" s="184"/>
      <c r="C245" s="184"/>
      <c r="D245" s="201"/>
      <c r="E245" s="202" t="s">
        <v>54</v>
      </c>
      <c r="F245" s="203"/>
      <c r="G245" s="204"/>
      <c r="H245" s="194"/>
      <c r="I245" s="195"/>
      <c r="J245" s="195">
        <f ca="1">IFERROR(__xludf.DUMMYFUNCTION("IMPORTRANGE(""https://docs.google.com/spreadsheets/d/1IYY_tgx_IHuhSq3AJ5eI5OnqOPBNLWSHKh2a30DoXe8/edit?usp=sharing"",""ปัตตานี!J165"")"),0)</f>
        <v>0</v>
      </c>
      <c r="K245" s="169"/>
      <c r="L245" s="189"/>
      <c r="M245" s="189"/>
      <c r="N245" s="189"/>
      <c r="O245" s="189"/>
      <c r="P245" s="189"/>
    </row>
    <row r="246" spans="1:16" ht="21.75" customHeight="1" x14ac:dyDescent="0.35">
      <c r="A246" s="241"/>
      <c r="B246" s="242"/>
      <c r="C246" s="242"/>
      <c r="D246" s="243">
        <v>3</v>
      </c>
      <c r="E246" s="244" t="s">
        <v>55</v>
      </c>
      <c r="F246" s="245"/>
      <c r="G246" s="246"/>
      <c r="H246" s="247"/>
      <c r="I246" s="248"/>
      <c r="J246" s="249">
        <f ca="1">IFERROR(__xludf.DUMMYFUNCTION("IMPORTRANGE(""https://docs.google.com/spreadsheets/d/1IYY_tgx_IHuhSq3AJ5eI5OnqOPBNLWSHKh2a30DoXe8/edit?usp=sharing"",""ปัตตานี!J166"")"),0)</f>
        <v>0</v>
      </c>
      <c r="K246" s="294"/>
      <c r="L246" s="252"/>
      <c r="M246" s="252"/>
      <c r="N246" s="252"/>
      <c r="O246" s="252"/>
      <c r="P246" s="252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IFERROR(__xludf.DUMMYFUNCTION("IMPORTRANGE(""https://docs.google.com/spreadsheets/d/1IYY_tgx_IHuhSq3AJ5eI5OnqOPBNLWSHKh2a30DoXe8/edit?usp=sharing"",""ปัตตานี!I169"")"),0)</f>
        <v>0</v>
      </c>
      <c r="J249" s="322">
        <f ca="1">IFERROR(__xludf.DUMMYFUNCTION("IMPORTRANGE(""https://docs.google.com/spreadsheets/d/1IYY_tgx_IHuhSq3AJ5eI5OnqOPBNLWSHKh2a30DoXe8/edit?usp=sharing"",""ปัตตานี!J169"")"),0)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52" t="s">
        <v>17</v>
      </c>
      <c r="E250" s="543"/>
      <c r="F250" s="543"/>
      <c r="G250" s="543"/>
      <c r="H250" s="153" t="s">
        <v>12</v>
      </c>
      <c r="I250" s="168"/>
      <c r="J250" s="168"/>
      <c r="K250" s="169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8"/>
      <c r="J251" s="168"/>
      <c r="K251" s="169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8"/>
      <c r="J252" s="168"/>
      <c r="K252" s="169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5">
      <c r="A253" s="162"/>
      <c r="B253" s="163"/>
      <c r="C253" s="163" t="s">
        <v>16</v>
      </c>
      <c r="D253" s="164" t="s">
        <v>38</v>
      </c>
      <c r="E253" s="165"/>
      <c r="F253" s="165"/>
      <c r="G253" s="166" t="s">
        <v>39</v>
      </c>
      <c r="H253" s="167" t="s">
        <v>12</v>
      </c>
      <c r="I253" s="168" t="s">
        <v>40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 x14ac:dyDescent="0.35">
      <c r="A254" s="162"/>
      <c r="B254" s="163"/>
      <c r="C254" s="163"/>
      <c r="D254" s="172"/>
      <c r="E254" s="165"/>
      <c r="F254" s="165" t="s">
        <v>40</v>
      </c>
      <c r="G254" s="166" t="s">
        <v>41</v>
      </c>
      <c r="H254" s="167" t="s">
        <v>12</v>
      </c>
      <c r="I254" s="168"/>
      <c r="J254" s="168"/>
      <c r="K254" s="169"/>
      <c r="L254" s="173">
        <f ca="1">L255+L256</f>
        <v>0</v>
      </c>
      <c r="M254" s="174">
        <f ca="1">IFERROR(__xludf.DUMMYFUNCTION("IMPORTRANGE(""https://docs.google.com/spreadsheets/d/1Yj_ptqi66GCucihVvJfMjLAmec39IyEx_6qawtMGysU/edit?usp=sharing"",""สบก!CB86"")"),0)</f>
        <v>0</v>
      </c>
      <c r="N254" s="175">
        <f ca="1">IFERROR(__xludf.DUMMYFUNCTION("IMPORTRANGE(""https://docs.google.com/spreadsheets/d/1Yj_ptqi66GCucihVvJfMjLAmec39IyEx_6qawtMGysU/edit?usp=sharing"",""สบก!CC86"")"),0)</f>
        <v>0</v>
      </c>
      <c r="O254" s="176">
        <f ca="1">IF(L254&gt;0,N254*100/L254,0)</f>
        <v>0</v>
      </c>
      <c r="P254" s="176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2"/>
      <c r="E255" s="165"/>
      <c r="F255" s="165"/>
      <c r="G255" s="177" t="s">
        <v>42</v>
      </c>
      <c r="H255" s="167" t="s">
        <v>12</v>
      </c>
      <c r="I255" s="168"/>
      <c r="J255" s="168"/>
      <c r="K255" s="169"/>
      <c r="L255" s="174">
        <f ca="1">IFERROR(__xludf.DUMMYFUNCTION("IMPORTRANGE(""https://docs.google.com/spreadsheets/d/1Yj_ptqi66GCucihVvJfMjLAmec39IyEx_6qawtMGysU/edit?usp=sharing"",""สบก!BX86"")"),0)</f>
        <v>0</v>
      </c>
      <c r="M255" s="173"/>
      <c r="N255" s="173"/>
      <c r="O255" s="176"/>
      <c r="P255" s="176"/>
    </row>
    <row r="256" spans="1:16" ht="21.75" customHeight="1" x14ac:dyDescent="0.35">
      <c r="A256" s="162"/>
      <c r="B256" s="163"/>
      <c r="C256" s="163"/>
      <c r="D256" s="172"/>
      <c r="E256" s="165"/>
      <c r="F256" s="165"/>
      <c r="G256" s="177" t="s">
        <v>43</v>
      </c>
      <c r="H256" s="167" t="s">
        <v>12</v>
      </c>
      <c r="I256" s="168"/>
      <c r="J256" s="168"/>
      <c r="K256" s="169"/>
      <c r="L256" s="174">
        <f ca="1">IFERROR(__xludf.DUMMYFUNCTION("IMPORTRANGE(""https://docs.google.com/spreadsheets/d/1Yj_ptqi66GCucihVvJfMjLAmec39IyEx_6qawtMGysU/edit?usp=sharing"",""สบก!BY86"")"),0)</f>
        <v>0</v>
      </c>
      <c r="M256" s="173"/>
      <c r="N256" s="173"/>
      <c r="O256" s="176"/>
      <c r="P256" s="176"/>
    </row>
    <row r="257" spans="1:16" ht="21.75" customHeight="1" x14ac:dyDescent="0.45">
      <c r="A257" s="178"/>
      <c r="B257" s="81"/>
      <c r="C257" s="82" t="s">
        <v>16</v>
      </c>
      <c r="D257" s="549" t="s">
        <v>23</v>
      </c>
      <c r="E257" s="545"/>
      <c r="F257" s="89"/>
      <c r="G257" s="83" t="s">
        <v>18</v>
      </c>
      <c r="H257" s="179" t="s">
        <v>12</v>
      </c>
      <c r="I257" s="168"/>
      <c r="J257" s="168"/>
      <c r="K257" s="169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80"/>
      <c r="B258" s="95"/>
      <c r="C258" s="95"/>
      <c r="D258" s="181"/>
      <c r="E258" s="96"/>
      <c r="F258" s="96"/>
      <c r="G258" s="97" t="s">
        <v>19</v>
      </c>
      <c r="H258" s="182" t="s">
        <v>12</v>
      </c>
      <c r="I258" s="168"/>
      <c r="J258" s="168"/>
      <c r="K258" s="169"/>
      <c r="L258" s="91">
        <f ca="1">IFERROR(__xludf.DUMMYFUNCTION("IMPORTRANGE(""https://docs.google.com/spreadsheets/d/1Yj_ptqi66GCucihVvJfMjLAmec39IyEx_6qawtMGysU/edit?usp=sharing"",""สบก!BZ86"")"),0)</f>
        <v>0</v>
      </c>
      <c r="M258" s="101"/>
      <c r="N258" s="91">
        <f ca="1">IFERROR(__xludf.DUMMYFUNCTION("IMPORTRANGE(""https://docs.google.com/spreadsheets/d/1Yj_ptqi66GCucihVvJfMjLAmec39IyEx_6qawtMGysU/edit?usp=sharing"",""สบก!CD86"")"),0)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3"/>
      <c r="B259" s="184"/>
      <c r="C259" s="163" t="s">
        <v>16</v>
      </c>
      <c r="D259" s="185" t="s">
        <v>44</v>
      </c>
      <c r="E259" s="186"/>
      <c r="F259" s="186"/>
      <c r="G259" s="187"/>
      <c r="H259" s="188"/>
      <c r="I259" s="168"/>
      <c r="J259" s="168"/>
      <c r="K259" s="169"/>
      <c r="L259" s="189"/>
      <c r="M259" s="189"/>
      <c r="N259" s="189"/>
      <c r="O259" s="189"/>
      <c r="P259" s="189"/>
    </row>
    <row r="260" spans="1:16" ht="21.75" customHeight="1" x14ac:dyDescent="0.35">
      <c r="A260" s="183"/>
      <c r="B260" s="184"/>
      <c r="C260" s="184"/>
      <c r="D260" s="190">
        <v>1</v>
      </c>
      <c r="E260" s="191" t="s">
        <v>45</v>
      </c>
      <c r="F260" s="192"/>
      <c r="G260" s="193"/>
      <c r="H260" s="194"/>
      <c r="I260" s="195"/>
      <c r="J260" s="196">
        <f ca="1">IFERROR(__xludf.DUMMYFUNCTION("IMPORTRANGE(""https://docs.google.com/spreadsheets/d/1IYY_tgx_IHuhSq3AJ5eI5OnqOPBNLWSHKh2a30DoXe8/edit?usp=sharing"",""ปัตตานี!J175"")"),0)</f>
        <v>0</v>
      </c>
      <c r="K260" s="169"/>
      <c r="L260" s="189"/>
      <c r="M260" s="189"/>
      <c r="N260" s="189"/>
      <c r="O260" s="189"/>
      <c r="P260" s="189"/>
    </row>
    <row r="261" spans="1:16" ht="21.75" customHeight="1" x14ac:dyDescent="0.35">
      <c r="A261" s="183"/>
      <c r="B261" s="184"/>
      <c r="C261" s="184"/>
      <c r="D261" s="197">
        <v>2</v>
      </c>
      <c r="E261" s="198" t="s">
        <v>46</v>
      </c>
      <c r="F261" s="199"/>
      <c r="G261" s="200"/>
      <c r="H261" s="194"/>
      <c r="I261" s="195"/>
      <c r="J261" s="205">
        <f ca="1">IFERROR(__xludf.DUMMYFUNCTION("IMPORTRANGE(""https://docs.google.com/spreadsheets/d/1IYY_tgx_IHuhSq3AJ5eI5OnqOPBNLWSHKh2a30DoXe8/edit?usp=sharing"",""ปัตตานี!J176"")"),0)</f>
        <v>0</v>
      </c>
      <c r="K261" s="169"/>
      <c r="L261" s="189" t="s">
        <v>40</v>
      </c>
      <c r="M261" s="189"/>
      <c r="N261" s="189" t="s">
        <v>40</v>
      </c>
      <c r="O261" s="189"/>
      <c r="P261" s="189"/>
    </row>
    <row r="262" spans="1:16" ht="21.75" customHeight="1" x14ac:dyDescent="0.35">
      <c r="A262" s="183"/>
      <c r="B262" s="184"/>
      <c r="C262" s="184"/>
      <c r="D262" s="201"/>
      <c r="E262" s="202" t="s">
        <v>47</v>
      </c>
      <c r="F262" s="203"/>
      <c r="G262" s="204"/>
      <c r="H262" s="194"/>
      <c r="I262" s="195"/>
      <c r="J262" s="205">
        <f ca="1">IFERROR(__xludf.DUMMYFUNCTION("IMPORTRANGE(""https://docs.google.com/spreadsheets/d/1IYY_tgx_IHuhSq3AJ5eI5OnqOPBNLWSHKh2a30DoXe8/edit?usp=sharing"",""ปัตตานี!J177"")"),0)</f>
        <v>0</v>
      </c>
      <c r="K262" s="169"/>
      <c r="L262" s="189"/>
      <c r="M262" s="189"/>
      <c r="N262" s="189"/>
      <c r="O262" s="189"/>
      <c r="P262" s="189"/>
    </row>
    <row r="263" spans="1:16" ht="21.75" customHeight="1" x14ac:dyDescent="0.35">
      <c r="A263" s="183"/>
      <c r="B263" s="184"/>
      <c r="C263" s="184"/>
      <c r="D263" s="201"/>
      <c r="E263" s="202" t="s">
        <v>48</v>
      </c>
      <c r="F263" s="203"/>
      <c r="G263" s="204"/>
      <c r="H263" s="194"/>
      <c r="I263" s="195"/>
      <c r="J263" s="205">
        <f ca="1">IFERROR(__xludf.DUMMYFUNCTION("IMPORTRANGE(""https://docs.google.com/spreadsheets/d/1IYY_tgx_IHuhSq3AJ5eI5OnqOPBNLWSHKh2a30DoXe8/edit?usp=sharing"",""ปัตตานี!J178"")"),0)</f>
        <v>0</v>
      </c>
      <c r="K263" s="169"/>
      <c r="L263" s="189"/>
      <c r="M263" s="189"/>
      <c r="N263" s="189"/>
      <c r="O263" s="189"/>
      <c r="P263" s="189"/>
    </row>
    <row r="264" spans="1:16" ht="21.75" customHeight="1" x14ac:dyDescent="0.35">
      <c r="A264" s="183"/>
      <c r="B264" s="184"/>
      <c r="C264" s="184"/>
      <c r="D264" s="201"/>
      <c r="E264" s="206"/>
      <c r="F264" s="202" t="s">
        <v>105</v>
      </c>
      <c r="G264" s="204"/>
      <c r="H264" s="188" t="s">
        <v>59</v>
      </c>
      <c r="I264" s="195">
        <f ca="1">IFERROR(__xludf.DUMMYFUNCTION("IMPORTRANGE(""https://docs.google.com/spreadsheets/d/1IYY_tgx_IHuhSq3AJ5eI5OnqOPBNLWSHKh2a30DoXe8/edit?usp=sharing"",""ปัตตานี!I179"")"),0)</f>
        <v>0</v>
      </c>
      <c r="J264" s="196">
        <f ca="1">IFERROR(__xludf.DUMMYFUNCTION("IMPORTRANGE(""https://docs.google.com/spreadsheets/d/1IYY_tgx_IHuhSq3AJ5eI5OnqOPBNLWSHKh2a30DoXe8/edit?usp=sharing"",""ปัตตานี!J179"")"),0)</f>
        <v>0</v>
      </c>
      <c r="K264" s="169">
        <f t="shared" ref="K264:K267" ca="1" si="82">IF(I264&gt;0,J264*100/I264,0)</f>
        <v>0</v>
      </c>
      <c r="L264" s="189"/>
      <c r="M264" s="189"/>
      <c r="N264" s="189"/>
      <c r="O264" s="189"/>
      <c r="P264" s="189"/>
    </row>
    <row r="265" spans="1:16" ht="21.75" customHeight="1" x14ac:dyDescent="0.35">
      <c r="A265" s="183"/>
      <c r="B265" s="184"/>
      <c r="C265" s="184"/>
      <c r="D265" s="201"/>
      <c r="E265" s="206"/>
      <c r="F265" s="202" t="s">
        <v>106</v>
      </c>
      <c r="G265" s="204"/>
      <c r="H265" s="188" t="s">
        <v>37</v>
      </c>
      <c r="I265" s="195">
        <f ca="1">IFERROR(__xludf.DUMMYFUNCTION("IMPORTRANGE(""https://docs.google.com/spreadsheets/d/1IYY_tgx_IHuhSq3AJ5eI5OnqOPBNLWSHKh2a30DoXe8/edit?usp=sharing"",""ปัตตานี!I180"")"),0)</f>
        <v>0</v>
      </c>
      <c r="J265" s="196">
        <f ca="1">IFERROR(__xludf.DUMMYFUNCTION("IMPORTRANGE(""https://docs.google.com/spreadsheets/d/1IYY_tgx_IHuhSq3AJ5eI5OnqOPBNLWSHKh2a30DoXe8/edit?usp=sharing"",""ปัตตานี!J180"")"),0)</f>
        <v>0</v>
      </c>
      <c r="K265" s="169">
        <f t="shared" ca="1" si="82"/>
        <v>0</v>
      </c>
      <c r="L265" s="189"/>
      <c r="M265" s="189"/>
      <c r="N265" s="189"/>
      <c r="O265" s="189"/>
      <c r="P265" s="189"/>
    </row>
    <row r="266" spans="1:16" ht="21.75" customHeight="1" x14ac:dyDescent="0.35">
      <c r="A266" s="183"/>
      <c r="B266" s="184"/>
      <c r="C266" s="184"/>
      <c r="D266" s="201"/>
      <c r="E266" s="206"/>
      <c r="F266" s="202" t="s">
        <v>107</v>
      </c>
      <c r="G266" s="204"/>
      <c r="H266" s="188" t="s">
        <v>37</v>
      </c>
      <c r="I266" s="195">
        <f ca="1">IFERROR(__xludf.DUMMYFUNCTION("IMPORTRANGE(""https://docs.google.com/spreadsheets/d/1IYY_tgx_IHuhSq3AJ5eI5OnqOPBNLWSHKh2a30DoXe8/edit?usp=sharing"",""ปัตตานี!I181"")"),0)</f>
        <v>0</v>
      </c>
      <c r="J266" s="196">
        <f ca="1">IFERROR(__xludf.DUMMYFUNCTION("IMPORTRANGE(""https://docs.google.com/spreadsheets/d/1IYY_tgx_IHuhSq3AJ5eI5OnqOPBNLWSHKh2a30DoXe8/edit?usp=sharing"",""ปัตตานี!J181"")"),0)</f>
        <v>0</v>
      </c>
      <c r="K266" s="169">
        <f t="shared" ca="1" si="82"/>
        <v>0</v>
      </c>
      <c r="L266" s="189"/>
      <c r="M266" s="189"/>
      <c r="N266" s="189"/>
      <c r="O266" s="189"/>
      <c r="P266" s="189"/>
    </row>
    <row r="267" spans="1:16" ht="21.75" customHeight="1" x14ac:dyDescent="0.35">
      <c r="A267" s="183"/>
      <c r="B267" s="184"/>
      <c r="C267" s="184"/>
      <c r="D267" s="201"/>
      <c r="E267" s="206"/>
      <c r="F267" s="202" t="s">
        <v>108</v>
      </c>
      <c r="G267" s="204"/>
      <c r="H267" s="188" t="s">
        <v>37</v>
      </c>
      <c r="I267" s="195">
        <f ca="1">IFERROR(__xludf.DUMMYFUNCTION("IMPORTRANGE(""https://docs.google.com/spreadsheets/d/1IYY_tgx_IHuhSq3AJ5eI5OnqOPBNLWSHKh2a30DoXe8/edit?usp=sharing"",""ปัตตานี!I182"")"),0)</f>
        <v>0</v>
      </c>
      <c r="J267" s="196">
        <f ca="1">IFERROR(__xludf.DUMMYFUNCTION("IMPORTRANGE(""https://docs.google.com/spreadsheets/d/1IYY_tgx_IHuhSq3AJ5eI5OnqOPBNLWSHKh2a30DoXe8/edit?usp=sharing"",""ปัตตานี!J182"")"),0)</f>
        <v>0</v>
      </c>
      <c r="K267" s="169">
        <f t="shared" ca="1" si="82"/>
        <v>0</v>
      </c>
      <c r="L267" s="189"/>
      <c r="M267" s="189"/>
      <c r="N267" s="189"/>
      <c r="O267" s="189"/>
      <c r="P267" s="189"/>
    </row>
    <row r="268" spans="1:16" ht="21.75" customHeight="1" x14ac:dyDescent="0.35">
      <c r="A268" s="183"/>
      <c r="B268" s="184"/>
      <c r="C268" s="184"/>
      <c r="D268" s="201"/>
      <c r="E268" s="202" t="s">
        <v>54</v>
      </c>
      <c r="F268" s="203"/>
      <c r="G268" s="204"/>
      <c r="H268" s="194"/>
      <c r="I268" s="195"/>
      <c r="J268" s="205">
        <f ca="1">IFERROR(__xludf.DUMMYFUNCTION("IMPORTRANGE(""https://docs.google.com/spreadsheets/d/1IYY_tgx_IHuhSq3AJ5eI5OnqOPBNLWSHKh2a30DoXe8/edit?usp=sharing"",""ปัตตานี!J183"")"),0)</f>
        <v>0</v>
      </c>
      <c r="K268" s="169"/>
      <c r="L268" s="189"/>
      <c r="M268" s="189"/>
      <c r="N268" s="189"/>
      <c r="O268" s="189"/>
      <c r="P268" s="189"/>
    </row>
    <row r="269" spans="1:16" ht="21.75" customHeight="1" x14ac:dyDescent="0.35">
      <c r="A269" s="241"/>
      <c r="B269" s="242"/>
      <c r="C269" s="242"/>
      <c r="D269" s="243">
        <v>3</v>
      </c>
      <c r="E269" s="244" t="s">
        <v>55</v>
      </c>
      <c r="F269" s="245"/>
      <c r="G269" s="246"/>
      <c r="H269" s="247"/>
      <c r="I269" s="248"/>
      <c r="J269" s="293">
        <f ca="1">IFERROR(__xludf.DUMMYFUNCTION("IMPORTRANGE(""https://docs.google.com/spreadsheets/d/1IYY_tgx_IHuhSq3AJ5eI5OnqOPBNLWSHKh2a30DoXe8/edit?usp=sharing"",""ปัตตานี!J184"")"),0)</f>
        <v>0</v>
      </c>
      <c r="K269" s="294"/>
      <c r="L269" s="252"/>
      <c r="M269" s="252"/>
      <c r="N269" s="252"/>
      <c r="O269" s="252"/>
      <c r="P269" s="252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IFERROR(__xludf.DUMMYFUNCTION("IMPORTRANGE(""https://docs.google.com/spreadsheets/d/1IYY_tgx_IHuhSq3AJ5eI5OnqOPBNLWSHKh2a30DoXe8/edit?usp=sharing"",""ปัตตานี!I185"")"),0)</f>
        <v>0</v>
      </c>
      <c r="J270" s="322">
        <f ca="1">IFERROR(__xludf.DUMMYFUNCTION("IMPORTRANGE(""https://docs.google.com/spreadsheets/d/1IYY_tgx_IHuhSq3AJ5eI5OnqOPBNLWSHKh2a30DoXe8/edit?usp=sharing"",""ปัตตานี!J185"")"),0)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52" t="s">
        <v>17</v>
      </c>
      <c r="E271" s="543"/>
      <c r="F271" s="543"/>
      <c r="G271" s="543"/>
      <c r="H271" s="153" t="s">
        <v>12</v>
      </c>
      <c r="I271" s="168"/>
      <c r="J271" s="168"/>
      <c r="K271" s="169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8"/>
      <c r="J272" s="168"/>
      <c r="K272" s="169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8"/>
      <c r="J273" s="168"/>
      <c r="K273" s="169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5">
      <c r="A274" s="162"/>
      <c r="B274" s="163"/>
      <c r="C274" s="163" t="s">
        <v>16</v>
      </c>
      <c r="D274" s="164" t="s">
        <v>38</v>
      </c>
      <c r="E274" s="165"/>
      <c r="F274" s="165"/>
      <c r="G274" s="166" t="s">
        <v>39</v>
      </c>
      <c r="H274" s="167" t="s">
        <v>12</v>
      </c>
      <c r="I274" s="168" t="s">
        <v>40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 x14ac:dyDescent="0.35">
      <c r="A275" s="162"/>
      <c r="B275" s="163"/>
      <c r="C275" s="163"/>
      <c r="D275" s="172"/>
      <c r="E275" s="165"/>
      <c r="F275" s="165" t="s">
        <v>40</v>
      </c>
      <c r="G275" s="166" t="s">
        <v>41</v>
      </c>
      <c r="H275" s="167" t="s">
        <v>12</v>
      </c>
      <c r="I275" s="168"/>
      <c r="J275" s="168"/>
      <c r="K275" s="169"/>
      <c r="L275" s="173">
        <f ca="1">L276+L277</f>
        <v>0</v>
      </c>
      <c r="M275" s="174">
        <f ca="1">IFERROR(__xludf.DUMMYFUNCTION("IMPORTRANGE(""https://docs.google.com/spreadsheets/d/1Yj_ptqi66GCucihVvJfMjLAmec39IyEx_6qawtMGysU/edit?usp=sharing"",""สบก!CK86"")"),0)</f>
        <v>0</v>
      </c>
      <c r="N275" s="175">
        <f ca="1">IFERROR(__xludf.DUMMYFUNCTION("IMPORTRANGE(""https://docs.google.com/spreadsheets/d/1Yj_ptqi66GCucihVvJfMjLAmec39IyEx_6qawtMGysU/edit?usp=sharing"",""สบก!CL86"")"),0)</f>
        <v>0</v>
      </c>
      <c r="O275" s="176">
        <f ca="1">IF(L275&gt;0,N275*100/L275,0)</f>
        <v>0</v>
      </c>
      <c r="P275" s="176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2"/>
      <c r="E276" s="165"/>
      <c r="F276" s="165"/>
      <c r="G276" s="177" t="s">
        <v>42</v>
      </c>
      <c r="H276" s="167" t="s">
        <v>12</v>
      </c>
      <c r="I276" s="168"/>
      <c r="J276" s="168"/>
      <c r="K276" s="169"/>
      <c r="L276" s="174">
        <f ca="1">IFERROR(__xludf.DUMMYFUNCTION("IMPORTRANGE(""https://docs.google.com/spreadsheets/d/1Yj_ptqi66GCucihVvJfMjLAmec39IyEx_6qawtMGysU/edit?usp=sharing"",""สบก!CG86"")"),0)</f>
        <v>0</v>
      </c>
      <c r="M276" s="173"/>
      <c r="N276" s="173"/>
      <c r="O276" s="176"/>
      <c r="P276" s="176"/>
    </row>
    <row r="277" spans="1:16" ht="21.75" customHeight="1" x14ac:dyDescent="0.35">
      <c r="A277" s="162"/>
      <c r="B277" s="163"/>
      <c r="C277" s="163"/>
      <c r="D277" s="172"/>
      <c r="E277" s="165"/>
      <c r="F277" s="165"/>
      <c r="G277" s="177" t="s">
        <v>43</v>
      </c>
      <c r="H277" s="167" t="s">
        <v>12</v>
      </c>
      <c r="I277" s="168"/>
      <c r="J277" s="168"/>
      <c r="K277" s="169"/>
      <c r="L277" s="174">
        <f ca="1">IFERROR(__xludf.DUMMYFUNCTION("IMPORTRANGE(""https://docs.google.com/spreadsheets/d/1Yj_ptqi66GCucihVvJfMjLAmec39IyEx_6qawtMGysU/edit?usp=sharing"",""สบก!CH86"")"),0)</f>
        <v>0</v>
      </c>
      <c r="M277" s="173"/>
      <c r="N277" s="173"/>
      <c r="O277" s="176"/>
      <c r="P277" s="176"/>
    </row>
    <row r="278" spans="1:16" ht="21.75" customHeight="1" x14ac:dyDescent="0.45">
      <c r="A278" s="178"/>
      <c r="B278" s="81"/>
      <c r="C278" s="82" t="s">
        <v>16</v>
      </c>
      <c r="D278" s="549" t="s">
        <v>23</v>
      </c>
      <c r="E278" s="545"/>
      <c r="F278" s="89"/>
      <c r="G278" s="83" t="s">
        <v>18</v>
      </c>
      <c r="H278" s="179" t="s">
        <v>12</v>
      </c>
      <c r="I278" s="168"/>
      <c r="J278" s="168"/>
      <c r="K278" s="169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80"/>
      <c r="B279" s="95"/>
      <c r="C279" s="95"/>
      <c r="D279" s="181"/>
      <c r="E279" s="96"/>
      <c r="F279" s="96"/>
      <c r="G279" s="97" t="s">
        <v>19</v>
      </c>
      <c r="H279" s="182" t="s">
        <v>12</v>
      </c>
      <c r="I279" s="168"/>
      <c r="J279" s="168"/>
      <c r="K279" s="169"/>
      <c r="L279" s="91">
        <f ca="1">IFERROR(__xludf.DUMMYFUNCTION("IMPORTRANGE(""https://docs.google.com/spreadsheets/d/1Yj_ptqi66GCucihVvJfMjLAmec39IyEx_6qawtMGysU/edit?usp=sharing"",""สบก!CI86"")"),0)</f>
        <v>0</v>
      </c>
      <c r="M279" s="101"/>
      <c r="N279" s="91">
        <f ca="1">IFERROR(__xludf.DUMMYFUNCTION("IMPORTRANGE(""https://docs.google.com/spreadsheets/d/1Yj_ptqi66GCucihVvJfMjLAmec39IyEx_6qawtMGysU/edit?usp=sharing"",""สบก!CM86"")"),0)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3"/>
      <c r="B280" s="184"/>
      <c r="C280" s="163" t="s">
        <v>16</v>
      </c>
      <c r="D280" s="185" t="s">
        <v>44</v>
      </c>
      <c r="E280" s="186"/>
      <c r="F280" s="186"/>
      <c r="G280" s="187"/>
      <c r="H280" s="188"/>
      <c r="I280" s="168"/>
      <c r="J280" s="168"/>
      <c r="K280" s="169"/>
      <c r="L280" s="189"/>
      <c r="M280" s="189"/>
      <c r="N280" s="189"/>
      <c r="O280" s="189"/>
      <c r="P280" s="189"/>
    </row>
    <row r="281" spans="1:16" ht="21.75" customHeight="1" x14ac:dyDescent="0.35">
      <c r="A281" s="183"/>
      <c r="B281" s="184"/>
      <c r="C281" s="184"/>
      <c r="D281" s="190">
        <v>1</v>
      </c>
      <c r="E281" s="191" t="s">
        <v>45</v>
      </c>
      <c r="F281" s="192"/>
      <c r="G281" s="193"/>
      <c r="H281" s="194"/>
      <c r="I281" s="195"/>
      <c r="J281" s="196">
        <f ca="1">IFERROR(__xludf.DUMMYFUNCTION("IMPORTRANGE(""https://docs.google.com/spreadsheets/d/1IYY_tgx_IHuhSq3AJ5eI5OnqOPBNLWSHKh2a30DoXe8/edit?usp=sharing"",""ปัตตานี!J191"")"),0)</f>
        <v>0</v>
      </c>
      <c r="K281" s="169"/>
      <c r="L281" s="189"/>
      <c r="M281" s="189"/>
      <c r="N281" s="189"/>
      <c r="O281" s="189"/>
      <c r="P281" s="189"/>
    </row>
    <row r="282" spans="1:16" ht="21.75" customHeight="1" x14ac:dyDescent="0.35">
      <c r="A282" s="183"/>
      <c r="B282" s="184"/>
      <c r="C282" s="184"/>
      <c r="D282" s="197">
        <v>2</v>
      </c>
      <c r="E282" s="198" t="s">
        <v>46</v>
      </c>
      <c r="F282" s="199"/>
      <c r="G282" s="200"/>
      <c r="H282" s="194"/>
      <c r="I282" s="195"/>
      <c r="J282" s="205">
        <f ca="1">IFERROR(__xludf.DUMMYFUNCTION("IMPORTRANGE(""https://docs.google.com/spreadsheets/d/1IYY_tgx_IHuhSq3AJ5eI5OnqOPBNLWSHKh2a30DoXe8/edit?usp=sharing"",""ปัตตานี!J192"")"),0)</f>
        <v>0</v>
      </c>
      <c r="K282" s="169"/>
      <c r="L282" s="189"/>
      <c r="M282" s="189"/>
      <c r="N282" s="189"/>
      <c r="O282" s="189"/>
      <c r="P282" s="189"/>
    </row>
    <row r="283" spans="1:16" ht="21.75" customHeight="1" x14ac:dyDescent="0.35">
      <c r="A283" s="183"/>
      <c r="B283" s="184"/>
      <c r="C283" s="184"/>
      <c r="D283" s="201"/>
      <c r="E283" s="202" t="s">
        <v>47</v>
      </c>
      <c r="F283" s="203"/>
      <c r="G283" s="204"/>
      <c r="H283" s="194"/>
      <c r="I283" s="195"/>
      <c r="J283" s="205">
        <f ca="1">IFERROR(__xludf.DUMMYFUNCTION("IMPORTRANGE(""https://docs.google.com/spreadsheets/d/1IYY_tgx_IHuhSq3AJ5eI5OnqOPBNLWSHKh2a30DoXe8/edit?usp=sharing"",""ปัตตานี!J193"")"),0)</f>
        <v>0</v>
      </c>
      <c r="K283" s="169"/>
      <c r="L283" s="189"/>
      <c r="M283" s="189"/>
      <c r="N283" s="189"/>
      <c r="O283" s="189"/>
      <c r="P283" s="189"/>
    </row>
    <row r="284" spans="1:16" ht="21.75" customHeight="1" x14ac:dyDescent="0.35">
      <c r="A284" s="183"/>
      <c r="B284" s="184"/>
      <c r="C284" s="184"/>
      <c r="D284" s="201"/>
      <c r="E284" s="202" t="s">
        <v>48</v>
      </c>
      <c r="F284" s="203"/>
      <c r="G284" s="204"/>
      <c r="H284" s="194"/>
      <c r="I284" s="195"/>
      <c r="J284" s="205">
        <f ca="1">IFERROR(__xludf.DUMMYFUNCTION("IMPORTRANGE(""https://docs.google.com/spreadsheets/d/1IYY_tgx_IHuhSq3AJ5eI5OnqOPBNLWSHKh2a30DoXe8/edit?usp=sharing"",""ปัตตานี!J194"")"),0)</f>
        <v>0</v>
      </c>
      <c r="K284" s="169"/>
      <c r="L284" s="189"/>
      <c r="M284" s="189"/>
      <c r="N284" s="189"/>
      <c r="O284" s="189"/>
      <c r="P284" s="189"/>
    </row>
    <row r="285" spans="1:16" ht="21.75" customHeight="1" x14ac:dyDescent="0.35">
      <c r="A285" s="183"/>
      <c r="B285" s="184"/>
      <c r="C285" s="184"/>
      <c r="D285" s="201"/>
      <c r="E285" s="203"/>
      <c r="F285" s="202" t="s">
        <v>110</v>
      </c>
      <c r="G285" s="204"/>
      <c r="H285" s="194" t="s">
        <v>37</v>
      </c>
      <c r="I285" s="195">
        <f ca="1">IFERROR(__xludf.DUMMYFUNCTION("IMPORTRANGE(""https://docs.google.com/spreadsheets/d/1IYY_tgx_IHuhSq3AJ5eI5OnqOPBNLWSHKh2a30DoXe8/edit?usp=sharing"",""ปัตตานี!I195"")"),0)</f>
        <v>0</v>
      </c>
      <c r="J285" s="196">
        <f ca="1">IFERROR(__xludf.DUMMYFUNCTION("IMPORTRANGE(""https://docs.google.com/spreadsheets/d/1IYY_tgx_IHuhSq3AJ5eI5OnqOPBNLWSHKh2a30DoXe8/edit?usp=sharing"",""ปัตตานี!J195"")"),0)</f>
        <v>0</v>
      </c>
      <c r="K285" s="169">
        <f ca="1">IF(I285&gt;0,J285*100/I285,0)</f>
        <v>0</v>
      </c>
      <c r="L285" s="189"/>
      <c r="M285" s="189"/>
      <c r="N285" s="189"/>
      <c r="O285" s="189"/>
      <c r="P285" s="189"/>
    </row>
    <row r="286" spans="1:16" ht="21.75" customHeight="1" x14ac:dyDescent="0.35">
      <c r="A286" s="183"/>
      <c r="B286" s="184"/>
      <c r="C286" s="184"/>
      <c r="D286" s="201"/>
      <c r="E286" s="202" t="s">
        <v>54</v>
      </c>
      <c r="F286" s="203"/>
      <c r="G286" s="204"/>
      <c r="H286" s="194"/>
      <c r="I286" s="195"/>
      <c r="J286" s="205">
        <f ca="1">IFERROR(__xludf.DUMMYFUNCTION("IMPORTRANGE(""https://docs.google.com/spreadsheets/d/1IYY_tgx_IHuhSq3AJ5eI5OnqOPBNLWSHKh2a30DoXe8/edit?usp=sharing"",""ปัตตานี!J196"")"),0)</f>
        <v>0</v>
      </c>
      <c r="K286" s="169"/>
      <c r="L286" s="189"/>
      <c r="M286" s="189"/>
      <c r="N286" s="189"/>
      <c r="O286" s="189"/>
      <c r="P286" s="189"/>
    </row>
    <row r="287" spans="1:16" ht="21.75" customHeight="1" x14ac:dyDescent="0.35">
      <c r="A287" s="183"/>
      <c r="B287" s="184"/>
      <c r="C287" s="184"/>
      <c r="D287" s="213">
        <v>3</v>
      </c>
      <c r="E287" s="214" t="s">
        <v>55</v>
      </c>
      <c r="F287" s="215"/>
      <c r="G287" s="216"/>
      <c r="H287" s="194"/>
      <c r="I287" s="195"/>
      <c r="J287" s="217">
        <f ca="1">IFERROR(__xludf.DUMMYFUNCTION("IMPORTRANGE(""https://docs.google.com/spreadsheets/d/1IYY_tgx_IHuhSq3AJ5eI5OnqOPBNLWSHKh2a30DoXe8/edit?usp=sharing"",""ปัตตานี!J197"")"),0)</f>
        <v>0</v>
      </c>
      <c r="K287" s="169"/>
      <c r="L287" s="189"/>
      <c r="M287" s="189"/>
      <c r="N287" s="189"/>
      <c r="O287" s="189"/>
      <c r="P287" s="189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IFERROR(__xludf.DUMMYFUNCTION("IMPORTRANGE(""https://docs.google.com/spreadsheets/d/1IYY_tgx_IHuhSq3AJ5eI5OnqOPBNLWSHKh2a30DoXe8/edit?usp=sharing"",""ปัตตานี!I199"")"),0)</f>
        <v>0</v>
      </c>
      <c r="J289" s="322">
        <f ca="1">IFERROR(__xludf.DUMMYFUNCTION("IMPORTRANGE(""https://docs.google.com/spreadsheets/d/1IYY_tgx_IHuhSq3AJ5eI5OnqOPBNLWSHKh2a30DoXe8/edit?usp=sharing"",""ปัตตานี!J199"")"),0)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52" t="s">
        <v>17</v>
      </c>
      <c r="E290" s="543"/>
      <c r="F290" s="543"/>
      <c r="G290" s="543"/>
      <c r="H290" s="153" t="s">
        <v>12</v>
      </c>
      <c r="I290" s="195"/>
      <c r="J290" s="195"/>
      <c r="K290" s="231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5"/>
      <c r="J291" s="195"/>
      <c r="K291" s="231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5"/>
      <c r="J292" s="195"/>
      <c r="K292" s="231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5">
      <c r="A293" s="162"/>
      <c r="B293" s="163"/>
      <c r="C293" s="163" t="s">
        <v>16</v>
      </c>
      <c r="D293" s="164" t="s">
        <v>38</v>
      </c>
      <c r="E293" s="165"/>
      <c r="F293" s="165"/>
      <c r="G293" s="166" t="s">
        <v>39</v>
      </c>
      <c r="H293" s="167" t="s">
        <v>12</v>
      </c>
      <c r="I293" s="195" t="s">
        <v>40</v>
      </c>
      <c r="J293" s="195"/>
      <c r="K293" s="231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 x14ac:dyDescent="0.35">
      <c r="A294" s="162"/>
      <c r="B294" s="163"/>
      <c r="C294" s="163"/>
      <c r="D294" s="172"/>
      <c r="E294" s="165"/>
      <c r="F294" s="165" t="s">
        <v>40</v>
      </c>
      <c r="G294" s="166" t="s">
        <v>41</v>
      </c>
      <c r="H294" s="167" t="s">
        <v>12</v>
      </c>
      <c r="I294" s="195"/>
      <c r="J294" s="195"/>
      <c r="K294" s="231"/>
      <c r="L294" s="173">
        <f ca="1">L295+L296</f>
        <v>0</v>
      </c>
      <c r="M294" s="174">
        <f ca="1">IFERROR(__xludf.DUMMYFUNCTION("IMPORTRANGE(""https://docs.google.com/spreadsheets/d/1Yj_ptqi66GCucihVvJfMjLAmec39IyEx_6qawtMGysU/edit?usp=sharing"",""สบก!CT86"")"),0)</f>
        <v>0</v>
      </c>
      <c r="N294" s="175">
        <f ca="1">IFERROR(__xludf.DUMMYFUNCTION("IMPORTRANGE(""https://docs.google.com/spreadsheets/d/1Yj_ptqi66GCucihVvJfMjLAmec39IyEx_6qawtMGysU/edit?usp=sharing"",""สบก!CU86"")"),0)</f>
        <v>0</v>
      </c>
      <c r="O294" s="176">
        <f ca="1">IF(L294&gt;0,N294*100/L294,0)</f>
        <v>0</v>
      </c>
      <c r="P294" s="176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2"/>
      <c r="E295" s="165"/>
      <c r="F295" s="165"/>
      <c r="G295" s="177" t="s">
        <v>42</v>
      </c>
      <c r="H295" s="167" t="s">
        <v>12</v>
      </c>
      <c r="I295" s="195"/>
      <c r="J295" s="195"/>
      <c r="K295" s="231"/>
      <c r="L295" s="174">
        <f ca="1">IFERROR(__xludf.DUMMYFUNCTION("IMPORTRANGE(""https://docs.google.com/spreadsheets/d/1Yj_ptqi66GCucihVvJfMjLAmec39IyEx_6qawtMGysU/edit?usp=sharing"",""สบก!CP86"")"),0)</f>
        <v>0</v>
      </c>
      <c r="M295" s="173"/>
      <c r="N295" s="173"/>
      <c r="O295" s="176"/>
      <c r="P295" s="176"/>
    </row>
    <row r="296" spans="1:16" ht="21.75" customHeight="1" x14ac:dyDescent="0.35">
      <c r="A296" s="162"/>
      <c r="B296" s="163"/>
      <c r="C296" s="163"/>
      <c r="D296" s="172"/>
      <c r="E296" s="165"/>
      <c r="F296" s="165"/>
      <c r="G296" s="177" t="s">
        <v>43</v>
      </c>
      <c r="H296" s="167" t="s">
        <v>12</v>
      </c>
      <c r="I296" s="195"/>
      <c r="J296" s="195"/>
      <c r="K296" s="231"/>
      <c r="L296" s="174">
        <f ca="1">IFERROR(__xludf.DUMMYFUNCTION("IMPORTRANGE(""https://docs.google.com/spreadsheets/d/1Yj_ptqi66GCucihVvJfMjLAmec39IyEx_6qawtMGysU/edit?usp=sharing"",""สบก!CQ86"")"),0)</f>
        <v>0</v>
      </c>
      <c r="M296" s="173"/>
      <c r="N296" s="173"/>
      <c r="O296" s="176"/>
      <c r="P296" s="176"/>
    </row>
    <row r="297" spans="1:16" ht="21.75" customHeight="1" x14ac:dyDescent="0.45">
      <c r="A297" s="178"/>
      <c r="B297" s="81"/>
      <c r="C297" s="82" t="s">
        <v>16</v>
      </c>
      <c r="D297" s="549" t="s">
        <v>23</v>
      </c>
      <c r="E297" s="545"/>
      <c r="F297" s="89"/>
      <c r="G297" s="83" t="s">
        <v>18</v>
      </c>
      <c r="H297" s="179" t="s">
        <v>12</v>
      </c>
      <c r="I297" s="195"/>
      <c r="J297" s="195"/>
      <c r="K297" s="231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80"/>
      <c r="B298" s="95"/>
      <c r="C298" s="95"/>
      <c r="D298" s="181"/>
      <c r="E298" s="96"/>
      <c r="F298" s="96"/>
      <c r="G298" s="97" t="s">
        <v>19</v>
      </c>
      <c r="H298" s="182" t="s">
        <v>12</v>
      </c>
      <c r="I298" s="195"/>
      <c r="J298" s="195"/>
      <c r="K298" s="231"/>
      <c r="L298" s="91">
        <f ca="1">IFERROR(__xludf.DUMMYFUNCTION("IMPORTRANGE(""https://docs.google.com/spreadsheets/d/1Yj_ptqi66GCucihVvJfMjLAmec39IyEx_6qawtMGysU/edit?usp=sharing"",""สบก!CR86"")"),0)</f>
        <v>0</v>
      </c>
      <c r="M298" s="101"/>
      <c r="N298" s="91">
        <f ca="1">IFERROR(__xludf.DUMMYFUNCTION("IMPORTRANGE(""https://docs.google.com/spreadsheets/d/1Yj_ptqi66GCucihVvJfMjLAmec39IyEx_6qawtMGysU/edit?usp=sharing"",""สบก!CV86"")"),0)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3"/>
      <c r="B299" s="184"/>
      <c r="C299" s="163" t="s">
        <v>16</v>
      </c>
      <c r="D299" s="185" t="s">
        <v>44</v>
      </c>
      <c r="E299" s="186"/>
      <c r="F299" s="186"/>
      <c r="G299" s="187"/>
      <c r="H299" s="188"/>
      <c r="I299" s="195"/>
      <c r="J299" s="195"/>
      <c r="K299" s="231"/>
      <c r="L299" s="176"/>
      <c r="M299" s="176"/>
      <c r="N299" s="176"/>
      <c r="O299" s="189"/>
      <c r="P299" s="189"/>
    </row>
    <row r="300" spans="1:16" ht="21.75" customHeight="1" x14ac:dyDescent="0.35">
      <c r="A300" s="183"/>
      <c r="B300" s="184"/>
      <c r="C300" s="184"/>
      <c r="D300" s="190">
        <v>1</v>
      </c>
      <c r="E300" s="191" t="s">
        <v>45</v>
      </c>
      <c r="F300" s="192"/>
      <c r="G300" s="193"/>
      <c r="H300" s="194"/>
      <c r="I300" s="195"/>
      <c r="J300" s="195">
        <f ca="1">IFERROR(__xludf.DUMMYFUNCTION("IMPORTRANGE(""https://docs.google.com/spreadsheets/d/1IYY_tgx_IHuhSq3AJ5eI5OnqOPBNLWSHKh2a30DoXe8/edit?usp=sharing"",""ปัตตานี!J205"")"),0)</f>
        <v>0</v>
      </c>
      <c r="K300" s="231"/>
      <c r="L300" s="176"/>
      <c r="M300" s="176"/>
      <c r="N300" s="176"/>
      <c r="O300" s="189"/>
      <c r="P300" s="189"/>
    </row>
    <row r="301" spans="1:16" ht="21.75" customHeight="1" x14ac:dyDescent="0.35">
      <c r="A301" s="183"/>
      <c r="B301" s="184"/>
      <c r="C301" s="184"/>
      <c r="D301" s="197">
        <v>2</v>
      </c>
      <c r="E301" s="198" t="s">
        <v>46</v>
      </c>
      <c r="F301" s="199"/>
      <c r="G301" s="200"/>
      <c r="H301" s="194"/>
      <c r="I301" s="195"/>
      <c r="J301" s="195">
        <f ca="1">IFERROR(__xludf.DUMMYFUNCTION("IMPORTRANGE(""https://docs.google.com/spreadsheets/d/1IYY_tgx_IHuhSq3AJ5eI5OnqOPBNLWSHKh2a30DoXe8/edit?usp=sharing"",""ปัตตานี!J206"")"),0)</f>
        <v>0</v>
      </c>
      <c r="K301" s="231"/>
      <c r="L301" s="176" t="s">
        <v>40</v>
      </c>
      <c r="M301" s="176"/>
      <c r="N301" s="176" t="s">
        <v>40</v>
      </c>
      <c r="O301" s="189"/>
      <c r="P301" s="189"/>
    </row>
    <row r="302" spans="1:16" ht="21.75" customHeight="1" x14ac:dyDescent="0.35">
      <c r="A302" s="183"/>
      <c r="B302" s="184"/>
      <c r="C302" s="184"/>
      <c r="D302" s="201"/>
      <c r="E302" s="202" t="s">
        <v>47</v>
      </c>
      <c r="F302" s="203"/>
      <c r="G302" s="204"/>
      <c r="H302" s="194"/>
      <c r="I302" s="195"/>
      <c r="J302" s="195">
        <f ca="1">IFERROR(__xludf.DUMMYFUNCTION("IMPORTRANGE(""https://docs.google.com/spreadsheets/d/1IYY_tgx_IHuhSq3AJ5eI5OnqOPBNLWSHKh2a30DoXe8/edit?usp=sharing"",""ปัตตานี!J207"")"),0)</f>
        <v>0</v>
      </c>
      <c r="K302" s="231"/>
      <c r="L302" s="176"/>
      <c r="M302" s="176"/>
      <c r="N302" s="176"/>
      <c r="O302" s="189"/>
      <c r="P302" s="189"/>
    </row>
    <row r="303" spans="1:16" ht="21.75" customHeight="1" x14ac:dyDescent="0.35">
      <c r="A303" s="183"/>
      <c r="B303" s="184"/>
      <c r="C303" s="184"/>
      <c r="D303" s="201"/>
      <c r="E303" s="202" t="s">
        <v>48</v>
      </c>
      <c r="F303" s="203"/>
      <c r="G303" s="204"/>
      <c r="H303" s="194"/>
      <c r="I303" s="195"/>
      <c r="J303" s="195">
        <f ca="1">IFERROR(__xludf.DUMMYFUNCTION("IMPORTRANGE(""https://docs.google.com/spreadsheets/d/1IYY_tgx_IHuhSq3AJ5eI5OnqOPBNLWSHKh2a30DoXe8/edit?usp=sharing"",""ปัตตานี!J208"")"),0)</f>
        <v>0</v>
      </c>
      <c r="K303" s="231"/>
      <c r="L303" s="176"/>
      <c r="M303" s="176"/>
      <c r="N303" s="176"/>
      <c r="O303" s="189"/>
      <c r="P303" s="189"/>
    </row>
    <row r="304" spans="1:16" ht="21.75" customHeight="1" x14ac:dyDescent="0.35">
      <c r="A304" s="183"/>
      <c r="B304" s="184"/>
      <c r="C304" s="184"/>
      <c r="D304" s="201"/>
      <c r="E304" s="206"/>
      <c r="F304" s="202" t="s">
        <v>113</v>
      </c>
      <c r="G304" s="204"/>
      <c r="H304" s="188" t="s">
        <v>37</v>
      </c>
      <c r="I304" s="195">
        <f ca="1">IFERROR(__xludf.DUMMYFUNCTION("IMPORTRANGE(""https://docs.google.com/spreadsheets/d/1IYY_tgx_IHuhSq3AJ5eI5OnqOPBNLWSHKh2a30DoXe8/edit?usp=sharing"",""ปัตตานี!I209"")"),0)</f>
        <v>0</v>
      </c>
      <c r="J304" s="211">
        <f ca="1">IFERROR(__xludf.DUMMYFUNCTION("IMPORTRANGE(""https://docs.google.com/spreadsheets/d/1IYY_tgx_IHuhSq3AJ5eI5OnqOPBNLWSHKh2a30DoXe8/edit?usp=sharing"",""ปัตตานี!J209"")"),0)</f>
        <v>0</v>
      </c>
      <c r="K304" s="231">
        <f ca="1">IF(I304&gt;0,J304*100/I304,0)</f>
        <v>0</v>
      </c>
      <c r="L304" s="176"/>
      <c r="M304" s="176"/>
      <c r="N304" s="176"/>
      <c r="O304" s="189"/>
      <c r="P304" s="189"/>
    </row>
    <row r="305" spans="1:16" ht="21.75" customHeight="1" x14ac:dyDescent="0.35">
      <c r="A305" s="183"/>
      <c r="B305" s="184"/>
      <c r="C305" s="184"/>
      <c r="D305" s="201"/>
      <c r="E305" s="206"/>
      <c r="F305" s="202" t="s">
        <v>114</v>
      </c>
      <c r="G305" s="204"/>
      <c r="H305" s="188"/>
      <c r="I305" s="195"/>
      <c r="J305" s="195"/>
      <c r="K305" s="231"/>
      <c r="L305" s="176"/>
      <c r="M305" s="176"/>
      <c r="N305" s="176"/>
      <c r="O305" s="189"/>
      <c r="P305" s="189"/>
    </row>
    <row r="306" spans="1:16" ht="21.75" customHeight="1" x14ac:dyDescent="0.35">
      <c r="A306" s="183"/>
      <c r="B306" s="184"/>
      <c r="C306" s="184"/>
      <c r="D306" s="201"/>
      <c r="E306" s="206"/>
      <c r="F306" s="203" t="s">
        <v>53</v>
      </c>
      <c r="G306" s="204"/>
      <c r="H306" s="188" t="s">
        <v>37</v>
      </c>
      <c r="I306" s="195">
        <f ca="1">IFERROR(__xludf.DUMMYFUNCTION("IMPORTRANGE(""https://docs.google.com/spreadsheets/d/1IYY_tgx_IHuhSq3AJ5eI5OnqOPBNLWSHKh2a30DoXe8/edit?usp=sharing"",""ปัตตานี!I211"")"),0)</f>
        <v>0</v>
      </c>
      <c r="J306" s="211">
        <f ca="1">IFERROR(__xludf.DUMMYFUNCTION("IMPORTRANGE(""https://docs.google.com/spreadsheets/d/1IYY_tgx_IHuhSq3AJ5eI5OnqOPBNLWSHKh2a30DoXe8/edit?usp=sharing"",""ปัตตานี!J211"")"),0)</f>
        <v>0</v>
      </c>
      <c r="K306" s="231">
        <f ca="1">IF(I306&gt;0,J306*100/I306,0)</f>
        <v>0</v>
      </c>
      <c r="L306" s="176"/>
      <c r="M306" s="176"/>
      <c r="N306" s="176"/>
      <c r="O306" s="189"/>
      <c r="P306" s="189"/>
    </row>
    <row r="307" spans="1:16" ht="21.75" customHeight="1" x14ac:dyDescent="0.35">
      <c r="A307" s="183"/>
      <c r="B307" s="184"/>
      <c r="C307" s="184"/>
      <c r="D307" s="201"/>
      <c r="E307" s="202" t="s">
        <v>54</v>
      </c>
      <c r="F307" s="203"/>
      <c r="G307" s="204"/>
      <c r="H307" s="194"/>
      <c r="I307" s="195"/>
      <c r="J307" s="195">
        <f ca="1">IFERROR(__xludf.DUMMYFUNCTION("IMPORTRANGE(""https://docs.google.com/spreadsheets/d/1IYY_tgx_IHuhSq3AJ5eI5OnqOPBNLWSHKh2a30DoXe8/edit?usp=sharing"",""ปัตตานี!J212"")"),0)</f>
        <v>0</v>
      </c>
      <c r="K307" s="231"/>
      <c r="L307" s="176"/>
      <c r="M307" s="176"/>
      <c r="N307" s="176"/>
      <c r="O307" s="189"/>
      <c r="P307" s="189"/>
    </row>
    <row r="308" spans="1:16" ht="21.75" customHeight="1" x14ac:dyDescent="0.35">
      <c r="A308" s="183"/>
      <c r="B308" s="184"/>
      <c r="C308" s="184"/>
      <c r="D308" s="213">
        <v>3</v>
      </c>
      <c r="E308" s="214" t="s">
        <v>55</v>
      </c>
      <c r="F308" s="215"/>
      <c r="G308" s="216"/>
      <c r="H308" s="194"/>
      <c r="I308" s="195"/>
      <c r="J308" s="332">
        <f ca="1">IFERROR(__xludf.DUMMYFUNCTION("IMPORTRANGE(""https://docs.google.com/spreadsheets/d/1IYY_tgx_IHuhSq3AJ5eI5OnqOPBNLWSHKh2a30DoXe8/edit?usp=sharing"",""ปัตตานี!J213"")"),0)</f>
        <v>0</v>
      </c>
      <c r="K308" s="231"/>
      <c r="L308" s="176"/>
      <c r="M308" s="176"/>
      <c r="N308" s="176"/>
      <c r="O308" s="189"/>
      <c r="P308" s="189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IFERROR(__xludf.DUMMYFUNCTION("IMPORTRANGE(""https://docs.google.com/spreadsheets/d/1IYY_tgx_IHuhSq3AJ5eI5OnqOPBNLWSHKh2a30DoXe8/edit?usp=sharing"",""ปัตตานี!I214"")"),0)</f>
        <v>0</v>
      </c>
      <c r="J309" s="339">
        <f ca="1">IFERROR(__xludf.DUMMYFUNCTION("IMPORTRANGE(""https://docs.google.com/spreadsheets/d/1IYY_tgx_IHuhSq3AJ5eI5OnqOPBNLWSHKh2a30DoXe8/edit?usp=sharing"",""ปัตตานี!J214"")"),0)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52" t="s">
        <v>17</v>
      </c>
      <c r="E310" s="543"/>
      <c r="F310" s="543"/>
      <c r="G310" s="54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5">
      <c r="A313" s="162"/>
      <c r="B313" s="163"/>
      <c r="C313" s="163" t="s">
        <v>16</v>
      </c>
      <c r="D313" s="164" t="s">
        <v>38</v>
      </c>
      <c r="E313" s="165"/>
      <c r="F313" s="165"/>
      <c r="G313" s="166" t="s">
        <v>39</v>
      </c>
      <c r="H313" s="167" t="s">
        <v>12</v>
      </c>
      <c r="I313" s="168" t="s">
        <v>40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 x14ac:dyDescent="0.35">
      <c r="A314" s="162"/>
      <c r="B314" s="163"/>
      <c r="C314" s="163"/>
      <c r="D314" s="172"/>
      <c r="E314" s="165"/>
      <c r="F314" s="165" t="s">
        <v>40</v>
      </c>
      <c r="G314" s="166" t="s">
        <v>41</v>
      </c>
      <c r="H314" s="167" t="s">
        <v>12</v>
      </c>
      <c r="I314" s="168"/>
      <c r="J314" s="168"/>
      <c r="K314" s="169"/>
      <c r="L314" s="173">
        <f ca="1">L315+L316</f>
        <v>0</v>
      </c>
      <c r="M314" s="174">
        <f ca="1">IFERROR(__xludf.DUMMYFUNCTION("IMPORTRANGE(""https://docs.google.com/spreadsheets/d/1Yj_ptqi66GCucihVvJfMjLAmec39IyEx_6qawtMGysU/edit?usp=sharing"",""สบก!DC86"")"),0)</f>
        <v>0</v>
      </c>
      <c r="N314" s="175">
        <f ca="1">IFERROR(__xludf.DUMMYFUNCTION("IMPORTRANGE(""https://docs.google.com/spreadsheets/d/1Yj_ptqi66GCucihVvJfMjLAmec39IyEx_6qawtMGysU/edit?usp=sharing"",""สบก!DD86"")"),0)</f>
        <v>0</v>
      </c>
      <c r="O314" s="176">
        <f ca="1">IF(L314&gt;0,N314*100/L314,0)</f>
        <v>0</v>
      </c>
      <c r="P314" s="176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2"/>
      <c r="E315" s="165"/>
      <c r="F315" s="165"/>
      <c r="G315" s="177" t="s">
        <v>42</v>
      </c>
      <c r="H315" s="167" t="s">
        <v>12</v>
      </c>
      <c r="I315" s="168"/>
      <c r="J315" s="168"/>
      <c r="K315" s="169"/>
      <c r="L315" s="174">
        <f ca="1">IFERROR(__xludf.DUMMYFUNCTION("IMPORTRANGE(""https://docs.google.com/spreadsheets/d/1Yj_ptqi66GCucihVvJfMjLAmec39IyEx_6qawtMGysU/edit?usp=sharing"",""สบก!CY86"")"),0)</f>
        <v>0</v>
      </c>
      <c r="M315" s="173"/>
      <c r="N315" s="173"/>
      <c r="O315" s="176"/>
      <c r="P315" s="176"/>
    </row>
    <row r="316" spans="1:16" ht="21.75" customHeight="1" x14ac:dyDescent="0.35">
      <c r="A316" s="162"/>
      <c r="B316" s="163"/>
      <c r="C316" s="163"/>
      <c r="D316" s="172"/>
      <c r="E316" s="165"/>
      <c r="F316" s="165"/>
      <c r="G316" s="177" t="s">
        <v>43</v>
      </c>
      <c r="H316" s="167" t="s">
        <v>12</v>
      </c>
      <c r="I316" s="168"/>
      <c r="J316" s="195"/>
      <c r="K316" s="231"/>
      <c r="L316" s="174">
        <f ca="1">IFERROR(__xludf.DUMMYFUNCTION("IMPORTRANGE(""https://docs.google.com/spreadsheets/d/1Yj_ptqi66GCucihVvJfMjLAmec39IyEx_6qawtMGysU/edit?usp=sharing"",""สบก!CZ86"")"),0)</f>
        <v>0</v>
      </c>
      <c r="M316" s="173"/>
      <c r="N316" s="173"/>
      <c r="O316" s="176"/>
      <c r="P316" s="176"/>
    </row>
    <row r="317" spans="1:16" ht="21.75" customHeight="1" x14ac:dyDescent="0.45">
      <c r="A317" s="178"/>
      <c r="B317" s="81"/>
      <c r="C317" s="82" t="s">
        <v>16</v>
      </c>
      <c r="D317" s="549" t="s">
        <v>23</v>
      </c>
      <c r="E317" s="545"/>
      <c r="F317" s="89"/>
      <c r="G317" s="83" t="s">
        <v>18</v>
      </c>
      <c r="H317" s="179" t="s">
        <v>12</v>
      </c>
      <c r="I317" s="168"/>
      <c r="J317" s="195"/>
      <c r="K317" s="231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80"/>
      <c r="B318" s="95"/>
      <c r="C318" s="95"/>
      <c r="D318" s="181"/>
      <c r="E318" s="96"/>
      <c r="F318" s="96"/>
      <c r="G318" s="97" t="s">
        <v>19</v>
      </c>
      <c r="H318" s="182" t="s">
        <v>12</v>
      </c>
      <c r="I318" s="168"/>
      <c r="J318" s="195"/>
      <c r="K318" s="231"/>
      <c r="L318" s="91">
        <f ca="1">IFERROR(__xludf.DUMMYFUNCTION("IMPORTRANGE(""https://docs.google.com/spreadsheets/d/1Yj_ptqi66GCucihVvJfMjLAmec39IyEx_6qawtMGysU/edit?usp=sharing"",""สบก!DA86"")"),0)</f>
        <v>0</v>
      </c>
      <c r="M318" s="101"/>
      <c r="N318" s="91">
        <f ca="1">IFERROR(__xludf.DUMMYFUNCTION("IMPORTRANGE(""https://docs.google.com/spreadsheets/d/1Yj_ptqi66GCucihVvJfMjLAmec39IyEx_6qawtMGysU/edit?usp=sharing"",""สบก!DE86"")"),0)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3"/>
      <c r="B319" s="184"/>
      <c r="C319" s="163" t="s">
        <v>16</v>
      </c>
      <c r="D319" s="185" t="s">
        <v>44</v>
      </c>
      <c r="E319" s="186"/>
      <c r="F319" s="186"/>
      <c r="G319" s="187"/>
      <c r="H319" s="188"/>
      <c r="I319" s="168"/>
      <c r="J319" s="195"/>
      <c r="K319" s="231"/>
      <c r="L319" s="176"/>
      <c r="M319" s="176"/>
      <c r="N319" s="176"/>
      <c r="O319" s="189"/>
      <c r="P319" s="189"/>
    </row>
    <row r="320" spans="1:16" ht="21.75" customHeight="1" x14ac:dyDescent="0.35">
      <c r="A320" s="183"/>
      <c r="B320" s="184"/>
      <c r="C320" s="184"/>
      <c r="D320" s="190">
        <v>1</v>
      </c>
      <c r="E320" s="191" t="s">
        <v>45</v>
      </c>
      <c r="F320" s="192"/>
      <c r="G320" s="193"/>
      <c r="H320" s="194"/>
      <c r="I320" s="195"/>
      <c r="J320" s="195">
        <f ca="1">IFERROR(__xludf.DUMMYFUNCTION("IMPORTRANGE(""https://docs.google.com/spreadsheets/d/1IYY_tgx_IHuhSq3AJ5eI5OnqOPBNLWSHKh2a30DoXe8/edit?usp=sharing"",""ปัตตานี!J220"")"),0)</f>
        <v>0</v>
      </c>
      <c r="K320" s="231"/>
      <c r="L320" s="176"/>
      <c r="M320" s="176"/>
      <c r="N320" s="176"/>
      <c r="O320" s="189"/>
      <c r="P320" s="189"/>
    </row>
    <row r="321" spans="1:16" ht="21.75" customHeight="1" x14ac:dyDescent="0.35">
      <c r="A321" s="183"/>
      <c r="B321" s="184"/>
      <c r="C321" s="184"/>
      <c r="D321" s="197">
        <v>2</v>
      </c>
      <c r="E321" s="198" t="s">
        <v>46</v>
      </c>
      <c r="F321" s="199"/>
      <c r="G321" s="200"/>
      <c r="H321" s="194"/>
      <c r="I321" s="195"/>
      <c r="J321" s="195">
        <f ca="1">IFERROR(__xludf.DUMMYFUNCTION("IMPORTRANGE(""https://docs.google.com/spreadsheets/d/1IYY_tgx_IHuhSq3AJ5eI5OnqOPBNLWSHKh2a30DoXe8/edit?usp=sharing"",""ปัตตานี!J221"")"),0)</f>
        <v>0</v>
      </c>
      <c r="K321" s="231"/>
      <c r="L321" s="176" t="s">
        <v>40</v>
      </c>
      <c r="M321" s="176"/>
      <c r="N321" s="176" t="s">
        <v>40</v>
      </c>
      <c r="O321" s="189"/>
      <c r="P321" s="189"/>
    </row>
    <row r="322" spans="1:16" ht="21.75" customHeight="1" x14ac:dyDescent="0.35">
      <c r="A322" s="183"/>
      <c r="B322" s="184"/>
      <c r="C322" s="184"/>
      <c r="D322" s="201"/>
      <c r="E322" s="202" t="s">
        <v>47</v>
      </c>
      <c r="F322" s="203"/>
      <c r="G322" s="204"/>
      <c r="H322" s="194"/>
      <c r="I322" s="195"/>
      <c r="J322" s="195">
        <f ca="1">IFERROR(__xludf.DUMMYFUNCTION("IMPORTRANGE(""https://docs.google.com/spreadsheets/d/1IYY_tgx_IHuhSq3AJ5eI5OnqOPBNLWSHKh2a30DoXe8/edit?usp=sharing"",""ปัตตานี!J222"")"),0)</f>
        <v>0</v>
      </c>
      <c r="K322" s="231"/>
      <c r="L322" s="176"/>
      <c r="M322" s="176"/>
      <c r="N322" s="176"/>
      <c r="O322" s="189"/>
      <c r="P322" s="189"/>
    </row>
    <row r="323" spans="1:16" ht="21.75" customHeight="1" x14ac:dyDescent="0.35">
      <c r="A323" s="183"/>
      <c r="B323" s="184"/>
      <c r="C323" s="184"/>
      <c r="D323" s="201"/>
      <c r="E323" s="202" t="s">
        <v>48</v>
      </c>
      <c r="F323" s="203"/>
      <c r="G323" s="204"/>
      <c r="H323" s="194"/>
      <c r="I323" s="195"/>
      <c r="J323" s="195">
        <f ca="1">IFERROR(__xludf.DUMMYFUNCTION("IMPORTRANGE(""https://docs.google.com/spreadsheets/d/1IYY_tgx_IHuhSq3AJ5eI5OnqOPBNLWSHKh2a30DoXe8/edit?usp=sharing"",""ปัตตานี!J223"")"),0)</f>
        <v>0</v>
      </c>
      <c r="K323" s="231"/>
      <c r="L323" s="176"/>
      <c r="M323" s="176"/>
      <c r="N323" s="176"/>
      <c r="O323" s="189"/>
      <c r="P323" s="189"/>
    </row>
    <row r="324" spans="1:16" ht="21.75" customHeight="1" x14ac:dyDescent="0.35">
      <c r="A324" s="183"/>
      <c r="B324" s="184"/>
      <c r="C324" s="184"/>
      <c r="D324" s="201"/>
      <c r="E324" s="206"/>
      <c r="F324" s="202" t="s">
        <v>117</v>
      </c>
      <c r="G324" s="204"/>
      <c r="H324" s="194" t="s">
        <v>116</v>
      </c>
      <c r="I324" s="195">
        <f ca="1">IFERROR(__xludf.DUMMYFUNCTION("IMPORTRANGE(""https://docs.google.com/spreadsheets/d/1IYY_tgx_IHuhSq3AJ5eI5OnqOPBNLWSHKh2a30DoXe8/edit?usp=sharing"",""ปัตตานี!I224"")"),0)</f>
        <v>0</v>
      </c>
      <c r="J324" s="211">
        <f ca="1">IFERROR(__xludf.DUMMYFUNCTION("IMPORTRANGE(""https://docs.google.com/spreadsheets/d/1IYY_tgx_IHuhSq3AJ5eI5OnqOPBNLWSHKh2a30DoXe8/edit?usp=sharing"",""ปัตตานี!J224"")"),0)</f>
        <v>0</v>
      </c>
      <c r="K324" s="231">
        <f ca="1">IF(I324&gt;0,J324*100/I324,0)</f>
        <v>0</v>
      </c>
      <c r="L324" s="176"/>
      <c r="M324" s="176"/>
      <c r="N324" s="176"/>
      <c r="O324" s="189"/>
      <c r="P324" s="189"/>
    </row>
    <row r="325" spans="1:16" ht="21.75" customHeight="1" x14ac:dyDescent="0.35">
      <c r="A325" s="183"/>
      <c r="B325" s="184"/>
      <c r="C325" s="184"/>
      <c r="D325" s="201"/>
      <c r="E325" s="202" t="s">
        <v>54</v>
      </c>
      <c r="F325" s="203"/>
      <c r="G325" s="204"/>
      <c r="H325" s="194"/>
      <c r="I325" s="195"/>
      <c r="J325" s="195">
        <f ca="1">IFERROR(__xludf.DUMMYFUNCTION("IMPORTRANGE(""https://docs.google.com/spreadsheets/d/1IYY_tgx_IHuhSq3AJ5eI5OnqOPBNLWSHKh2a30DoXe8/edit?usp=sharing"",""ปัตตานี!J225"")"),0)</f>
        <v>0</v>
      </c>
      <c r="K325" s="231"/>
      <c r="L325" s="176"/>
      <c r="M325" s="176"/>
      <c r="N325" s="176"/>
      <c r="O325" s="189"/>
      <c r="P325" s="189"/>
    </row>
    <row r="326" spans="1:16" ht="21.75" customHeight="1" x14ac:dyDescent="0.35">
      <c r="A326" s="183"/>
      <c r="B326" s="184"/>
      <c r="C326" s="184"/>
      <c r="D326" s="213">
        <v>3</v>
      </c>
      <c r="E326" s="214" t="s">
        <v>55</v>
      </c>
      <c r="F326" s="215"/>
      <c r="G326" s="216"/>
      <c r="H326" s="194"/>
      <c r="I326" s="195"/>
      <c r="J326" s="234">
        <f ca="1">IFERROR(__xludf.DUMMYFUNCTION("IMPORTRANGE(""https://docs.google.com/spreadsheets/d/1IYY_tgx_IHuhSq3AJ5eI5OnqOPBNLWSHKh2a30DoXe8/edit?usp=sharing"",""ปัตตานี!J226"")"),0)</f>
        <v>0</v>
      </c>
      <c r="K326" s="231"/>
      <c r="L326" s="176"/>
      <c r="M326" s="176"/>
      <c r="N326" s="176"/>
      <c r="O326" s="189"/>
      <c r="P326" s="189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IFERROR(__xludf.DUMMYFUNCTION("IMPORTRANGE(""https://docs.google.com/spreadsheets/d/1IYY_tgx_IHuhSq3AJ5eI5OnqOPBNLWSHKh2a30DoXe8/edit?usp=sharing"",""ปัตตานี!I228"")"),210)</f>
        <v>210</v>
      </c>
      <c r="J328" s="345">
        <f ca="1">IFERROR(__xludf.DUMMYFUNCTION("IMPORTRANGE(""https://docs.google.com/spreadsheets/d/1IYY_tgx_IHuhSq3AJ5eI5OnqOPBNLWSHKh2a30DoXe8/edit?usp=sharing"",""ปัตตานี!J228"")"),19)</f>
        <v>19</v>
      </c>
      <c r="K328" s="323">
        <f ca="1">IF(I328&gt;0,J328*100/I328,0)</f>
        <v>9.0476190476190474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52" t="s">
        <v>17</v>
      </c>
      <c r="E329" s="543"/>
      <c r="F329" s="543"/>
      <c r="G329" s="543"/>
      <c r="H329" s="153" t="s">
        <v>12</v>
      </c>
      <c r="I329" s="168"/>
      <c r="J329" s="168"/>
      <c r="K329" s="169"/>
      <c r="L329" s="156">
        <f t="shared" ref="L329:N329" ca="1" si="98">L330+L331</f>
        <v>707640</v>
      </c>
      <c r="M329" s="156">
        <f t="shared" ca="1" si="98"/>
        <v>377490</v>
      </c>
      <c r="N329" s="156">
        <f t="shared" ca="1" si="98"/>
        <v>306316</v>
      </c>
      <c r="O329" s="155">
        <f t="shared" ref="O329:O331" ca="1" si="99">IF(L329&gt;0,N329*100/L329,0)</f>
        <v>43.286982081284272</v>
      </c>
      <c r="P329" s="155">
        <f t="shared" ref="P329:P331" ca="1" si="100">IF(M329&gt;0,N329*100/M329,0)</f>
        <v>81.145460806908787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8"/>
      <c r="J330" s="168"/>
      <c r="K330" s="169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8"/>
      <c r="J331" s="168"/>
      <c r="K331" s="169"/>
      <c r="L331" s="161">
        <f t="shared" ref="L331:N331" ca="1" si="102">L333+L337</f>
        <v>707640</v>
      </c>
      <c r="M331" s="161">
        <f t="shared" ca="1" si="102"/>
        <v>377490</v>
      </c>
      <c r="N331" s="161">
        <f t="shared" ca="1" si="102"/>
        <v>306316</v>
      </c>
      <c r="O331" s="160">
        <f t="shared" ca="1" si="99"/>
        <v>43.286982081284272</v>
      </c>
      <c r="P331" s="160">
        <f t="shared" ca="1" si="100"/>
        <v>81.145460806908787</v>
      </c>
    </row>
    <row r="332" spans="1:16" ht="21.75" customHeight="1" x14ac:dyDescent="0.35">
      <c r="A332" s="162"/>
      <c r="B332" s="163"/>
      <c r="C332" s="163" t="s">
        <v>16</v>
      </c>
      <c r="D332" s="164" t="s">
        <v>38</v>
      </c>
      <c r="E332" s="165"/>
      <c r="F332" s="165"/>
      <c r="G332" s="166" t="s">
        <v>39</v>
      </c>
      <c r="H332" s="167" t="s">
        <v>12</v>
      </c>
      <c r="I332" s="168" t="s">
        <v>40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 x14ac:dyDescent="0.35">
      <c r="A333" s="162"/>
      <c r="B333" s="163"/>
      <c r="C333" s="163"/>
      <c r="D333" s="172"/>
      <c r="E333" s="165"/>
      <c r="F333" s="165" t="s">
        <v>40</v>
      </c>
      <c r="G333" s="166" t="s">
        <v>41</v>
      </c>
      <c r="H333" s="167" t="s">
        <v>12</v>
      </c>
      <c r="I333" s="168"/>
      <c r="J333" s="168"/>
      <c r="K333" s="169"/>
      <c r="L333" s="173">
        <f ca="1">L334+L335</f>
        <v>695140</v>
      </c>
      <c r="M333" s="174">
        <f ca="1">IFERROR(__xludf.DUMMYFUNCTION("IMPORTRANGE(""https://docs.google.com/spreadsheets/d/1Yj_ptqi66GCucihVvJfMjLAmec39IyEx_6qawtMGysU/edit?usp=sharing"",""สบก!DL86"")"),364990)</f>
        <v>364990</v>
      </c>
      <c r="N333" s="175">
        <f ca="1">IFERROR(__xludf.DUMMYFUNCTION("IMPORTRANGE(""https://docs.google.com/spreadsheets/d/1Yj_ptqi66GCucihVvJfMjLAmec39IyEx_6qawtMGysU/edit?usp=sharing"",""สบก!DM86"")"),293816)</f>
        <v>293816</v>
      </c>
      <c r="O333" s="176">
        <f ca="1">IF(L333&gt;0,N333*100/L333,0)</f>
        <v>42.267169203325949</v>
      </c>
      <c r="P333" s="176">
        <f ca="1">IF(M333&gt;0,N333*100/M333,0)</f>
        <v>80.499739718896407</v>
      </c>
    </row>
    <row r="334" spans="1:16" ht="21.75" customHeight="1" x14ac:dyDescent="0.35">
      <c r="A334" s="162"/>
      <c r="B334" s="163"/>
      <c r="C334" s="163"/>
      <c r="D334" s="172"/>
      <c r="E334" s="165"/>
      <c r="F334" s="165"/>
      <c r="G334" s="177" t="s">
        <v>42</v>
      </c>
      <c r="H334" s="167" t="s">
        <v>12</v>
      </c>
      <c r="I334" s="168"/>
      <c r="J334" s="168"/>
      <c r="K334" s="169"/>
      <c r="L334" s="174">
        <f ca="1">IFERROR(__xludf.DUMMYFUNCTION("IMPORTRANGE(""https://docs.google.com/spreadsheets/d/1Yj_ptqi66GCucihVvJfMjLAmec39IyEx_6qawtMGysU/edit?usp=sharing"",""สบก!DH86"")"),417600)</f>
        <v>417600</v>
      </c>
      <c r="M334" s="173"/>
      <c r="N334" s="173"/>
      <c r="O334" s="176"/>
      <c r="P334" s="176"/>
    </row>
    <row r="335" spans="1:16" ht="21.75" customHeight="1" x14ac:dyDescent="0.35">
      <c r="A335" s="162"/>
      <c r="B335" s="163"/>
      <c r="C335" s="163"/>
      <c r="D335" s="172"/>
      <c r="E335" s="165"/>
      <c r="F335" s="165"/>
      <c r="G335" s="177" t="s">
        <v>43</v>
      </c>
      <c r="H335" s="167" t="s">
        <v>12</v>
      </c>
      <c r="I335" s="168"/>
      <c r="J335" s="168"/>
      <c r="K335" s="169"/>
      <c r="L335" s="174">
        <f ca="1">IFERROR(__xludf.DUMMYFUNCTION("IMPORTRANGE(""https://docs.google.com/spreadsheets/d/1Yj_ptqi66GCucihVvJfMjLAmec39IyEx_6qawtMGysU/edit?usp=sharing"",""สบก!DI86"")"),277540)</f>
        <v>277540</v>
      </c>
      <c r="M335" s="173"/>
      <c r="N335" s="173"/>
      <c r="O335" s="176"/>
      <c r="P335" s="176"/>
    </row>
    <row r="336" spans="1:16" ht="21.75" customHeight="1" x14ac:dyDescent="0.45">
      <c r="A336" s="178"/>
      <c r="B336" s="81"/>
      <c r="C336" s="82" t="s">
        <v>16</v>
      </c>
      <c r="D336" s="549" t="s">
        <v>23</v>
      </c>
      <c r="E336" s="545"/>
      <c r="F336" s="89"/>
      <c r="G336" s="83" t="s">
        <v>18</v>
      </c>
      <c r="H336" s="179" t="s">
        <v>12</v>
      </c>
      <c r="I336" s="168"/>
      <c r="J336" s="168"/>
      <c r="K336" s="169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80"/>
      <c r="B337" s="95"/>
      <c r="C337" s="95"/>
      <c r="D337" s="181"/>
      <c r="E337" s="96"/>
      <c r="F337" s="96"/>
      <c r="G337" s="97" t="s">
        <v>19</v>
      </c>
      <c r="H337" s="182" t="s">
        <v>12</v>
      </c>
      <c r="I337" s="168"/>
      <c r="J337" s="168"/>
      <c r="K337" s="169"/>
      <c r="L337" s="91">
        <f ca="1">IFERROR(__xludf.DUMMYFUNCTION("IMPORTRANGE(""https://docs.google.com/spreadsheets/d/1Yj_ptqi66GCucihVvJfMjLAmec39IyEx_6qawtMGysU/edit?usp=sharing"",""สบก!DJ86"")"),12500)</f>
        <v>12500</v>
      </c>
      <c r="M337" s="101">
        <f ca="1">L337</f>
        <v>12500</v>
      </c>
      <c r="N337" s="91">
        <f ca="1">IFERROR(__xludf.DUMMYFUNCTION("IMPORTRANGE(""https://docs.google.com/spreadsheets/d/1Yj_ptqi66GCucihVvJfMjLAmec39IyEx_6qawtMGysU/edit?usp=sharing"",""สบก!DN86"")"),12500)</f>
        <v>12500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3"/>
      <c r="B338" s="297"/>
      <c r="C338" s="346" t="s">
        <v>120</v>
      </c>
      <c r="D338" s="203"/>
      <c r="E338" s="203"/>
      <c r="F338" s="203"/>
      <c r="G338" s="204"/>
      <c r="H338" s="188"/>
      <c r="I338" s="347"/>
      <c r="J338" s="347"/>
      <c r="K338" s="348"/>
      <c r="L338" s="189"/>
      <c r="M338" s="189"/>
      <c r="N338" s="189"/>
      <c r="O338" s="349"/>
      <c r="P338" s="349"/>
    </row>
    <row r="339" spans="1:16" ht="21.75" customHeight="1" x14ac:dyDescent="0.35">
      <c r="A339" s="183"/>
      <c r="B339" s="297"/>
      <c r="C339" s="184"/>
      <c r="D339" s="203"/>
      <c r="E339" s="202" t="s">
        <v>121</v>
      </c>
      <c r="F339" s="203"/>
      <c r="G339" s="204"/>
      <c r="H339" s="350" t="s">
        <v>37</v>
      </c>
      <c r="I339" s="211">
        <f ca="1">IFERROR(__xludf.DUMMYFUNCTION("IMPORTRANGE(""https://docs.google.com/spreadsheets/d/1IYY_tgx_IHuhSq3AJ5eI5OnqOPBNLWSHKh2a30DoXe8/edit?usp=sharing"",""ปัตตานี!I234"")"),0)</f>
        <v>0</v>
      </c>
      <c r="J339" s="195">
        <f ca="1">IFERROR(__xludf.DUMMYFUNCTION("IMPORTRANGE(""https://docs.google.com/spreadsheets/d/1IYY_tgx_IHuhSq3AJ5eI5OnqOPBNLWSHKh2a30DoXe8/edit?usp=sharing"",""ปัตตานี!J234"")"),97)</f>
        <v>97</v>
      </c>
      <c r="K339" s="348">
        <f t="shared" ref="K339:K346" ca="1" si="103">IF(I339&gt;0,J339*100/I339,0)</f>
        <v>0</v>
      </c>
      <c r="L339" s="189"/>
      <c r="M339" s="189"/>
      <c r="N339" s="189"/>
      <c r="O339" s="349"/>
      <c r="P339" s="349"/>
    </row>
    <row r="340" spans="1:16" ht="21.75" customHeight="1" x14ac:dyDescent="0.35">
      <c r="A340" s="183"/>
      <c r="B340" s="297"/>
      <c r="C340" s="184"/>
      <c r="D340" s="203"/>
      <c r="E340" s="203"/>
      <c r="F340" s="203"/>
      <c r="G340" s="204"/>
      <c r="H340" s="350" t="s">
        <v>122</v>
      </c>
      <c r="I340" s="195">
        <f ca="1">IFERROR(__xludf.DUMMYFUNCTION("IMPORTRANGE(""https://docs.google.com/spreadsheets/d/1IYY_tgx_IHuhSq3AJ5eI5OnqOPBNLWSHKh2a30DoXe8/edit?usp=sharing"",""ปัตตานี!I235"")"),944)</f>
        <v>944</v>
      </c>
      <c r="J340" s="195">
        <f ca="1">IFERROR(__xludf.DUMMYFUNCTION("IMPORTRANGE(""https://docs.google.com/spreadsheets/d/1IYY_tgx_IHuhSq3AJ5eI5OnqOPBNLWSHKh2a30DoXe8/edit?usp=sharing"",""ปัตตานี!J235"")"),454.42)</f>
        <v>454.42</v>
      </c>
      <c r="K340" s="348">
        <f t="shared" ca="1" si="103"/>
        <v>48.137711864406782</v>
      </c>
      <c r="L340" s="189"/>
      <c r="M340" s="189"/>
      <c r="N340" s="189"/>
      <c r="O340" s="349"/>
      <c r="P340" s="349"/>
    </row>
    <row r="341" spans="1:16" ht="21.75" customHeight="1" x14ac:dyDescent="0.35">
      <c r="A341" s="183"/>
      <c r="B341" s="297"/>
      <c r="C341" s="184"/>
      <c r="D341" s="203"/>
      <c r="E341" s="202" t="s">
        <v>123</v>
      </c>
      <c r="F341" s="203"/>
      <c r="G341" s="204"/>
      <c r="H341" s="188" t="s">
        <v>37</v>
      </c>
      <c r="I341" s="195">
        <f ca="1">IFERROR(__xludf.DUMMYFUNCTION("IMPORTRANGE(""https://docs.google.com/spreadsheets/d/1IYY_tgx_IHuhSq3AJ5eI5OnqOPBNLWSHKh2a30DoXe8/edit?usp=sharing"",""ปัตตานี!I236"")"),210)</f>
        <v>210</v>
      </c>
      <c r="J341" s="195">
        <f ca="1">IFERROR(__xludf.DUMMYFUNCTION("IMPORTRANGE(""https://docs.google.com/spreadsheets/d/1IYY_tgx_IHuhSq3AJ5eI5OnqOPBNLWSHKh2a30DoXe8/edit?usp=sharing"",""ปัตตานี!J236"")"),134)</f>
        <v>134</v>
      </c>
      <c r="K341" s="348">
        <f t="shared" ca="1" si="103"/>
        <v>63.80952380952381</v>
      </c>
      <c r="L341" s="189"/>
      <c r="M341" s="189"/>
      <c r="N341" s="189"/>
      <c r="O341" s="349"/>
      <c r="P341" s="349"/>
    </row>
    <row r="342" spans="1:16" ht="21.75" customHeight="1" x14ac:dyDescent="0.35">
      <c r="A342" s="183"/>
      <c r="B342" s="297"/>
      <c r="C342" s="184"/>
      <c r="D342" s="203"/>
      <c r="E342" s="203"/>
      <c r="F342" s="203"/>
      <c r="G342" s="204"/>
      <c r="H342" s="188" t="s">
        <v>122</v>
      </c>
      <c r="I342" s="351">
        <f ca="1">IFERROR(__xludf.DUMMYFUNCTION("IMPORTRANGE(""https://docs.google.com/spreadsheets/d/1IYY_tgx_IHuhSq3AJ5eI5OnqOPBNLWSHKh2a30DoXe8/edit?usp=sharing"",""ปัตตานี!I237"")"),0)</f>
        <v>0</v>
      </c>
      <c r="J342" s="195">
        <f ca="1">IFERROR(__xludf.DUMMYFUNCTION("IMPORTRANGE(""https://docs.google.com/spreadsheets/d/1IYY_tgx_IHuhSq3AJ5eI5OnqOPBNLWSHKh2a30DoXe8/edit?usp=sharing"",""ปัตตานี!J237"")"),624.73)</f>
        <v>624.73</v>
      </c>
      <c r="K342" s="348">
        <f t="shared" ca="1" si="103"/>
        <v>0</v>
      </c>
      <c r="L342" s="189"/>
      <c r="M342" s="189"/>
      <c r="N342" s="189"/>
      <c r="O342" s="349"/>
      <c r="P342" s="349"/>
    </row>
    <row r="343" spans="1:16" ht="21.75" customHeight="1" x14ac:dyDescent="0.35">
      <c r="A343" s="183"/>
      <c r="B343" s="297"/>
      <c r="C343" s="184"/>
      <c r="D343" s="203"/>
      <c r="E343" s="202" t="s">
        <v>124</v>
      </c>
      <c r="F343" s="203"/>
      <c r="G343" s="204"/>
      <c r="H343" s="188" t="s">
        <v>37</v>
      </c>
      <c r="I343" s="195">
        <f ca="1">IFERROR(__xludf.DUMMYFUNCTION("IMPORTRANGE(""https://docs.google.com/spreadsheets/d/1IYY_tgx_IHuhSq3AJ5eI5OnqOPBNLWSHKh2a30DoXe8/edit?usp=sharing"",""ปัตตานี!I238"")"),210)</f>
        <v>210</v>
      </c>
      <c r="J343" s="195">
        <f ca="1">IFERROR(__xludf.DUMMYFUNCTION("IMPORTRANGE(""https://docs.google.com/spreadsheets/d/1IYY_tgx_IHuhSq3AJ5eI5OnqOPBNLWSHKh2a30DoXe8/edit?usp=sharing"",""ปัตตานี!J238"")"),0)</f>
        <v>0</v>
      </c>
      <c r="K343" s="348">
        <f t="shared" ca="1" si="103"/>
        <v>0</v>
      </c>
      <c r="L343" s="189"/>
      <c r="M343" s="189"/>
      <c r="N343" s="189"/>
      <c r="O343" s="349"/>
      <c r="P343" s="349"/>
    </row>
    <row r="344" spans="1:16" ht="21.75" customHeight="1" x14ac:dyDescent="0.35">
      <c r="A344" s="183"/>
      <c r="B344" s="297"/>
      <c r="C344" s="184"/>
      <c r="D344" s="203"/>
      <c r="E344" s="203"/>
      <c r="F344" s="203"/>
      <c r="G344" s="204"/>
      <c r="H344" s="188" t="s">
        <v>122</v>
      </c>
      <c r="I344" s="351">
        <f ca="1">IFERROR(__xludf.DUMMYFUNCTION("IMPORTRANGE(""https://docs.google.com/spreadsheets/d/1IYY_tgx_IHuhSq3AJ5eI5OnqOPBNLWSHKh2a30DoXe8/edit?usp=sharing"",""ปัตตานี!I239"")"),0)</f>
        <v>0</v>
      </c>
      <c r="J344" s="195">
        <f ca="1">IFERROR(__xludf.DUMMYFUNCTION("IMPORTRANGE(""https://docs.google.com/spreadsheets/d/1IYY_tgx_IHuhSq3AJ5eI5OnqOPBNLWSHKh2a30DoXe8/edit?usp=sharing"",""ปัตตานี!J239"")"),0)</f>
        <v>0</v>
      </c>
      <c r="K344" s="348">
        <f t="shared" ca="1" si="103"/>
        <v>0</v>
      </c>
      <c r="L344" s="189"/>
      <c r="M344" s="189"/>
      <c r="N344" s="189"/>
      <c r="O344" s="349"/>
      <c r="P344" s="349"/>
    </row>
    <row r="345" spans="1:16" ht="21.75" customHeight="1" x14ac:dyDescent="0.35">
      <c r="A345" s="183"/>
      <c r="B345" s="297"/>
      <c r="C345" s="184"/>
      <c r="D345" s="203"/>
      <c r="E345" s="202" t="s">
        <v>125</v>
      </c>
      <c r="F345" s="203"/>
      <c r="G345" s="204"/>
      <c r="H345" s="188" t="s">
        <v>37</v>
      </c>
      <c r="I345" s="195">
        <f ca="1">IFERROR(__xludf.DUMMYFUNCTION("IMPORTRANGE(""https://docs.google.com/spreadsheets/d/1IYY_tgx_IHuhSq3AJ5eI5OnqOPBNLWSHKh2a30DoXe8/edit?usp=sharing"",""ปัตตานี!I240"")"),210)</f>
        <v>210</v>
      </c>
      <c r="J345" s="195">
        <f ca="1">IFERROR(__xludf.DUMMYFUNCTION("IMPORTRANGE(""https://docs.google.com/spreadsheets/d/1IYY_tgx_IHuhSq3AJ5eI5OnqOPBNLWSHKh2a30DoXe8/edit?usp=sharing"",""ปัตตานี!J240"")"),19)</f>
        <v>19</v>
      </c>
      <c r="K345" s="348">
        <f t="shared" ca="1" si="103"/>
        <v>9.0476190476190474</v>
      </c>
      <c r="L345" s="189"/>
      <c r="M345" s="189"/>
      <c r="N345" s="189"/>
      <c r="O345" s="349"/>
      <c r="P345" s="349"/>
    </row>
    <row r="346" spans="1:16" ht="21.75" customHeight="1" x14ac:dyDescent="0.35">
      <c r="A346" s="241"/>
      <c r="B346" s="352"/>
      <c r="C346" s="242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IFERROR(__xludf.DUMMYFUNCTION("IMPORTRANGE(""https://docs.google.com/spreadsheets/d/1IYY_tgx_IHuhSq3AJ5eI5OnqOPBNLWSHKh2a30DoXe8/edit?usp=sharing"",""ปัตตานี!I241"")"),0)</f>
        <v>0</v>
      </c>
      <c r="J346" s="195">
        <f ca="1">IFERROR(__xludf.DUMMYFUNCTION("IMPORTRANGE(""https://docs.google.com/spreadsheets/d/1IYY_tgx_IHuhSq3AJ5eI5OnqOPBNLWSHKh2a30DoXe8/edit?usp=sharing"",""ปัตตานี!J241"")"),49.51)</f>
        <v>49.51</v>
      </c>
      <c r="K346" s="357">
        <f t="shared" ca="1" si="103"/>
        <v>0</v>
      </c>
      <c r="L346" s="252"/>
      <c r="M346" s="252"/>
      <c r="N346" s="252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IFERROR(__xludf.DUMMYFUNCTION("IMPORTRANGE(""https://docs.google.com/spreadsheets/d/1IYY_tgx_IHuhSq3AJ5eI5OnqOPBNLWSHKh2a30DoXe8/edit?usp=sharing"",""ปัตตานี!L242"")"),723826)</f>
        <v>723826</v>
      </c>
      <c r="M347" s="364"/>
      <c r="N347" s="364">
        <f ca="1">IFERROR(__xludf.DUMMYFUNCTION("IMPORTRANGE(""https://docs.google.com/spreadsheets/d/1IYY_tgx_IHuhSq3AJ5eI5OnqOPBNLWSHKh2a30DoXe8/edit?usp=sharing"",""ปัตตานี!M242"")"),496913.889999999)</f>
        <v>496913.88999999902</v>
      </c>
      <c r="O347" s="364">
        <f ca="1">+IF(L347&gt;0,N347*100/L347,0)</f>
        <v>68.65101419401887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IFERROR(__xludf.DUMMYFUNCTION("IMPORTRANGE(""https://docs.google.com/spreadsheets/d/1IYY_tgx_IHuhSq3AJ5eI5OnqOPBNLWSHKh2a30DoXe8/edit?usp=sharing"",""ปัตตานี!I244"")"),20)</f>
        <v>20</v>
      </c>
      <c r="J349" s="377">
        <f ca="1">IFERROR(__xludf.DUMMYFUNCTION("IMPORTRANGE(""https://docs.google.com/spreadsheets/d/1IYY_tgx_IHuhSq3AJ5eI5OnqOPBNLWSHKh2a30DoXe8/edit?usp=sharing"",""ปัตตานี!J244"")"),20)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IFERROR(__xludf.DUMMYFUNCTION("IMPORTRANGE(""https://docs.google.com/spreadsheets/d/1IYY_tgx_IHuhSq3AJ5eI5OnqOPBNLWSHKh2a30DoXe8/edit?usp=sharing"",""ปัตตานี!L244"")"),215720)</f>
        <v>215720</v>
      </c>
      <c r="M349" s="379"/>
      <c r="N349" s="379">
        <f ca="1">IFERROR(__xludf.DUMMYFUNCTION("IMPORTRANGE(""https://docs.google.com/spreadsheets/d/1IYY_tgx_IHuhSq3AJ5eI5OnqOPBNLWSHKh2a30DoXe8/edit?usp=sharing"",""ปัตตานี!M244"")"),210404.09)</f>
        <v>210404.09</v>
      </c>
      <c r="O349" s="379">
        <f ca="1">+IF(L349&gt;0,N349*100/L349,0)</f>
        <v>97.535736139440019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IFERROR(__xludf.DUMMYFUNCTION("IMPORTRANGE(""https://docs.google.com/spreadsheets/d/1IYY_tgx_IHuhSq3AJ5eI5OnqOPBNLWSHKh2a30DoXe8/edit?usp=sharing"",""ปัตตานี!I245"")"),10)</f>
        <v>10</v>
      </c>
      <c r="J350" s="377">
        <f ca="1">IFERROR(__xludf.DUMMYFUNCTION("IMPORTRANGE(""https://docs.google.com/spreadsheets/d/1IYY_tgx_IHuhSq3AJ5eI5OnqOPBNLWSHKh2a30DoXe8/edit?usp=sharing"",""ปัตตานี!J245"")"),10)</f>
        <v>10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164" t="s">
        <v>38</v>
      </c>
      <c r="E351" s="165"/>
      <c r="F351" s="165"/>
      <c r="G351" s="166" t="s">
        <v>39</v>
      </c>
      <c r="H351" s="167" t="s">
        <v>12</v>
      </c>
      <c r="I351" s="168" t="s">
        <v>40</v>
      </c>
      <c r="J351" s="168"/>
      <c r="K351" s="169"/>
      <c r="L351" s="170">
        <f ca="1">IFERROR(__xludf.DUMMYFUNCTION("IMPORTRANGE(""https://docs.google.com/spreadsheets/d/1IYY_tgx_IHuhSq3AJ5eI5OnqOPBNLWSHKh2a30DoXe8/edit?usp=sharing"",""ปัตตานี!L246"")"),0)</f>
        <v>0</v>
      </c>
      <c r="M351" s="170"/>
      <c r="N351" s="170">
        <f ca="1">IFERROR(__xludf.DUMMYFUNCTION("IMPORTRANGE(""https://docs.google.com/spreadsheets/d/1IYY_tgx_IHuhSq3AJ5eI5OnqOPBNLWSHKh2a30DoXe8/edit?usp=sharing"",""ปัตตานี!M246"")"),0)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 x14ac:dyDescent="0.35">
      <c r="A352" s="162"/>
      <c r="B352" s="163"/>
      <c r="C352" s="163"/>
      <c r="D352" s="172"/>
      <c r="E352" s="165"/>
      <c r="F352" s="165" t="s">
        <v>40</v>
      </c>
      <c r="G352" s="166" t="s">
        <v>41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IFERROR(__xludf.DUMMYFUNCTION("IMPORTRANGE(""https://docs.google.com/spreadsheets/d/1IYY_tgx_IHuhSq3AJ5eI5OnqOPBNLWSHKh2a30DoXe8/edit?usp=sharing"",""ปัตตานี!L247"")"),215720)</f>
        <v>215720</v>
      </c>
      <c r="M352" s="171"/>
      <c r="N352" s="170">
        <f ca="1">IFERROR(__xludf.DUMMYFUNCTION("IMPORTRANGE(""https://docs.google.com/spreadsheets/d/1IYY_tgx_IHuhSq3AJ5eI5OnqOPBNLWSHKh2a30DoXe8/edit?usp=sharing"",""ปัตตานี!M247"")"),210404.09)</f>
        <v>210404.09</v>
      </c>
      <c r="O352" s="171">
        <f t="shared" ca="1" si="105"/>
        <v>97.535736139440019</v>
      </c>
      <c r="P352" s="171"/>
    </row>
    <row r="353" spans="1:16" ht="21.75" customHeight="1" x14ac:dyDescent="0.35">
      <c r="A353" s="162"/>
      <c r="B353" s="163"/>
      <c r="C353" s="163"/>
      <c r="D353" s="172"/>
      <c r="E353" s="165"/>
      <c r="F353" s="165"/>
      <c r="G353" s="380" t="s">
        <v>129</v>
      </c>
      <c r="H353" s="167" t="s">
        <v>12</v>
      </c>
      <c r="I353" s="168"/>
      <c r="J353" s="168"/>
      <c r="K353" s="169"/>
      <c r="L353" s="176">
        <f ca="1">IFERROR(__xludf.DUMMYFUNCTION("IMPORTRANGE(""https://docs.google.com/spreadsheets/d/1IYY_tgx_IHuhSq3AJ5eI5OnqOPBNLWSHKh2a30DoXe8/edit?usp=sharing"",""ปัตตานี!L248"")"),0)</f>
        <v>0</v>
      </c>
      <c r="M353" s="176"/>
      <c r="N353" s="176">
        <f ca="1">IFERROR(__xludf.DUMMYFUNCTION("IMPORTRANGE(""https://docs.google.com/spreadsheets/d/1IYY_tgx_IHuhSq3AJ5eI5OnqOPBNLWSHKh2a30DoXe8/edit?usp=sharing"",""ปัตตานี!M248"")"),0)</f>
        <v>0</v>
      </c>
      <c r="O353" s="176">
        <f t="shared" ca="1" si="105"/>
        <v>0</v>
      </c>
      <c r="P353" s="176"/>
    </row>
    <row r="354" spans="1:16" ht="21.75" customHeight="1" x14ac:dyDescent="0.35">
      <c r="A354" s="162"/>
      <c r="B354" s="163"/>
      <c r="C354" s="163"/>
      <c r="D354" s="172"/>
      <c r="E354" s="165"/>
      <c r="F354" s="165"/>
      <c r="G354" s="380" t="s">
        <v>130</v>
      </c>
      <c r="H354" s="167" t="s">
        <v>12</v>
      </c>
      <c r="I354" s="168"/>
      <c r="J354" s="168"/>
      <c r="K354" s="169"/>
      <c r="L354" s="176">
        <f ca="1">IFERROR(__xludf.DUMMYFUNCTION("IMPORTRANGE(""https://docs.google.com/spreadsheets/d/1IYY_tgx_IHuhSq3AJ5eI5OnqOPBNLWSHKh2a30DoXe8/edit?usp=sharing"",""ปัตตานี!L249"")"),215720)</f>
        <v>215720</v>
      </c>
      <c r="M354" s="176"/>
      <c r="N354" s="173">
        <f ca="1">IFERROR(__xludf.DUMMYFUNCTION("IMPORTRANGE(""https://docs.google.com/spreadsheets/d/1IYY_tgx_IHuhSq3AJ5eI5OnqOPBNLWSHKh2a30DoXe8/edit?usp=sharing"",""ปัตตานี!M249"")"),210404.09)</f>
        <v>210404.09</v>
      </c>
      <c r="O354" s="176">
        <f t="shared" ca="1" si="105"/>
        <v>97.535736139440019</v>
      </c>
      <c r="P354" s="176"/>
    </row>
    <row r="355" spans="1:16" ht="21.75" customHeight="1" x14ac:dyDescent="0.35">
      <c r="A355" s="381"/>
      <c r="B355" s="382"/>
      <c r="C355" s="163"/>
      <c r="D355" s="383"/>
      <c r="E355" s="165"/>
      <c r="F355" s="165"/>
      <c r="G355" s="384" t="s">
        <v>131</v>
      </c>
      <c r="H355" s="167" t="s">
        <v>12</v>
      </c>
      <c r="I355" s="195"/>
      <c r="J355" s="195"/>
      <c r="K355" s="231"/>
      <c r="L355" s="176"/>
      <c r="M355" s="176"/>
      <c r="N355" s="385">
        <f ca="1">IFERROR(__xludf.DUMMYFUNCTION("IMPORTRANGE(""https://docs.google.com/spreadsheets/d/1IYY_tgx_IHuhSq3AJ5eI5OnqOPBNLWSHKh2a30DoXe8/edit?usp=sharing"",""ปัตตานี!M250"")"),16200)</f>
        <v>16200</v>
      </c>
      <c r="O355" s="176"/>
      <c r="P355" s="176"/>
    </row>
    <row r="356" spans="1:16" ht="21.75" customHeight="1" x14ac:dyDescent="0.35">
      <c r="A356" s="381"/>
      <c r="B356" s="382"/>
      <c r="C356" s="163"/>
      <c r="D356" s="383"/>
      <c r="E356" s="165"/>
      <c r="F356" s="165"/>
      <c r="G356" s="384" t="s">
        <v>132</v>
      </c>
      <c r="H356" s="167" t="s">
        <v>12</v>
      </c>
      <c r="I356" s="195"/>
      <c r="J356" s="195"/>
      <c r="K356" s="231"/>
      <c r="L356" s="176"/>
      <c r="M356" s="176"/>
      <c r="N356" s="385">
        <f ca="1">IFERROR(__xludf.DUMMYFUNCTION("IMPORTRANGE(""https://docs.google.com/spreadsheets/d/1IYY_tgx_IHuhSq3AJ5eI5OnqOPBNLWSHKh2a30DoXe8/edit?usp=sharing"",""ปัตตานี!M251"")"),25000)</f>
        <v>25000</v>
      </c>
      <c r="O356" s="176"/>
      <c r="P356" s="176"/>
    </row>
    <row r="357" spans="1:16" ht="21.75" customHeight="1" x14ac:dyDescent="0.35">
      <c r="A357" s="381"/>
      <c r="B357" s="382"/>
      <c r="C357" s="163"/>
      <c r="D357" s="383"/>
      <c r="E357" s="165"/>
      <c r="F357" s="165"/>
      <c r="G357" s="384" t="s">
        <v>133</v>
      </c>
      <c r="H357" s="167" t="s">
        <v>12</v>
      </c>
      <c r="I357" s="195"/>
      <c r="J357" s="195"/>
      <c r="K357" s="231"/>
      <c r="L357" s="176"/>
      <c r="M357" s="176"/>
      <c r="N357" s="385">
        <f ca="1">IFERROR(__xludf.DUMMYFUNCTION("IMPORTRANGE(""https://docs.google.com/spreadsheets/d/1IYY_tgx_IHuhSq3AJ5eI5OnqOPBNLWSHKh2a30DoXe8/edit?usp=sharing"",""ปัตตานี!M252"")"),156000)</f>
        <v>156000</v>
      </c>
      <c r="O357" s="176"/>
      <c r="P357" s="176"/>
    </row>
    <row r="358" spans="1:16" ht="21.75" customHeight="1" x14ac:dyDescent="0.35">
      <c r="A358" s="381"/>
      <c r="B358" s="382"/>
      <c r="C358" s="163"/>
      <c r="D358" s="383"/>
      <c r="E358" s="165"/>
      <c r="F358" s="165"/>
      <c r="G358" s="384" t="s">
        <v>134</v>
      </c>
      <c r="H358" s="167" t="s">
        <v>12</v>
      </c>
      <c r="I358" s="195"/>
      <c r="J358" s="195"/>
      <c r="K358" s="231"/>
      <c r="L358" s="176"/>
      <c r="M358" s="176"/>
      <c r="N358" s="385">
        <f ca="1">IFERROR(__xludf.DUMMYFUNCTION("IMPORTRANGE(""https://docs.google.com/spreadsheets/d/1IYY_tgx_IHuhSq3AJ5eI5OnqOPBNLWSHKh2a30DoXe8/edit?usp=sharing"",""ปัตตานี!M253"")"),13204.09)</f>
        <v>13204.09</v>
      </c>
      <c r="O358" s="176"/>
      <c r="P358" s="176"/>
    </row>
    <row r="359" spans="1:16" ht="21.75" customHeight="1" x14ac:dyDescent="0.35">
      <c r="A359" s="183"/>
      <c r="B359" s="184"/>
      <c r="C359" s="163" t="s">
        <v>16</v>
      </c>
      <c r="D359" s="185" t="s">
        <v>44</v>
      </c>
      <c r="E359" s="186"/>
      <c r="F359" s="186"/>
      <c r="G359" s="187"/>
      <c r="H359" s="188"/>
      <c r="I359" s="168"/>
      <c r="J359" s="168"/>
      <c r="K359" s="169"/>
      <c r="L359" s="189"/>
      <c r="M359" s="189"/>
      <c r="N359" s="189"/>
      <c r="O359" s="189"/>
      <c r="P359" s="189"/>
    </row>
    <row r="360" spans="1:16" ht="21.75" customHeight="1" x14ac:dyDescent="0.35">
      <c r="A360" s="183"/>
      <c r="B360" s="184"/>
      <c r="C360" s="184"/>
      <c r="D360" s="190">
        <v>1</v>
      </c>
      <c r="E360" s="191" t="s">
        <v>45</v>
      </c>
      <c r="F360" s="192"/>
      <c r="G360" s="193"/>
      <c r="H360" s="194"/>
      <c r="I360" s="195"/>
      <c r="J360" s="205">
        <f ca="1">IFERROR(__xludf.DUMMYFUNCTION("IMPORTRANGE(""https://docs.google.com/spreadsheets/d/1IYY_tgx_IHuhSq3AJ5eI5OnqOPBNLWSHKh2a30DoXe8/edit?usp=sharing"",""ปัตตานี!J255"")"),0)</f>
        <v>0</v>
      </c>
      <c r="K360" s="169"/>
      <c r="L360" s="189"/>
      <c r="M360" s="189"/>
      <c r="N360" s="189"/>
      <c r="O360" s="189"/>
      <c r="P360" s="189"/>
    </row>
    <row r="361" spans="1:16" ht="21.75" customHeight="1" x14ac:dyDescent="0.35">
      <c r="A361" s="183"/>
      <c r="B361" s="184"/>
      <c r="C361" s="184"/>
      <c r="D361" s="197">
        <v>2</v>
      </c>
      <c r="E361" s="198" t="s">
        <v>46</v>
      </c>
      <c r="F361" s="199"/>
      <c r="G361" s="200"/>
      <c r="H361" s="194"/>
      <c r="I361" s="195"/>
      <c r="J361" s="196">
        <f ca="1">IFERROR(__xludf.DUMMYFUNCTION("IMPORTRANGE(""https://docs.google.com/spreadsheets/d/1IYY_tgx_IHuhSq3AJ5eI5OnqOPBNLWSHKh2a30DoXe8/edit?usp=sharing"",""ปัตตานี!J256"")"),1)</f>
        <v>1</v>
      </c>
      <c r="K361" s="169"/>
      <c r="L361" s="189" t="s">
        <v>40</v>
      </c>
      <c r="M361" s="189"/>
      <c r="N361" s="189" t="s">
        <v>40</v>
      </c>
      <c r="O361" s="189"/>
      <c r="P361" s="189"/>
    </row>
    <row r="362" spans="1:16" ht="21.75" customHeight="1" x14ac:dyDescent="0.35">
      <c r="A362" s="183"/>
      <c r="B362" s="184"/>
      <c r="C362" s="184"/>
      <c r="D362" s="201"/>
      <c r="E362" s="202" t="s">
        <v>47</v>
      </c>
      <c r="F362" s="203"/>
      <c r="G362" s="204"/>
      <c r="H362" s="194"/>
      <c r="I362" s="195"/>
      <c r="J362" s="196">
        <f ca="1">IFERROR(__xludf.DUMMYFUNCTION("IMPORTRANGE(""https://docs.google.com/spreadsheets/d/1IYY_tgx_IHuhSq3AJ5eI5OnqOPBNLWSHKh2a30DoXe8/edit?usp=sharing"",""ปัตตานี!J257"")"),1)</f>
        <v>1</v>
      </c>
      <c r="K362" s="169"/>
      <c r="L362" s="189"/>
      <c r="M362" s="189"/>
      <c r="N362" s="189"/>
      <c r="O362" s="189"/>
      <c r="P362" s="189"/>
    </row>
    <row r="363" spans="1:16" ht="21.75" customHeight="1" x14ac:dyDescent="0.35">
      <c r="A363" s="183"/>
      <c r="B363" s="184"/>
      <c r="C363" s="184"/>
      <c r="D363" s="201"/>
      <c r="E363" s="202" t="s">
        <v>48</v>
      </c>
      <c r="F363" s="203"/>
      <c r="G363" s="204"/>
      <c r="H363" s="194"/>
      <c r="I363" s="195"/>
      <c r="J363" s="205">
        <f ca="1">IFERROR(__xludf.DUMMYFUNCTION("IMPORTRANGE(""https://docs.google.com/spreadsheets/d/1IYY_tgx_IHuhSq3AJ5eI5OnqOPBNLWSHKh2a30DoXe8/edit?usp=sharing"",""ปัตตานี!J258"")"),1)</f>
        <v>1</v>
      </c>
      <c r="K363" s="169"/>
      <c r="L363" s="189"/>
      <c r="M363" s="189"/>
      <c r="N363" s="189"/>
      <c r="O363" s="189"/>
      <c r="P363" s="189"/>
    </row>
    <row r="364" spans="1:16" ht="21.75" hidden="1" customHeight="1" x14ac:dyDescent="0.35">
      <c r="A364" s="183"/>
      <c r="B364" s="184"/>
      <c r="C364" s="184"/>
      <c r="D364" s="201"/>
      <c r="E364" s="206"/>
      <c r="F364" s="202" t="s">
        <v>70</v>
      </c>
      <c r="G364" s="204"/>
      <c r="H364" s="188"/>
      <c r="I364" s="195"/>
      <c r="J364" s="195">
        <f ca="1">IFERROR(__xludf.DUMMYFUNCTION("IMPORTRANGE(""https://docs.google.com/spreadsheets/d/1IYY_tgx_IHuhSq3AJ5eI5OnqOPBNLWSHKh2a30DoXe8/edit?usp=sharing"",""ปัตตานี!J166"")"),0)</f>
        <v>0</v>
      </c>
      <c r="K364" s="169"/>
      <c r="L364" s="189"/>
      <c r="M364" s="189"/>
      <c r="N364" s="189"/>
      <c r="O364" s="189"/>
      <c r="P364" s="189"/>
    </row>
    <row r="365" spans="1:16" ht="21.75" hidden="1" customHeight="1" x14ac:dyDescent="0.35">
      <c r="A365" s="183"/>
      <c r="B365" s="184"/>
      <c r="C365" s="184"/>
      <c r="D365" s="201"/>
      <c r="E365" s="206"/>
      <c r="F365" s="203"/>
      <c r="G365" s="233" t="s">
        <v>135</v>
      </c>
      <c r="H365" s="188" t="s">
        <v>37</v>
      </c>
      <c r="I365" s="195">
        <f ca="1">IFERROR(__xludf.DUMMYFUNCTION("IMPORTRANGE(""https://docs.google.com/spreadsheets/d/1C3CXT74ZlgGe6_JY_1olB1XN4rF0dxEuIIF-xsYjHgg/edit?usp=sharing"",""งบกองทุน!f63"")"),0)</f>
        <v>0</v>
      </c>
      <c r="J365" s="195">
        <f ca="1">IFERROR(__xludf.DUMMYFUNCTION("IMPORTRANGE(""https://docs.google.com/spreadsheets/d/1IYY_tgx_IHuhSq3AJ5eI5OnqOPBNLWSHKh2a30DoXe8/edit?usp=sharing"",""ปัตตานี!J166"")"),0)</f>
        <v>0</v>
      </c>
      <c r="K365" s="169">
        <f ca="1">IF(I365&gt;0,J365*100/I365,0)</f>
        <v>0</v>
      </c>
      <c r="L365" s="189"/>
      <c r="M365" s="189"/>
      <c r="N365" s="189"/>
      <c r="O365" s="189"/>
      <c r="P365" s="189"/>
    </row>
    <row r="366" spans="1:16" ht="21.75" hidden="1" customHeight="1" x14ac:dyDescent="0.35">
      <c r="A366" s="183"/>
      <c r="B366" s="184"/>
      <c r="C366" s="184"/>
      <c r="D366" s="201"/>
      <c r="E366" s="206"/>
      <c r="F366" s="203"/>
      <c r="G366" s="204" t="s">
        <v>136</v>
      </c>
      <c r="H366" s="188"/>
      <c r="I366" s="168"/>
      <c r="J366" s="195">
        <f ca="1">IFERROR(__xludf.DUMMYFUNCTION("IMPORTRANGE(""https://docs.google.com/spreadsheets/d/1IYY_tgx_IHuhSq3AJ5eI5OnqOPBNLWSHKh2a30DoXe8/edit?usp=sharing"",""ปัตตานี!J166"")"),0)</f>
        <v>0</v>
      </c>
      <c r="K366" s="169"/>
      <c r="L366" s="189"/>
      <c r="M366" s="189"/>
      <c r="N366" s="189"/>
      <c r="O366" s="189"/>
      <c r="P366" s="189"/>
    </row>
    <row r="367" spans="1:16" ht="21.75" hidden="1" customHeight="1" x14ac:dyDescent="0.35">
      <c r="A367" s="183"/>
      <c r="B367" s="184"/>
      <c r="C367" s="184"/>
      <c r="D367" s="201"/>
      <c r="E367" s="206"/>
      <c r="F367" s="203"/>
      <c r="G367" s="233" t="s">
        <v>137</v>
      </c>
      <c r="H367" s="194" t="s">
        <v>122</v>
      </c>
      <c r="I367" s="195">
        <f ca="1">SUM(I369,I371)</f>
        <v>0</v>
      </c>
      <c r="J367" s="195">
        <f ca="1">IFERROR(__xludf.DUMMYFUNCTION("IMPORTRANGE(""https://docs.google.com/spreadsheets/d/1IYY_tgx_IHuhSq3AJ5eI5OnqOPBNLWSHKh2a30DoXe8/edit?usp=sharing"",""ปัตตานี!J166"")"),0)</f>
        <v>0</v>
      </c>
      <c r="K367" s="169">
        <f t="shared" ref="K367:K373" ca="1" si="106">IF(I367&gt;0,J367*100/I367,0)</f>
        <v>0</v>
      </c>
      <c r="L367" s="189"/>
      <c r="M367" s="189"/>
      <c r="N367" s="189"/>
      <c r="O367" s="189"/>
      <c r="P367" s="189"/>
    </row>
    <row r="368" spans="1:16" ht="21.75" customHeight="1" x14ac:dyDescent="0.35">
      <c r="A368" s="183"/>
      <c r="B368" s="184"/>
      <c r="C368" s="184"/>
      <c r="D368" s="201"/>
      <c r="E368" s="206"/>
      <c r="F368" s="386" t="s">
        <v>138</v>
      </c>
      <c r="G368" s="387"/>
      <c r="H368" s="194" t="s">
        <v>37</v>
      </c>
      <c r="I368" s="168">
        <f ca="1">IFERROR(__xludf.DUMMYFUNCTION("IMPORTRANGE(""https://docs.google.com/spreadsheets/d/1IYY_tgx_IHuhSq3AJ5eI5OnqOPBNLWSHKh2a30DoXe8/edit?usp=sharing"",""ปัตตานี!I263"")"),10)</f>
        <v>10</v>
      </c>
      <c r="J368" s="195">
        <f ca="1">IFERROR(__xludf.DUMMYFUNCTION("IMPORTRANGE(""https://docs.google.com/spreadsheets/d/1IYY_tgx_IHuhSq3AJ5eI5OnqOPBNLWSHKh2a30DoXe8/edit?usp=sharing"",""ปัตตานี!J263"")"),10)</f>
        <v>10</v>
      </c>
      <c r="K368" s="169">
        <f t="shared" ca="1" si="106"/>
        <v>100</v>
      </c>
      <c r="L368" s="189"/>
      <c r="M368" s="189"/>
      <c r="N368" s="189"/>
      <c r="O368" s="189"/>
      <c r="P368" s="189"/>
    </row>
    <row r="369" spans="1:16" ht="21.75" hidden="1" customHeight="1" x14ac:dyDescent="0.35">
      <c r="A369" s="183"/>
      <c r="B369" s="184"/>
      <c r="C369" s="184"/>
      <c r="D369" s="201"/>
      <c r="E369" s="206"/>
      <c r="F369" s="203"/>
      <c r="G369" s="387"/>
      <c r="H369" s="188" t="s">
        <v>122</v>
      </c>
      <c r="I369" s="168">
        <f ca="1">IFERROR(__xludf.DUMMYFUNCTION("IMPORTRANGE(""https://docs.google.com/spreadsheets/d/1IYY_tgx_IHuhSq3AJ5eI5OnqOPBNLWSHKh2a30DoXe8/edit?usp=sharing"",""ปัตตานี!I164"")"),0)</f>
        <v>0</v>
      </c>
      <c r="J369" s="211">
        <f ca="1">IFERROR(__xludf.DUMMYFUNCTION("IMPORTRANGE(""https://docs.google.com/spreadsheets/d/1IYY_tgx_IHuhSq3AJ5eI5OnqOPBNLWSHKh2a30DoXe8/edit?usp=sharing"",""ปัตตานี!J164"")"),0)</f>
        <v>0</v>
      </c>
      <c r="K369" s="169">
        <f t="shared" ca="1" si="106"/>
        <v>0</v>
      </c>
      <c r="L369" s="189"/>
      <c r="M369" s="189"/>
      <c r="N369" s="189"/>
      <c r="O369" s="189"/>
      <c r="P369" s="189"/>
    </row>
    <row r="370" spans="1:16" ht="21.75" customHeight="1" x14ac:dyDescent="0.35">
      <c r="A370" s="183"/>
      <c r="B370" s="184"/>
      <c r="C370" s="184"/>
      <c r="D370" s="201"/>
      <c r="E370" s="206"/>
      <c r="F370" s="203"/>
      <c r="G370" s="386" t="s">
        <v>139</v>
      </c>
      <c r="H370" s="188" t="s">
        <v>37</v>
      </c>
      <c r="I370" s="168">
        <f ca="1">IFERROR(__xludf.DUMMYFUNCTION("IMPORTRANGE(""https://docs.google.com/spreadsheets/d/1IYY_tgx_IHuhSq3AJ5eI5OnqOPBNLWSHKh2a30DoXe8/edit?usp=sharing"",""ปัตตานี!I265"")"),10)</f>
        <v>10</v>
      </c>
      <c r="J370" s="211">
        <f ca="1">IFERROR(__xludf.DUMMYFUNCTION("IMPORTRANGE(""https://docs.google.com/spreadsheets/d/1IYY_tgx_IHuhSq3AJ5eI5OnqOPBNLWSHKh2a30DoXe8/edit?usp=sharing"",""ปัตตานี!J265"")"),10)</f>
        <v>10</v>
      </c>
      <c r="K370" s="169">
        <f t="shared" ca="1" si="106"/>
        <v>100</v>
      </c>
      <c r="L370" s="189"/>
      <c r="M370" s="189"/>
      <c r="N370" s="189"/>
      <c r="O370" s="189"/>
      <c r="P370" s="189"/>
    </row>
    <row r="371" spans="1:16" ht="21.75" hidden="1" customHeight="1" x14ac:dyDescent="0.35">
      <c r="A371" s="183"/>
      <c r="B371" s="184"/>
      <c r="C371" s="184"/>
      <c r="D371" s="201"/>
      <c r="E371" s="206"/>
      <c r="F371" s="203"/>
      <c r="G371" s="387"/>
      <c r="H371" s="188" t="s">
        <v>122</v>
      </c>
      <c r="I371" s="168">
        <f ca="1">IFERROR(__xludf.DUMMYFUNCTION("IMPORTRANGE(""https://docs.google.com/spreadsheets/d/1IYY_tgx_IHuhSq3AJ5eI5OnqOPBNLWSHKh2a30DoXe8/edit?usp=sharing"",""ปัตตานี!I164"")"),0)</f>
        <v>0</v>
      </c>
      <c r="J371" s="196">
        <f ca="1">IFERROR(__xludf.DUMMYFUNCTION("IMPORTRANGE(""https://docs.google.com/spreadsheets/d/1IYY_tgx_IHuhSq3AJ5eI5OnqOPBNLWSHKh2a30DoXe8/edit?usp=sharing"",""ปัตตานี!J164"")"),0)</f>
        <v>0</v>
      </c>
      <c r="K371" s="169">
        <f t="shared" ca="1" si="106"/>
        <v>0</v>
      </c>
      <c r="L371" s="189"/>
      <c r="M371" s="189"/>
      <c r="N371" s="189"/>
      <c r="O371" s="189"/>
      <c r="P371" s="189"/>
    </row>
    <row r="372" spans="1:16" ht="21.75" customHeight="1" x14ac:dyDescent="0.35">
      <c r="A372" s="183"/>
      <c r="B372" s="184"/>
      <c r="C372" s="184"/>
      <c r="D372" s="201"/>
      <c r="E372" s="206"/>
      <c r="F372" s="203"/>
      <c r="G372" s="386" t="s">
        <v>140</v>
      </c>
      <c r="H372" s="188" t="s">
        <v>37</v>
      </c>
      <c r="I372" s="168">
        <f ca="1">IFERROR(__xludf.DUMMYFUNCTION("IMPORTRANGE(""https://docs.google.com/spreadsheets/d/1IYY_tgx_IHuhSq3AJ5eI5OnqOPBNLWSHKh2a30DoXe8/edit?usp=sharing"",""ปัตตานี!I267"")"),10)</f>
        <v>10</v>
      </c>
      <c r="J372" s="196">
        <f ca="1">IFERROR(__xludf.DUMMYFUNCTION("IMPORTRANGE(""https://docs.google.com/spreadsheets/d/1IYY_tgx_IHuhSq3AJ5eI5OnqOPBNLWSHKh2a30DoXe8/edit?usp=sharing"",""ปัตตานี!J267"")"),10)</f>
        <v>10</v>
      </c>
      <c r="K372" s="169">
        <f t="shared" ca="1" si="106"/>
        <v>100</v>
      </c>
      <c r="L372" s="189"/>
      <c r="M372" s="189"/>
      <c r="N372" s="189"/>
      <c r="O372" s="189"/>
      <c r="P372" s="189"/>
    </row>
    <row r="373" spans="1:16" ht="21.75" hidden="1" customHeight="1" x14ac:dyDescent="0.35">
      <c r="A373" s="183"/>
      <c r="B373" s="184"/>
      <c r="C373" s="184"/>
      <c r="D373" s="201"/>
      <c r="E373" s="206"/>
      <c r="F373" s="203"/>
      <c r="G373" s="233" t="s">
        <v>141</v>
      </c>
      <c r="H373" s="188" t="s">
        <v>37</v>
      </c>
      <c r="I373" s="195">
        <f ca="1">IFERROR(__xludf.DUMMYFUNCTION("IMPORTRANGE(""https://docs.google.com/spreadsheets/d/1IYY_tgx_IHuhSq3AJ5eI5OnqOPBNLWSHKh2a30DoXe8/edit?usp=sharing"",""ปัตตานี!I164"")"),0)</f>
        <v>0</v>
      </c>
      <c r="J373" s="211">
        <f ca="1">IFERROR(__xludf.DUMMYFUNCTION("IMPORTRANGE(""https://docs.google.com/spreadsheets/d/1IYY_tgx_IHuhSq3AJ5eI5OnqOPBNLWSHKh2a30DoXe8/edit?usp=sharing"",""ปัตตานี!J164"")"),0)</f>
        <v>0</v>
      </c>
      <c r="K373" s="169">
        <f t="shared" ca="1" si="106"/>
        <v>0</v>
      </c>
      <c r="L373" s="189"/>
      <c r="M373" s="189"/>
      <c r="N373" s="189"/>
      <c r="O373" s="189"/>
      <c r="P373" s="189"/>
    </row>
    <row r="374" spans="1:16" ht="21.75" hidden="1" customHeight="1" x14ac:dyDescent="0.35">
      <c r="A374" s="183"/>
      <c r="B374" s="184"/>
      <c r="C374" s="184"/>
      <c r="D374" s="201"/>
      <c r="E374" s="206"/>
      <c r="F374" s="203"/>
      <c r="G374" s="204" t="s">
        <v>142</v>
      </c>
      <c r="H374" s="188"/>
      <c r="I374" s="195">
        <f ca="1">IFERROR(__xludf.DUMMYFUNCTION("IMPORTRANGE(""https://docs.google.com/spreadsheets/d/1IYY_tgx_IHuhSq3AJ5eI5OnqOPBNLWSHKh2a30DoXe8/edit?usp=sharing"",""ปัตตานี!I164"")"),0)</f>
        <v>0</v>
      </c>
      <c r="J374" s="195">
        <f ca="1">IFERROR(__xludf.DUMMYFUNCTION("IMPORTRANGE(""https://docs.google.com/spreadsheets/d/1IYY_tgx_IHuhSq3AJ5eI5OnqOPBNLWSHKh2a30DoXe8/edit?usp=sharing"",""ปัตตานี!J164"")"),0)</f>
        <v>0</v>
      </c>
      <c r="K374" s="169"/>
      <c r="L374" s="189"/>
      <c r="M374" s="189"/>
      <c r="N374" s="189"/>
      <c r="O374" s="189"/>
      <c r="P374" s="189"/>
    </row>
    <row r="375" spans="1:16" ht="21.75" customHeight="1" x14ac:dyDescent="0.35">
      <c r="A375" s="183"/>
      <c r="B375" s="184"/>
      <c r="C375" s="184"/>
      <c r="D375" s="201"/>
      <c r="E375" s="203"/>
      <c r="F375" s="212" t="s">
        <v>53</v>
      </c>
      <c r="G375" s="204"/>
      <c r="H375" s="286" t="s">
        <v>122</v>
      </c>
      <c r="I375" s="195">
        <f ca="1">IFERROR(__xludf.DUMMYFUNCTION("IMPORTRANGE(""https://docs.google.com/spreadsheets/d/1IYY_tgx_IHuhSq3AJ5eI5OnqOPBNLWSHKh2a30DoXe8/edit?usp=sharing"",""ปัตตานี!I270"")"),20)</f>
        <v>20</v>
      </c>
      <c r="J375" s="195">
        <f ca="1">IFERROR(__xludf.DUMMYFUNCTION("IMPORTRANGE(""https://docs.google.com/spreadsheets/d/1IYY_tgx_IHuhSq3AJ5eI5OnqOPBNLWSHKh2a30DoXe8/edit?usp=sharing"",""ปัตตานี!J270"")"),20)</f>
        <v>20</v>
      </c>
      <c r="K375" s="169">
        <f t="shared" ref="K375:K377" ca="1" si="107">IF(I375&gt;0,J375*100/I375,0)</f>
        <v>100</v>
      </c>
      <c r="L375" s="189"/>
      <c r="M375" s="189"/>
      <c r="N375" s="189"/>
      <c r="O375" s="189"/>
      <c r="P375" s="189"/>
    </row>
    <row r="376" spans="1:16" ht="21.75" customHeight="1" x14ac:dyDescent="0.35">
      <c r="A376" s="183"/>
      <c r="B376" s="184"/>
      <c r="C376" s="184"/>
      <c r="D376" s="201"/>
      <c r="E376" s="203"/>
      <c r="F376" s="203"/>
      <c r="G376" s="287" t="s">
        <v>143</v>
      </c>
      <c r="H376" s="286" t="s">
        <v>122</v>
      </c>
      <c r="I376" s="195">
        <f ca="1">IFERROR(__xludf.DUMMYFUNCTION("IMPORTRANGE(""https://docs.google.com/spreadsheets/d/1IYY_tgx_IHuhSq3AJ5eI5OnqOPBNLWSHKh2a30DoXe8/edit?usp=sharing"",""ปัตตานี!I271"")"),20)</f>
        <v>20</v>
      </c>
      <c r="J376" s="196">
        <f ca="1">IFERROR(__xludf.DUMMYFUNCTION("IMPORTRANGE(""https://docs.google.com/spreadsheets/d/1IYY_tgx_IHuhSq3AJ5eI5OnqOPBNLWSHKh2a30DoXe8/edit?usp=sharing"",""ปัตตานี!J271"")"),20)</f>
        <v>20</v>
      </c>
      <c r="K376" s="169">
        <f t="shared" ca="1" si="107"/>
        <v>100</v>
      </c>
      <c r="L376" s="189"/>
      <c r="M376" s="189"/>
      <c r="N376" s="189"/>
      <c r="O376" s="189"/>
      <c r="P376" s="189"/>
    </row>
    <row r="377" spans="1:16" ht="21.75" customHeight="1" x14ac:dyDescent="0.35">
      <c r="A377" s="183"/>
      <c r="B377" s="184"/>
      <c r="C377" s="184"/>
      <c r="D377" s="201"/>
      <c r="E377" s="203"/>
      <c r="F377" s="203"/>
      <c r="G377" s="287" t="s">
        <v>144</v>
      </c>
      <c r="H377" s="286" t="s">
        <v>122</v>
      </c>
      <c r="I377" s="195">
        <f ca="1">IFERROR(__xludf.DUMMYFUNCTION("IMPORTRANGE(""https://docs.google.com/spreadsheets/d/1IYY_tgx_IHuhSq3AJ5eI5OnqOPBNLWSHKh2a30DoXe8/edit?usp=sharing"",""ปัตตานี!I272"")"),0)</f>
        <v>0</v>
      </c>
      <c r="J377" s="211">
        <f ca="1">IFERROR(__xludf.DUMMYFUNCTION("IMPORTRANGE(""https://docs.google.com/spreadsheets/d/1IYY_tgx_IHuhSq3AJ5eI5OnqOPBNLWSHKh2a30DoXe8/edit?usp=sharing"",""ปัตตานี!J272"")"),0)</f>
        <v>0</v>
      </c>
      <c r="K377" s="169">
        <f t="shared" ca="1" si="107"/>
        <v>0</v>
      </c>
      <c r="L377" s="189"/>
      <c r="M377" s="189"/>
      <c r="N377" s="189"/>
      <c r="O377" s="189"/>
      <c r="P377" s="189"/>
    </row>
    <row r="378" spans="1:16" ht="21.75" customHeight="1" x14ac:dyDescent="0.35">
      <c r="A378" s="183"/>
      <c r="B378" s="184"/>
      <c r="C378" s="184"/>
      <c r="D378" s="201"/>
      <c r="E378" s="202" t="s">
        <v>54</v>
      </c>
      <c r="F378" s="203"/>
      <c r="G378" s="204"/>
      <c r="H378" s="194"/>
      <c r="I378" s="195"/>
      <c r="J378" s="205">
        <f ca="1">IFERROR(__xludf.DUMMYFUNCTION("IMPORTRANGE(""https://docs.google.com/spreadsheets/d/1IYY_tgx_IHuhSq3AJ5eI5OnqOPBNLWSHKh2a30DoXe8/edit?usp=sharing"",""ปัตตานี!J273"")"),0)</f>
        <v>0</v>
      </c>
      <c r="K378" s="169"/>
      <c r="L378" s="189"/>
      <c r="M378" s="189"/>
      <c r="N378" s="189"/>
      <c r="O378" s="189"/>
      <c r="P378" s="189"/>
    </row>
    <row r="379" spans="1:16" ht="21.75" customHeight="1" x14ac:dyDescent="0.35">
      <c r="A379" s="183"/>
      <c r="B379" s="184"/>
      <c r="C379" s="184"/>
      <c r="D379" s="213">
        <v>3</v>
      </c>
      <c r="E379" s="214" t="s">
        <v>55</v>
      </c>
      <c r="F379" s="215"/>
      <c r="G379" s="216"/>
      <c r="H379" s="194"/>
      <c r="I379" s="195"/>
      <c r="J379" s="217">
        <f ca="1">IFERROR(__xludf.DUMMYFUNCTION("IMPORTRANGE(""https://docs.google.com/spreadsheets/d/1IYY_tgx_IHuhSq3AJ5eI5OnqOPBNLWSHKh2a30DoXe8/edit?usp=sharing"",""ปัตตานี!J274"")"),0)</f>
        <v>0</v>
      </c>
      <c r="K379" s="169"/>
      <c r="L379" s="189"/>
      <c r="M379" s="189"/>
      <c r="N379" s="189"/>
      <c r="O379" s="189"/>
      <c r="P379" s="189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IFERROR(__xludf.DUMMYFUNCTION("IMPORTRANGE(""https://docs.google.com/spreadsheets/d/1IYY_tgx_IHuhSq3AJ5eI5OnqOPBNLWSHKh2a30DoXe8/edit?usp=sharing"",""ปัตตานี!I275"")"),50)</f>
        <v>50</v>
      </c>
      <c r="J380" s="377">
        <f ca="1">IFERROR(__xludf.DUMMYFUNCTION("IMPORTRANGE(""https://docs.google.com/spreadsheets/d/1IYY_tgx_IHuhSq3AJ5eI5OnqOPBNLWSHKh2a30DoXe8/edit?usp=sharing"",""ปัตตานี!J275"")"),0)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IFERROR(__xludf.DUMMYFUNCTION("IMPORTRANGE(""https://docs.google.com/spreadsheets/d/1IYY_tgx_IHuhSq3AJ5eI5OnqOPBNLWSHKh2a30DoXe8/edit?usp=sharing"",""ปัตตานี!L275"")"),87710)</f>
        <v>87710</v>
      </c>
      <c r="M380" s="379"/>
      <c r="N380" s="379">
        <f ca="1">IFERROR(__xludf.DUMMYFUNCTION("IMPORTRANGE(""https://docs.google.com/spreadsheets/d/1IYY_tgx_IHuhSq3AJ5eI5OnqOPBNLWSHKh2a30DoXe8/edit?usp=sharing"",""ปัตตานี!M275"")"),24844.12)</f>
        <v>24844.12</v>
      </c>
      <c r="O380" s="379">
        <f ca="1">+IF(L380&gt;0,N380*100/L380,0)</f>
        <v>28.325299281723861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IFERROR(__xludf.DUMMYFUNCTION("IMPORTRANGE(""https://docs.google.com/spreadsheets/d/1IYY_tgx_IHuhSq3AJ5eI5OnqOPBNLWSHKh2a30DoXe8/edit?usp=sharing"",""ปัตตานี!I276"")"),5)</f>
        <v>5</v>
      </c>
      <c r="J381" s="377">
        <f ca="1">IFERROR(__xludf.DUMMYFUNCTION("IMPORTRANGE(""https://docs.google.com/spreadsheets/d/1IYY_tgx_IHuhSq3AJ5eI5OnqOPBNLWSHKh2a30DoXe8/edit?usp=sharing"",""ปัตตานี!J276"")"),5)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164" t="s">
        <v>38</v>
      </c>
      <c r="E382" s="165"/>
      <c r="F382" s="165"/>
      <c r="G382" s="166" t="s">
        <v>39</v>
      </c>
      <c r="H382" s="167" t="s">
        <v>12</v>
      </c>
      <c r="I382" s="168" t="s">
        <v>40</v>
      </c>
      <c r="J382" s="168"/>
      <c r="K382" s="169"/>
      <c r="L382" s="170">
        <f ca="1">IFERROR(__xludf.DUMMYFUNCTION("IMPORTRANGE(""https://docs.google.com/spreadsheets/d/1IYY_tgx_IHuhSq3AJ5eI5OnqOPBNLWSHKh2a30DoXe8/edit?usp=sharing"",""ปัตตานี!L277"")"),0)</f>
        <v>0</v>
      </c>
      <c r="M382" s="170"/>
      <c r="N382" s="170">
        <f ca="1">IFERROR(__xludf.DUMMYFUNCTION("IMPORTRANGE(""https://docs.google.com/spreadsheets/d/1IYY_tgx_IHuhSq3AJ5eI5OnqOPBNLWSHKh2a30DoXe8/edit?usp=sharing"",""ปัตตานี!M277"")"),0)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 x14ac:dyDescent="0.35">
      <c r="A383" s="162"/>
      <c r="B383" s="163"/>
      <c r="C383" s="163"/>
      <c r="D383" s="172"/>
      <c r="E383" s="165"/>
      <c r="F383" s="165" t="s">
        <v>40</v>
      </c>
      <c r="G383" s="166" t="s">
        <v>41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IFERROR(__xludf.DUMMYFUNCTION("IMPORTRANGE(""https://docs.google.com/spreadsheets/d/1IYY_tgx_IHuhSq3AJ5eI5OnqOPBNLWSHKh2a30DoXe8/edit?usp=sharing"",""ปัตตานี!L278"")"),87710)</f>
        <v>87710</v>
      </c>
      <c r="M383" s="171"/>
      <c r="N383" s="171">
        <f ca="1">IFERROR(__xludf.DUMMYFUNCTION("IMPORTRANGE(""https://docs.google.com/spreadsheets/d/1IYY_tgx_IHuhSq3AJ5eI5OnqOPBNLWSHKh2a30DoXe8/edit?usp=sharing"",""ปัตตานี!M278"")"),24844.12)</f>
        <v>24844.12</v>
      </c>
      <c r="O383" s="171">
        <f t="shared" ca="1" si="109"/>
        <v>28.325299281723861</v>
      </c>
      <c r="P383" s="171"/>
    </row>
    <row r="384" spans="1:16" ht="21.75" customHeight="1" x14ac:dyDescent="0.35">
      <c r="A384" s="162"/>
      <c r="B384" s="163"/>
      <c r="C384" s="163"/>
      <c r="D384" s="172"/>
      <c r="E384" s="165"/>
      <c r="F384" s="165"/>
      <c r="G384" s="380" t="s">
        <v>129</v>
      </c>
      <c r="H384" s="167" t="s">
        <v>12</v>
      </c>
      <c r="I384" s="168"/>
      <c r="J384" s="168"/>
      <c r="K384" s="169"/>
      <c r="L384" s="176">
        <f ca="1">IFERROR(__xludf.DUMMYFUNCTION("IMPORTRANGE(""https://docs.google.com/spreadsheets/d/1IYY_tgx_IHuhSq3AJ5eI5OnqOPBNLWSHKh2a30DoXe8/edit?usp=sharing"",""ปัตตานี!L279"")"),0)</f>
        <v>0</v>
      </c>
      <c r="M384" s="176"/>
      <c r="N384" s="176">
        <f ca="1">IFERROR(__xludf.DUMMYFUNCTION("IMPORTRANGE(""https://docs.google.com/spreadsheets/d/1IYY_tgx_IHuhSq3AJ5eI5OnqOPBNLWSHKh2a30DoXe8/edit?usp=sharing"",""ปัตตานี!M279"")"),0)</f>
        <v>0</v>
      </c>
      <c r="O384" s="176">
        <f t="shared" ca="1" si="109"/>
        <v>0</v>
      </c>
      <c r="P384" s="176"/>
    </row>
    <row r="385" spans="1:16" ht="21.75" customHeight="1" x14ac:dyDescent="0.35">
      <c r="A385" s="162"/>
      <c r="B385" s="163"/>
      <c r="C385" s="163"/>
      <c r="D385" s="172"/>
      <c r="E385" s="165"/>
      <c r="F385" s="165"/>
      <c r="G385" s="380" t="s">
        <v>130</v>
      </c>
      <c r="H385" s="167" t="s">
        <v>12</v>
      </c>
      <c r="I385" s="168"/>
      <c r="J385" s="168"/>
      <c r="K385" s="169"/>
      <c r="L385" s="176">
        <f ca="1">IFERROR(__xludf.DUMMYFUNCTION("IMPORTRANGE(""https://docs.google.com/spreadsheets/d/1IYY_tgx_IHuhSq3AJ5eI5OnqOPBNLWSHKh2a30DoXe8/edit?usp=sharing"",""ปัตตานี!L280"")"),87710)</f>
        <v>87710</v>
      </c>
      <c r="M385" s="176"/>
      <c r="N385" s="173">
        <f ca="1">IFERROR(__xludf.DUMMYFUNCTION("IMPORTRANGE(""https://docs.google.com/spreadsheets/d/1IYY_tgx_IHuhSq3AJ5eI5OnqOPBNLWSHKh2a30DoXe8/edit?usp=sharing"",""ปัตตานี!M280"")"),24844.12)</f>
        <v>24844.12</v>
      </c>
      <c r="O385" s="176">
        <f t="shared" ca="1" si="109"/>
        <v>28.325299281723861</v>
      </c>
      <c r="P385" s="176"/>
    </row>
    <row r="386" spans="1:16" ht="21.75" customHeight="1" x14ac:dyDescent="0.35">
      <c r="A386" s="381"/>
      <c r="B386" s="382"/>
      <c r="C386" s="163"/>
      <c r="D386" s="383"/>
      <c r="E386" s="165"/>
      <c r="F386" s="165"/>
      <c r="G386" s="384" t="s">
        <v>131</v>
      </c>
      <c r="H386" s="167" t="s">
        <v>12</v>
      </c>
      <c r="I386" s="195"/>
      <c r="J386" s="195"/>
      <c r="K386" s="231"/>
      <c r="L386" s="176"/>
      <c r="M386" s="176"/>
      <c r="N386" s="385">
        <f ca="1">IFERROR(__xludf.DUMMYFUNCTION("IMPORTRANGE(""https://docs.google.com/spreadsheets/d/1IYY_tgx_IHuhSq3AJ5eI5OnqOPBNLWSHKh2a30DoXe8/edit?usp=sharing"",""ปัตตานี!M281"")"),22040)</f>
        <v>22040</v>
      </c>
      <c r="O386" s="176"/>
      <c r="P386" s="176"/>
    </row>
    <row r="387" spans="1:16" ht="21.75" customHeight="1" x14ac:dyDescent="0.35">
      <c r="A387" s="381"/>
      <c r="B387" s="382"/>
      <c r="C387" s="163"/>
      <c r="D387" s="383"/>
      <c r="E387" s="165"/>
      <c r="F387" s="165"/>
      <c r="G387" s="384" t="s">
        <v>132</v>
      </c>
      <c r="H387" s="167" t="s">
        <v>12</v>
      </c>
      <c r="I387" s="195"/>
      <c r="J387" s="195"/>
      <c r="K387" s="231"/>
      <c r="L387" s="176"/>
      <c r="M387" s="176"/>
      <c r="N387" s="385">
        <f ca="1">IFERROR(__xludf.DUMMYFUNCTION("IMPORTRANGE(""https://docs.google.com/spreadsheets/d/1IYY_tgx_IHuhSq3AJ5eI5OnqOPBNLWSHKh2a30DoXe8/edit?usp=sharing"",""ปัตตานี!M282"")"),0)</f>
        <v>0</v>
      </c>
      <c r="O387" s="176"/>
      <c r="P387" s="176"/>
    </row>
    <row r="388" spans="1:16" ht="21.75" customHeight="1" x14ac:dyDescent="0.35">
      <c r="A388" s="381"/>
      <c r="B388" s="382"/>
      <c r="C388" s="163"/>
      <c r="D388" s="383"/>
      <c r="E388" s="165"/>
      <c r="F388" s="165"/>
      <c r="G388" s="384" t="s">
        <v>133</v>
      </c>
      <c r="H388" s="167" t="s">
        <v>12</v>
      </c>
      <c r="I388" s="195"/>
      <c r="J388" s="195"/>
      <c r="K388" s="231"/>
      <c r="L388" s="176"/>
      <c r="M388" s="176"/>
      <c r="N388" s="385">
        <f ca="1">IFERROR(__xludf.DUMMYFUNCTION("IMPORTRANGE(""https://docs.google.com/spreadsheets/d/1IYY_tgx_IHuhSq3AJ5eI5OnqOPBNLWSHKh2a30DoXe8/edit?usp=sharing"",""ปัตตานี!M283"")"),0)</f>
        <v>0</v>
      </c>
      <c r="O388" s="176"/>
      <c r="P388" s="176"/>
    </row>
    <row r="389" spans="1:16" ht="21.75" customHeight="1" x14ac:dyDescent="0.35">
      <c r="A389" s="381"/>
      <c r="B389" s="382"/>
      <c r="C389" s="163"/>
      <c r="D389" s="383"/>
      <c r="E389" s="165"/>
      <c r="F389" s="165"/>
      <c r="G389" s="384" t="s">
        <v>134</v>
      </c>
      <c r="H389" s="167" t="s">
        <v>12</v>
      </c>
      <c r="I389" s="195"/>
      <c r="J389" s="195"/>
      <c r="K389" s="231"/>
      <c r="L389" s="176"/>
      <c r="M389" s="176"/>
      <c r="N389" s="385">
        <f ca="1">IFERROR(__xludf.DUMMYFUNCTION("IMPORTRANGE(""https://docs.google.com/spreadsheets/d/1IYY_tgx_IHuhSq3AJ5eI5OnqOPBNLWSHKh2a30DoXe8/edit?usp=sharing"",""ปัตตานี!M284"")"),2804.12)</f>
        <v>2804.12</v>
      </c>
      <c r="O389" s="176"/>
      <c r="P389" s="176"/>
    </row>
    <row r="390" spans="1:16" ht="21.75" customHeight="1" x14ac:dyDescent="0.35">
      <c r="A390" s="183"/>
      <c r="B390" s="184"/>
      <c r="C390" s="163" t="s">
        <v>16</v>
      </c>
      <c r="D390" s="185" t="s">
        <v>44</v>
      </c>
      <c r="E390" s="186"/>
      <c r="F390" s="186"/>
      <c r="G390" s="187"/>
      <c r="H390" s="188"/>
      <c r="I390" s="168"/>
      <c r="J390" s="168"/>
      <c r="K390" s="169"/>
      <c r="L390" s="189"/>
      <c r="M390" s="189"/>
      <c r="N390" s="189"/>
      <c r="O390" s="189"/>
      <c r="P390" s="189"/>
    </row>
    <row r="391" spans="1:16" ht="21.75" customHeight="1" x14ac:dyDescent="0.35">
      <c r="A391" s="183"/>
      <c r="B391" s="184"/>
      <c r="C391" s="184"/>
      <c r="D391" s="190">
        <v>1</v>
      </c>
      <c r="E391" s="191" t="s">
        <v>45</v>
      </c>
      <c r="F391" s="192"/>
      <c r="G391" s="193"/>
      <c r="H391" s="194"/>
      <c r="I391" s="195"/>
      <c r="J391" s="205">
        <f ca="1">IFERROR(__xludf.DUMMYFUNCTION("IMPORTRANGE(""https://docs.google.com/spreadsheets/d/1IYY_tgx_IHuhSq3AJ5eI5OnqOPBNLWSHKh2a30DoXe8/edit?usp=sharing"",""ปัตตานี!J286"")"),0)</f>
        <v>0</v>
      </c>
      <c r="K391" s="169"/>
      <c r="L391" s="189"/>
      <c r="M391" s="189"/>
      <c r="N391" s="189"/>
      <c r="O391" s="189"/>
      <c r="P391" s="189"/>
    </row>
    <row r="392" spans="1:16" ht="21.75" customHeight="1" x14ac:dyDescent="0.35">
      <c r="A392" s="183"/>
      <c r="B392" s="184"/>
      <c r="C392" s="184"/>
      <c r="D392" s="197">
        <v>2</v>
      </c>
      <c r="E392" s="198" t="s">
        <v>46</v>
      </c>
      <c r="F392" s="199"/>
      <c r="G392" s="200"/>
      <c r="H392" s="194"/>
      <c r="I392" s="195"/>
      <c r="J392" s="196">
        <f ca="1">IFERROR(__xludf.DUMMYFUNCTION("IMPORTRANGE(""https://docs.google.com/spreadsheets/d/1IYY_tgx_IHuhSq3AJ5eI5OnqOPBNLWSHKh2a30DoXe8/edit?usp=sharing"",""ปัตตานี!J287"")"),1)</f>
        <v>1</v>
      </c>
      <c r="K392" s="169"/>
      <c r="L392" s="189" t="s">
        <v>40</v>
      </c>
      <c r="M392" s="189"/>
      <c r="N392" s="189" t="s">
        <v>40</v>
      </c>
      <c r="O392" s="189"/>
      <c r="P392" s="189"/>
    </row>
    <row r="393" spans="1:16" ht="21.75" customHeight="1" x14ac:dyDescent="0.35">
      <c r="A393" s="183"/>
      <c r="B393" s="184"/>
      <c r="C393" s="184"/>
      <c r="D393" s="201"/>
      <c r="E393" s="202" t="s">
        <v>47</v>
      </c>
      <c r="F393" s="203"/>
      <c r="G393" s="204"/>
      <c r="H393" s="194"/>
      <c r="I393" s="195"/>
      <c r="J393" s="196">
        <f ca="1">IFERROR(__xludf.DUMMYFUNCTION("IMPORTRANGE(""https://docs.google.com/spreadsheets/d/1IYY_tgx_IHuhSq3AJ5eI5OnqOPBNLWSHKh2a30DoXe8/edit?usp=sharing"",""ปัตตานี!J288"")"),1)</f>
        <v>1</v>
      </c>
      <c r="K393" s="169"/>
      <c r="L393" s="189"/>
      <c r="M393" s="189"/>
      <c r="N393" s="189"/>
      <c r="O393" s="189"/>
      <c r="P393" s="189"/>
    </row>
    <row r="394" spans="1:16" ht="21.75" customHeight="1" x14ac:dyDescent="0.35">
      <c r="A394" s="183"/>
      <c r="B394" s="184"/>
      <c r="C394" s="184"/>
      <c r="D394" s="201"/>
      <c r="E394" s="202" t="s">
        <v>48</v>
      </c>
      <c r="F394" s="203"/>
      <c r="G394" s="204"/>
      <c r="H394" s="194"/>
      <c r="I394" s="195"/>
      <c r="J394" s="205">
        <f ca="1">IFERROR(__xludf.DUMMYFUNCTION("IMPORTRANGE(""https://docs.google.com/spreadsheets/d/1IYY_tgx_IHuhSq3AJ5eI5OnqOPBNLWSHKh2a30DoXe8/edit?usp=sharing"",""ปัตตานี!J289"")"),1)</f>
        <v>1</v>
      </c>
      <c r="K394" s="169"/>
      <c r="L394" s="189"/>
      <c r="M394" s="189"/>
      <c r="N394" s="189"/>
      <c r="O394" s="189"/>
      <c r="P394" s="189"/>
    </row>
    <row r="395" spans="1:16" ht="21.75" customHeight="1" x14ac:dyDescent="0.35">
      <c r="A395" s="183"/>
      <c r="B395" s="184"/>
      <c r="C395" s="184"/>
      <c r="D395" s="201"/>
      <c r="E395" s="206"/>
      <c r="F395" s="202" t="s">
        <v>146</v>
      </c>
      <c r="G395" s="203"/>
      <c r="H395" s="194"/>
      <c r="I395" s="195"/>
      <c r="J395" s="195"/>
      <c r="K395" s="169"/>
      <c r="L395" s="189"/>
      <c r="M395" s="189"/>
      <c r="N395" s="189"/>
      <c r="O395" s="189"/>
      <c r="P395" s="189"/>
    </row>
    <row r="396" spans="1:16" ht="21.75" customHeight="1" x14ac:dyDescent="0.35">
      <c r="A396" s="183"/>
      <c r="B396" s="184"/>
      <c r="C396" s="184"/>
      <c r="D396" s="201"/>
      <c r="E396" s="206"/>
      <c r="F396" s="203"/>
      <c r="G396" s="299" t="s">
        <v>70</v>
      </c>
      <c r="H396" s="194" t="s">
        <v>37</v>
      </c>
      <c r="I396" s="195">
        <f ca="1">IFERROR(__xludf.DUMMYFUNCTION("IMPORTRANGE(""https://docs.google.com/spreadsheets/d/1IYY_tgx_IHuhSq3AJ5eI5OnqOPBNLWSHKh2a30DoXe8/edit?usp=sharing"",""ปัตตานี!I291"")"),5)</f>
        <v>5</v>
      </c>
      <c r="J396" s="205">
        <f ca="1">IFERROR(__xludf.DUMMYFUNCTION("IMPORTRANGE(""https://docs.google.com/spreadsheets/d/1IYY_tgx_IHuhSq3AJ5eI5OnqOPBNLWSHKh2a30DoXe8/edit?usp=sharing"",""ปัตตานี!J291"")"),5)</f>
        <v>5</v>
      </c>
      <c r="K396" s="169">
        <f t="shared" ref="K396:K398" ca="1" si="110">IF(I396&gt;0,J396*100/I396,0)</f>
        <v>100</v>
      </c>
      <c r="L396" s="189"/>
      <c r="M396" s="189"/>
      <c r="N396" s="189"/>
      <c r="O396" s="189"/>
      <c r="P396" s="189"/>
    </row>
    <row r="397" spans="1:16" ht="21.75" customHeight="1" x14ac:dyDescent="0.35">
      <c r="A397" s="183"/>
      <c r="B397" s="184"/>
      <c r="C397" s="184"/>
      <c r="D397" s="201"/>
      <c r="E397" s="206"/>
      <c r="F397" s="203"/>
      <c r="G397" s="204" t="s">
        <v>53</v>
      </c>
      <c r="H397" s="194" t="s">
        <v>122</v>
      </c>
      <c r="I397" s="195">
        <f ca="1">IFERROR(__xludf.DUMMYFUNCTION("IMPORTRANGE(""https://docs.google.com/spreadsheets/d/1IYY_tgx_IHuhSq3AJ5eI5OnqOPBNLWSHKh2a30DoXe8/edit?usp=sharing"",""ปัตตานี!I292"")"),50)</f>
        <v>50</v>
      </c>
      <c r="J397" s="205">
        <f ca="1">IFERROR(__xludf.DUMMYFUNCTION("IMPORTRANGE(""https://docs.google.com/spreadsheets/d/1IYY_tgx_IHuhSq3AJ5eI5OnqOPBNLWSHKh2a30DoXe8/edit?usp=sharing"",""ปัตตานี!J292"")"),0)</f>
        <v>0</v>
      </c>
      <c r="K397" s="169">
        <f t="shared" ca="1" si="110"/>
        <v>0</v>
      </c>
      <c r="L397" s="189"/>
      <c r="M397" s="189"/>
      <c r="N397" s="189"/>
      <c r="O397" s="189"/>
      <c r="P397" s="189"/>
    </row>
    <row r="398" spans="1:16" ht="21.75" customHeight="1" x14ac:dyDescent="0.35">
      <c r="A398" s="183"/>
      <c r="B398" s="184"/>
      <c r="C398" s="184"/>
      <c r="D398" s="201"/>
      <c r="E398" s="206"/>
      <c r="F398" s="203"/>
      <c r="G398" s="204"/>
      <c r="H398" s="194" t="s">
        <v>37</v>
      </c>
      <c r="I398" s="195">
        <f ca="1">IFERROR(__xludf.DUMMYFUNCTION("IMPORTRANGE(""https://docs.google.com/spreadsheets/d/1IYY_tgx_IHuhSq3AJ5eI5OnqOPBNLWSHKh2a30DoXe8/edit?usp=sharing"",""ปัตตานี!I293"")"),5)</f>
        <v>5</v>
      </c>
      <c r="J398" s="205">
        <f ca="1">IFERROR(__xludf.DUMMYFUNCTION("IMPORTRANGE(""https://docs.google.com/spreadsheets/d/1IYY_tgx_IHuhSq3AJ5eI5OnqOPBNLWSHKh2a30DoXe8/edit?usp=sharing"",""ปัตตานี!J293"")"),0)</f>
        <v>0</v>
      </c>
      <c r="K398" s="169">
        <f t="shared" ca="1" si="110"/>
        <v>0</v>
      </c>
      <c r="L398" s="189"/>
      <c r="M398" s="189"/>
      <c r="N398" s="189"/>
      <c r="O398" s="189"/>
      <c r="P398" s="189"/>
    </row>
    <row r="399" spans="1:16" ht="21.75" customHeight="1" x14ac:dyDescent="0.35">
      <c r="A399" s="183"/>
      <c r="B399" s="184"/>
      <c r="C399" s="184"/>
      <c r="D399" s="201"/>
      <c r="E399" s="202" t="s">
        <v>54</v>
      </c>
      <c r="F399" s="203"/>
      <c r="G399" s="204"/>
      <c r="H399" s="194"/>
      <c r="I399" s="195"/>
      <c r="J399" s="205">
        <f ca="1">IFERROR(__xludf.DUMMYFUNCTION("IMPORTRANGE(""https://docs.google.com/spreadsheets/d/1IYY_tgx_IHuhSq3AJ5eI5OnqOPBNLWSHKh2a30DoXe8/edit?usp=sharing"",""ปัตตานี!J294"")"),0)</f>
        <v>0</v>
      </c>
      <c r="K399" s="169"/>
      <c r="L399" s="189"/>
      <c r="M399" s="189"/>
      <c r="N399" s="189"/>
      <c r="O399" s="189"/>
      <c r="P399" s="189"/>
    </row>
    <row r="400" spans="1:16" ht="21.75" customHeight="1" x14ac:dyDescent="0.35">
      <c r="A400" s="183"/>
      <c r="B400" s="184"/>
      <c r="C400" s="184"/>
      <c r="D400" s="213">
        <v>3</v>
      </c>
      <c r="E400" s="214" t="s">
        <v>55</v>
      </c>
      <c r="F400" s="215"/>
      <c r="G400" s="216"/>
      <c r="H400" s="194"/>
      <c r="I400" s="195"/>
      <c r="J400" s="217">
        <f ca="1">IFERROR(__xludf.DUMMYFUNCTION("IMPORTRANGE(""https://docs.google.com/spreadsheets/d/1IYY_tgx_IHuhSq3AJ5eI5OnqOPBNLWSHKh2a30DoXe8/edit?usp=sharing"",""ปัตตานี!J295"")"),0)</f>
        <v>0</v>
      </c>
      <c r="K400" s="169"/>
      <c r="L400" s="189"/>
      <c r="M400" s="189"/>
      <c r="N400" s="189"/>
      <c r="O400" s="189"/>
      <c r="P400" s="189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IFERROR(__xludf.DUMMYFUNCTION("IMPORTRANGE(""https://docs.google.com/spreadsheets/d/1IYY_tgx_IHuhSq3AJ5eI5OnqOPBNLWSHKh2a30DoXe8/edit?usp=sharing"",""ปัตตานี!I296"")"),105)</f>
        <v>105</v>
      </c>
      <c r="J401" s="377">
        <f ca="1">IFERROR(__xludf.DUMMYFUNCTION("IMPORTRANGE(""https://docs.google.com/spreadsheets/d/1IYY_tgx_IHuhSq3AJ5eI5OnqOPBNLWSHKh2a30DoXe8/edit?usp=sharing"",""ปัตตานี!J296"")"),105)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IFERROR(__xludf.DUMMYFUNCTION("IMPORTRANGE(""https://docs.google.com/spreadsheets/d/1IYY_tgx_IHuhSq3AJ5eI5OnqOPBNLWSHKh2a30DoXe8/edit?usp=sharing"",""ปัตตานี!L296"")"),131710)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IFERROR(__xludf.DUMMYFUNCTION("IMPORTRANGE(""https://docs.google.com/spreadsheets/d/1IYY_tgx_IHuhSq3AJ5eI5OnqOPBNLWSHKh2a30DoXe8/edit?usp=sharing"",""ปัตตานี!M296"")"),126370)</f>
        <v>126370</v>
      </c>
      <c r="O401" s="379">
        <f ca="1">+IF(L401&gt;0,N401*100/L401,0)</f>
        <v>95.945638144408164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IFERROR(__xludf.DUMMYFUNCTION("IMPORTRANGE(""https://docs.google.com/spreadsheets/d/1IYY_tgx_IHuhSq3AJ5eI5OnqOPBNLWSHKh2a30DoXe8/edit?usp=sharing"",""ปัตตานี!I297"")"),35)</f>
        <v>35</v>
      </c>
      <c r="J402" s="377">
        <f ca="1">IFERROR(__xludf.DUMMYFUNCTION("IMPORTRANGE(""https://docs.google.com/spreadsheets/d/1IYY_tgx_IHuhSq3AJ5eI5OnqOPBNLWSHKh2a30DoXe8/edit?usp=sharing"",""ปัตตานี!J297"")"),35)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164" t="s">
        <v>38</v>
      </c>
      <c r="E403" s="165"/>
      <c r="F403" s="165"/>
      <c r="G403" s="166" t="s">
        <v>39</v>
      </c>
      <c r="H403" s="167" t="s">
        <v>12</v>
      </c>
      <c r="I403" s="168" t="s">
        <v>40</v>
      </c>
      <c r="J403" s="168"/>
      <c r="K403" s="169"/>
      <c r="L403" s="170">
        <f ca="1">IFERROR(__xludf.DUMMYFUNCTION("IMPORTRANGE(""https://docs.google.com/spreadsheets/d/1IYY_tgx_IHuhSq3AJ5eI5OnqOPBNLWSHKh2a30DoXe8/edit?usp=sharing"",""ปัตตานี!L298"")"),0)</f>
        <v>0</v>
      </c>
      <c r="M403" s="170"/>
      <c r="N403" s="176">
        <f ca="1">IFERROR(__xludf.DUMMYFUNCTION("IMPORTRANGE(""https://docs.google.com/spreadsheets/d/1IYY_tgx_IHuhSq3AJ5eI5OnqOPBNLWSHKh2a30DoXe8/edit?usp=sharing"",""ปัตตานี!M298"")"),0)</f>
        <v>0</v>
      </c>
      <c r="O403" s="176">
        <f t="shared" ref="O403:O406" ca="1" si="112">+IF(L403&gt;0,N403*100/L403,0)</f>
        <v>0</v>
      </c>
      <c r="P403" s="176"/>
    </row>
    <row r="404" spans="1:16" ht="21.75" customHeight="1" x14ac:dyDescent="0.35">
      <c r="A404" s="162"/>
      <c r="B404" s="163"/>
      <c r="C404" s="163"/>
      <c r="D404" s="172"/>
      <c r="E404" s="165"/>
      <c r="F404" s="165" t="s">
        <v>40</v>
      </c>
      <c r="G404" s="166" t="s">
        <v>41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IFERROR(__xludf.DUMMYFUNCTION("IMPORTRANGE(""https://docs.google.com/spreadsheets/d/1IYY_tgx_IHuhSq3AJ5eI5OnqOPBNLWSHKh2a30DoXe8/edit?usp=sharing"",""ปัตตานี!L299"")"),131710)</f>
        <v>131710</v>
      </c>
      <c r="M404" s="171"/>
      <c r="N404" s="176">
        <f ca="1">IFERROR(__xludf.DUMMYFUNCTION("IMPORTRANGE(""https://docs.google.com/spreadsheets/d/1IYY_tgx_IHuhSq3AJ5eI5OnqOPBNLWSHKh2a30DoXe8/edit?usp=sharing"",""ปัตตานี!M299"")"),126370)</f>
        <v>126370</v>
      </c>
      <c r="O404" s="176">
        <f t="shared" ca="1" si="112"/>
        <v>95.945638144408164</v>
      </c>
      <c r="P404" s="176"/>
    </row>
    <row r="405" spans="1:16" ht="21.75" customHeight="1" x14ac:dyDescent="0.35">
      <c r="A405" s="162"/>
      <c r="B405" s="163"/>
      <c r="C405" s="163"/>
      <c r="D405" s="172"/>
      <c r="E405" s="165"/>
      <c r="F405" s="165"/>
      <c r="G405" s="380" t="s">
        <v>129</v>
      </c>
      <c r="H405" s="167" t="s">
        <v>12</v>
      </c>
      <c r="I405" s="168"/>
      <c r="J405" s="168"/>
      <c r="K405" s="169"/>
      <c r="L405" s="176">
        <f ca="1">IFERROR(__xludf.DUMMYFUNCTION("IMPORTRANGE(""https://docs.google.com/spreadsheets/d/1IYY_tgx_IHuhSq3AJ5eI5OnqOPBNLWSHKh2a30DoXe8/edit?usp=sharing"",""ปัตตานี!L300"")"),0)</f>
        <v>0</v>
      </c>
      <c r="M405" s="176"/>
      <c r="N405" s="176">
        <f ca="1">IFERROR(__xludf.DUMMYFUNCTION("IMPORTRANGE(""https://docs.google.com/spreadsheets/d/1IYY_tgx_IHuhSq3AJ5eI5OnqOPBNLWSHKh2a30DoXe8/edit?usp=sharing"",""ปัตตานี!M300"")"),0)</f>
        <v>0</v>
      </c>
      <c r="O405" s="176">
        <f t="shared" ca="1" si="112"/>
        <v>0</v>
      </c>
      <c r="P405" s="176"/>
    </row>
    <row r="406" spans="1:16" ht="21.75" customHeight="1" x14ac:dyDescent="0.35">
      <c r="A406" s="162"/>
      <c r="B406" s="163"/>
      <c r="C406" s="163"/>
      <c r="D406" s="172"/>
      <c r="E406" s="165"/>
      <c r="F406" s="165"/>
      <c r="G406" s="380" t="s">
        <v>130</v>
      </c>
      <c r="H406" s="167" t="s">
        <v>12</v>
      </c>
      <c r="I406" s="168"/>
      <c r="J406" s="168"/>
      <c r="K406" s="169"/>
      <c r="L406" s="176">
        <f ca="1">IFERROR(__xludf.DUMMYFUNCTION("IMPORTRANGE(""https://docs.google.com/spreadsheets/d/1IYY_tgx_IHuhSq3AJ5eI5OnqOPBNLWSHKh2a30DoXe8/edit?usp=sharing"",""ปัตตานี!L301"")"),131710)</f>
        <v>131710</v>
      </c>
      <c r="M406" s="176"/>
      <c r="N406" s="176">
        <f ca="1">IFERROR(__xludf.DUMMYFUNCTION("IMPORTRANGE(""https://docs.google.com/spreadsheets/d/1IYY_tgx_IHuhSq3AJ5eI5OnqOPBNLWSHKh2a30DoXe8/edit?usp=sharing"",""ปัตตานี!M301"")"),126370)</f>
        <v>126370</v>
      </c>
      <c r="O406" s="176">
        <f t="shared" ca="1" si="112"/>
        <v>95.945638144408164</v>
      </c>
      <c r="P406" s="176"/>
    </row>
    <row r="407" spans="1:16" ht="21.75" customHeight="1" x14ac:dyDescent="0.35">
      <c r="A407" s="381"/>
      <c r="B407" s="382"/>
      <c r="C407" s="163"/>
      <c r="D407" s="383"/>
      <c r="E407" s="165"/>
      <c r="F407" s="165"/>
      <c r="G407" s="384" t="s">
        <v>131</v>
      </c>
      <c r="H407" s="167" t="s">
        <v>12</v>
      </c>
      <c r="I407" s="195"/>
      <c r="J407" s="195"/>
      <c r="K407" s="231"/>
      <c r="L407" s="176"/>
      <c r="M407" s="176"/>
      <c r="N407" s="385">
        <f ca="1">IFERROR(__xludf.DUMMYFUNCTION("IMPORTRANGE(""https://docs.google.com/spreadsheets/d/1IYY_tgx_IHuhSq3AJ5eI5OnqOPBNLWSHKh2a30DoXe8/edit?usp=sharing"",""ปัตตานี!M302"")"),78850)</f>
        <v>78850</v>
      </c>
      <c r="O407" s="176"/>
      <c r="P407" s="176"/>
    </row>
    <row r="408" spans="1:16" ht="21.75" customHeight="1" x14ac:dyDescent="0.35">
      <c r="A408" s="381"/>
      <c r="B408" s="382"/>
      <c r="C408" s="163"/>
      <c r="D408" s="383"/>
      <c r="E408" s="165"/>
      <c r="F408" s="165"/>
      <c r="G408" s="384" t="s">
        <v>132</v>
      </c>
      <c r="H408" s="167" t="s">
        <v>12</v>
      </c>
      <c r="I408" s="195"/>
      <c r="J408" s="195"/>
      <c r="K408" s="231"/>
      <c r="L408" s="176"/>
      <c r="M408" s="176"/>
      <c r="N408" s="385">
        <f ca="1">IFERROR(__xludf.DUMMYFUNCTION("IMPORTRANGE(""https://docs.google.com/spreadsheets/d/1IYY_tgx_IHuhSq3AJ5eI5OnqOPBNLWSHKh2a30DoXe8/edit?usp=sharing"",""ปัตตานี!M303"")"),25500)</f>
        <v>25500</v>
      </c>
      <c r="O408" s="176"/>
      <c r="P408" s="176"/>
    </row>
    <row r="409" spans="1:16" ht="21.75" customHeight="1" x14ac:dyDescent="0.35">
      <c r="A409" s="381"/>
      <c r="B409" s="382"/>
      <c r="C409" s="163"/>
      <c r="D409" s="383"/>
      <c r="E409" s="165"/>
      <c r="F409" s="165"/>
      <c r="G409" s="384" t="s">
        <v>133</v>
      </c>
      <c r="H409" s="167" t="s">
        <v>12</v>
      </c>
      <c r="I409" s="195"/>
      <c r="J409" s="195"/>
      <c r="K409" s="231"/>
      <c r="L409" s="176"/>
      <c r="M409" s="176"/>
      <c r="N409" s="385">
        <f ca="1">IFERROR(__xludf.DUMMYFUNCTION("IMPORTRANGE(""https://docs.google.com/spreadsheets/d/1IYY_tgx_IHuhSq3AJ5eI5OnqOPBNLWSHKh2a30DoXe8/edit?usp=sharing"",""ปัตตานี!M304"")"),0)</f>
        <v>0</v>
      </c>
      <c r="O409" s="176"/>
      <c r="P409" s="176"/>
    </row>
    <row r="410" spans="1:16" ht="21.75" customHeight="1" x14ac:dyDescent="0.35">
      <c r="A410" s="381"/>
      <c r="B410" s="382"/>
      <c r="C410" s="163"/>
      <c r="D410" s="383"/>
      <c r="E410" s="165"/>
      <c r="F410" s="165"/>
      <c r="G410" s="384" t="s">
        <v>134</v>
      </c>
      <c r="H410" s="167" t="s">
        <v>12</v>
      </c>
      <c r="I410" s="195"/>
      <c r="J410" s="195"/>
      <c r="K410" s="231"/>
      <c r="L410" s="176"/>
      <c r="M410" s="176"/>
      <c r="N410" s="385">
        <f ca="1">IFERROR(__xludf.DUMMYFUNCTION("IMPORTRANGE(""https://docs.google.com/spreadsheets/d/1IYY_tgx_IHuhSq3AJ5eI5OnqOPBNLWSHKh2a30DoXe8/edit?usp=sharing"",""ปัตตานี!M305"")"),22020)</f>
        <v>22020</v>
      </c>
      <c r="O410" s="176"/>
      <c r="P410" s="176"/>
    </row>
    <row r="411" spans="1:16" ht="21.75" customHeight="1" x14ac:dyDescent="0.35">
      <c r="A411" s="183"/>
      <c r="B411" s="184"/>
      <c r="C411" s="163" t="s">
        <v>16</v>
      </c>
      <c r="D411" s="185" t="s">
        <v>44</v>
      </c>
      <c r="E411" s="186"/>
      <c r="F411" s="186"/>
      <c r="G411" s="187"/>
      <c r="H411" s="188"/>
      <c r="I411" s="168"/>
      <c r="J411" s="168"/>
      <c r="K411" s="169"/>
      <c r="L411" s="189"/>
      <c r="M411" s="189"/>
      <c r="N411" s="189"/>
      <c r="O411" s="189"/>
      <c r="P411" s="189"/>
    </row>
    <row r="412" spans="1:16" ht="21.75" customHeight="1" x14ac:dyDescent="0.35">
      <c r="A412" s="183"/>
      <c r="B412" s="184"/>
      <c r="C412" s="184"/>
      <c r="D412" s="190">
        <v>1</v>
      </c>
      <c r="E412" s="191" t="s">
        <v>45</v>
      </c>
      <c r="F412" s="192"/>
      <c r="G412" s="193"/>
      <c r="H412" s="194"/>
      <c r="I412" s="195"/>
      <c r="J412" s="205">
        <f ca="1">IFERROR(__xludf.DUMMYFUNCTION("IMPORTRANGE(""https://docs.google.com/spreadsheets/d/1IYY_tgx_IHuhSq3AJ5eI5OnqOPBNLWSHKh2a30DoXe8/edit?usp=sharing"",""ปัตตานี!J307"")"),0)</f>
        <v>0</v>
      </c>
      <c r="K412" s="169"/>
      <c r="L412" s="189"/>
      <c r="M412" s="189"/>
      <c r="N412" s="189"/>
      <c r="O412" s="189"/>
      <c r="P412" s="189"/>
    </row>
    <row r="413" spans="1:16" ht="21.75" customHeight="1" x14ac:dyDescent="0.35">
      <c r="A413" s="183"/>
      <c r="B413" s="184"/>
      <c r="C413" s="184"/>
      <c r="D413" s="197">
        <v>2</v>
      </c>
      <c r="E413" s="198" t="s">
        <v>46</v>
      </c>
      <c r="F413" s="199"/>
      <c r="G413" s="200"/>
      <c r="H413" s="194"/>
      <c r="I413" s="195"/>
      <c r="J413" s="196">
        <f ca="1">IFERROR(__xludf.DUMMYFUNCTION("IMPORTRANGE(""https://docs.google.com/spreadsheets/d/1IYY_tgx_IHuhSq3AJ5eI5OnqOPBNLWSHKh2a30DoXe8/edit?usp=sharing"",""ปัตตานี!J308"")"),1)</f>
        <v>1</v>
      </c>
      <c r="K413" s="169"/>
      <c r="L413" s="189" t="s">
        <v>40</v>
      </c>
      <c r="M413" s="189"/>
      <c r="N413" s="189" t="s">
        <v>40</v>
      </c>
      <c r="O413" s="189"/>
      <c r="P413" s="189"/>
    </row>
    <row r="414" spans="1:16" ht="21.75" customHeight="1" x14ac:dyDescent="0.35">
      <c r="A414" s="183"/>
      <c r="B414" s="184"/>
      <c r="C414" s="184"/>
      <c r="D414" s="201"/>
      <c r="E414" s="202" t="s">
        <v>47</v>
      </c>
      <c r="F414" s="203"/>
      <c r="G414" s="204"/>
      <c r="H414" s="194"/>
      <c r="I414" s="195"/>
      <c r="J414" s="196">
        <f ca="1">IFERROR(__xludf.DUMMYFUNCTION("IMPORTRANGE(""https://docs.google.com/spreadsheets/d/1IYY_tgx_IHuhSq3AJ5eI5OnqOPBNLWSHKh2a30DoXe8/edit?usp=sharing"",""ปัตตานี!J309"")"),1)</f>
        <v>1</v>
      </c>
      <c r="K414" s="169"/>
      <c r="L414" s="189"/>
      <c r="M414" s="189"/>
      <c r="N414" s="189"/>
      <c r="O414" s="189"/>
      <c r="P414" s="189"/>
    </row>
    <row r="415" spans="1:16" ht="21.75" customHeight="1" x14ac:dyDescent="0.35">
      <c r="A415" s="183"/>
      <c r="B415" s="184"/>
      <c r="C415" s="184"/>
      <c r="D415" s="201"/>
      <c r="E415" s="202" t="s">
        <v>48</v>
      </c>
      <c r="F415" s="203"/>
      <c r="G415" s="204"/>
      <c r="H415" s="194"/>
      <c r="I415" s="195"/>
      <c r="J415" s="205">
        <f ca="1">IFERROR(__xludf.DUMMYFUNCTION("IMPORTRANGE(""https://docs.google.com/spreadsheets/d/1IYY_tgx_IHuhSq3AJ5eI5OnqOPBNLWSHKh2a30DoXe8/edit?usp=sharing"",""ปัตตานี!J310"")"),1)</f>
        <v>1</v>
      </c>
      <c r="K415" s="169"/>
      <c r="L415" s="189"/>
      <c r="M415" s="189"/>
      <c r="N415" s="189"/>
      <c r="O415" s="189"/>
      <c r="P415" s="189"/>
    </row>
    <row r="416" spans="1:16" ht="21.75" customHeight="1" x14ac:dyDescent="0.35">
      <c r="A416" s="183"/>
      <c r="B416" s="184"/>
      <c r="C416" s="184"/>
      <c r="D416" s="201"/>
      <c r="E416" s="206"/>
      <c r="F416" s="202" t="s">
        <v>70</v>
      </c>
      <c r="G416" s="394"/>
      <c r="H416" s="395" t="s">
        <v>37</v>
      </c>
      <c r="I416" s="208">
        <f ca="1">IFERROR(__xludf.DUMMYFUNCTION("IMPORTRANGE(""https://docs.google.com/spreadsheets/d/1IYY_tgx_IHuhSq3AJ5eI5OnqOPBNLWSHKh2a30DoXe8/edit?usp=sharing"",""ปัตตานี!I311"")"),35)</f>
        <v>35</v>
      </c>
      <c r="J416" s="208">
        <f ca="1">IFERROR(__xludf.DUMMYFUNCTION("IMPORTRANGE(""https://docs.google.com/spreadsheets/d/1IYY_tgx_IHuhSq3AJ5eI5OnqOPBNLWSHKh2a30DoXe8/edit?usp=sharing"",""ปัตตานี!J311"")"),35)</f>
        <v>35</v>
      </c>
      <c r="K416" s="209">
        <f t="shared" ref="K416:K432" ca="1" si="113">IF(I416&gt;0,J416*100/I416,0)</f>
        <v>100</v>
      </c>
      <c r="L416" s="189"/>
      <c r="M416" s="189"/>
      <c r="N416" s="189"/>
      <c r="O416" s="189"/>
      <c r="P416" s="189"/>
    </row>
    <row r="417" spans="1:16" ht="21.75" customHeight="1" x14ac:dyDescent="0.45">
      <c r="A417" s="183"/>
      <c r="B417" s="184"/>
      <c r="C417" s="184"/>
      <c r="D417" s="201"/>
      <c r="E417" s="206"/>
      <c r="F417" s="396" t="s">
        <v>148</v>
      </c>
      <c r="G417" s="204"/>
      <c r="H417" s="207" t="s">
        <v>37</v>
      </c>
      <c r="I417" s="397">
        <f ca="1">IFERROR(__xludf.DUMMYFUNCTION("IMPORTRANGE(""https://docs.google.com/spreadsheets/d/1IYY_tgx_IHuhSq3AJ5eI5OnqOPBNLWSHKh2a30DoXe8/edit?usp=sharing"",""ปัตตานี!I312"")"),10)</f>
        <v>10</v>
      </c>
      <c r="J417" s="398">
        <f ca="1">IFERROR(__xludf.DUMMYFUNCTION("IMPORTRANGE(""https://docs.google.com/spreadsheets/d/1IYY_tgx_IHuhSq3AJ5eI5OnqOPBNLWSHKh2a30DoXe8/edit?usp=sharing"",""ปัตตานี!J312"")"),10)</f>
        <v>10</v>
      </c>
      <c r="K417" s="209">
        <f t="shared" ca="1" si="113"/>
        <v>100</v>
      </c>
      <c r="L417" s="189"/>
      <c r="M417" s="189"/>
      <c r="N417" s="189"/>
      <c r="O417" s="189"/>
      <c r="P417" s="189"/>
    </row>
    <row r="418" spans="1:16" ht="21.75" customHeight="1" x14ac:dyDescent="0.45">
      <c r="A418" s="183"/>
      <c r="B418" s="184"/>
      <c r="C418" s="184"/>
      <c r="D418" s="201"/>
      <c r="E418" s="206"/>
      <c r="F418" s="203"/>
      <c r="G418" s="204"/>
      <c r="H418" s="207" t="s">
        <v>122</v>
      </c>
      <c r="I418" s="397">
        <f ca="1">IFERROR(__xludf.DUMMYFUNCTION("IMPORTRANGE(""https://docs.google.com/spreadsheets/d/1IYY_tgx_IHuhSq3AJ5eI5OnqOPBNLWSHKh2a30DoXe8/edit?usp=sharing"",""ปัตตานี!I313"")"),30)</f>
        <v>30</v>
      </c>
      <c r="J418" s="399">
        <f ca="1">IFERROR(__xludf.DUMMYFUNCTION("IMPORTRANGE(""https://docs.google.com/spreadsheets/d/1IYY_tgx_IHuhSq3AJ5eI5OnqOPBNLWSHKh2a30DoXe8/edit?usp=sharing"",""ปัตตานี!J313"")"),30)</f>
        <v>30</v>
      </c>
      <c r="K418" s="209">
        <f t="shared" ca="1" si="113"/>
        <v>100</v>
      </c>
      <c r="L418" s="189"/>
      <c r="M418" s="189"/>
      <c r="N418" s="189"/>
      <c r="O418" s="189"/>
      <c r="P418" s="189"/>
    </row>
    <row r="419" spans="1:16" ht="21.75" customHeight="1" x14ac:dyDescent="0.45">
      <c r="A419" s="183"/>
      <c r="B419" s="184"/>
      <c r="C419" s="184"/>
      <c r="D419" s="201"/>
      <c r="E419" s="206"/>
      <c r="F419" s="203"/>
      <c r="G419" s="233" t="s">
        <v>149</v>
      </c>
      <c r="H419" s="188" t="s">
        <v>37</v>
      </c>
      <c r="I419" s="347">
        <f ca="1">IFERROR(__xludf.DUMMYFUNCTION("IMPORTRANGE(""https://docs.google.com/spreadsheets/d/1IYY_tgx_IHuhSq3AJ5eI5OnqOPBNLWSHKh2a30DoXe8/edit?usp=sharing"",""ปัตตานี!I314"")"),10)</f>
        <v>10</v>
      </c>
      <c r="J419" s="400">
        <f ca="1">IFERROR(__xludf.DUMMYFUNCTION("IMPORTRANGE(""https://docs.google.com/spreadsheets/d/1IYY_tgx_IHuhSq3AJ5eI5OnqOPBNLWSHKh2a30DoXe8/edit?usp=sharing"",""ปัตตานี!J314"")"),10)</f>
        <v>10</v>
      </c>
      <c r="K419" s="169">
        <f t="shared" ca="1" si="113"/>
        <v>100</v>
      </c>
      <c r="L419" s="189"/>
      <c r="M419" s="189"/>
      <c r="N419" s="189"/>
      <c r="O419" s="189"/>
      <c r="P419" s="189"/>
    </row>
    <row r="420" spans="1:16" ht="21.75" customHeight="1" x14ac:dyDescent="0.45">
      <c r="A420" s="241"/>
      <c r="B420" s="242"/>
      <c r="C420" s="242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IFERROR(__xludf.DUMMYFUNCTION("IMPORTRANGE(""https://docs.google.com/spreadsheets/d/1IYY_tgx_IHuhSq3AJ5eI5OnqOPBNLWSHKh2a30DoXe8/edit?usp=sharing"",""ปัตตานี!I315"")"),10)</f>
        <v>10</v>
      </c>
      <c r="J420" s="400">
        <f ca="1">IFERROR(__xludf.DUMMYFUNCTION("IMPORTRANGE(""https://docs.google.com/spreadsheets/d/1IYY_tgx_IHuhSq3AJ5eI5OnqOPBNLWSHKh2a30DoXe8/edit?usp=sharing"",""ปัตตานี!J315"")"),10)</f>
        <v>10</v>
      </c>
      <c r="K420" s="294">
        <f t="shared" ca="1" si="113"/>
        <v>100</v>
      </c>
      <c r="L420" s="252"/>
      <c r="M420" s="252"/>
      <c r="N420" s="252"/>
      <c r="O420" s="252"/>
      <c r="P420" s="252"/>
    </row>
    <row r="421" spans="1:16" ht="21.75" customHeight="1" x14ac:dyDescent="0.45">
      <c r="A421" s="183"/>
      <c r="B421" s="184"/>
      <c r="C421" s="184"/>
      <c r="D421" s="201"/>
      <c r="E421" s="206"/>
      <c r="F421" s="396" t="s">
        <v>151</v>
      </c>
      <c r="G421" s="204"/>
      <c r="H421" s="207" t="s">
        <v>37</v>
      </c>
      <c r="I421" s="397">
        <f ca="1">IFERROR(__xludf.DUMMYFUNCTION("IMPORTRANGE(""https://docs.google.com/spreadsheets/d/1IYY_tgx_IHuhSq3AJ5eI5OnqOPBNLWSHKh2a30DoXe8/edit?usp=sharing"",""ปัตตานี!I316"")"),15)</f>
        <v>15</v>
      </c>
      <c r="J421" s="398">
        <f ca="1">IFERROR(__xludf.DUMMYFUNCTION("IMPORTRANGE(""https://docs.google.com/spreadsheets/d/1IYY_tgx_IHuhSq3AJ5eI5OnqOPBNLWSHKh2a30DoXe8/edit?usp=sharing"",""ปัตตานี!J316"")"),15)</f>
        <v>15</v>
      </c>
      <c r="K421" s="209">
        <f t="shared" ca="1" si="113"/>
        <v>100</v>
      </c>
      <c r="L421" s="189"/>
      <c r="M421" s="189"/>
      <c r="N421" s="189"/>
      <c r="O421" s="189"/>
      <c r="P421" s="189"/>
    </row>
    <row r="422" spans="1:16" ht="21.75" customHeight="1" x14ac:dyDescent="0.45">
      <c r="A422" s="183"/>
      <c r="B422" s="184"/>
      <c r="C422" s="184"/>
      <c r="D422" s="201"/>
      <c r="E422" s="206"/>
      <c r="F422" s="203"/>
      <c r="G422" s="204"/>
      <c r="H422" s="207" t="s">
        <v>122</v>
      </c>
      <c r="I422" s="397">
        <f ca="1">IFERROR(__xludf.DUMMYFUNCTION("IMPORTRANGE(""https://docs.google.com/spreadsheets/d/1IYY_tgx_IHuhSq3AJ5eI5OnqOPBNLWSHKh2a30DoXe8/edit?usp=sharing"",""ปัตตานี!I317"")"),45)</f>
        <v>45</v>
      </c>
      <c r="J422" s="399">
        <f ca="1">IFERROR(__xludf.DUMMYFUNCTION("IMPORTRANGE(""https://docs.google.com/spreadsheets/d/1IYY_tgx_IHuhSq3AJ5eI5OnqOPBNLWSHKh2a30DoXe8/edit?usp=sharing"",""ปัตตานี!J317"")"),45)</f>
        <v>45</v>
      </c>
      <c r="K422" s="209">
        <f t="shared" ca="1" si="113"/>
        <v>100</v>
      </c>
      <c r="L422" s="189"/>
      <c r="M422" s="189"/>
      <c r="N422" s="189"/>
      <c r="O422" s="189"/>
      <c r="P422" s="189"/>
    </row>
    <row r="423" spans="1:16" ht="21.75" customHeight="1" x14ac:dyDescent="0.45">
      <c r="A423" s="183"/>
      <c r="B423" s="184"/>
      <c r="C423" s="184"/>
      <c r="D423" s="201"/>
      <c r="E423" s="206"/>
      <c r="F423" s="203"/>
      <c r="G423" s="233" t="s">
        <v>152</v>
      </c>
      <c r="H423" s="188" t="s">
        <v>37</v>
      </c>
      <c r="I423" s="347">
        <f ca="1">IFERROR(__xludf.DUMMYFUNCTION("IMPORTRANGE(""https://docs.google.com/spreadsheets/d/1IYY_tgx_IHuhSq3AJ5eI5OnqOPBNLWSHKh2a30DoXe8/edit?usp=sharing"",""ปัตตานี!I318"")"),15)</f>
        <v>15</v>
      </c>
      <c r="J423" s="400">
        <f ca="1">IFERROR(__xludf.DUMMYFUNCTION("IMPORTRANGE(""https://docs.google.com/spreadsheets/d/1IYY_tgx_IHuhSq3AJ5eI5OnqOPBNLWSHKh2a30DoXe8/edit?usp=sharing"",""ปัตตานี!J318"")"),15)</f>
        <v>15</v>
      </c>
      <c r="K423" s="169">
        <f t="shared" ca="1" si="113"/>
        <v>100</v>
      </c>
      <c r="L423" s="189"/>
      <c r="M423" s="189"/>
      <c r="N423" s="189"/>
      <c r="O423" s="189"/>
      <c r="P423" s="189"/>
    </row>
    <row r="424" spans="1:16" ht="21.75" customHeight="1" x14ac:dyDescent="0.45">
      <c r="A424" s="183"/>
      <c r="B424" s="184"/>
      <c r="C424" s="184"/>
      <c r="D424" s="201"/>
      <c r="E424" s="206"/>
      <c r="F424" s="203"/>
      <c r="G424" s="233" t="s">
        <v>153</v>
      </c>
      <c r="H424" s="188" t="s">
        <v>37</v>
      </c>
      <c r="I424" s="347">
        <f ca="1">IFERROR(__xludf.DUMMYFUNCTION("IMPORTRANGE(""https://docs.google.com/spreadsheets/d/1IYY_tgx_IHuhSq3AJ5eI5OnqOPBNLWSHKh2a30DoXe8/edit?usp=sharing"",""ปัตตานี!I319"")"),15)</f>
        <v>15</v>
      </c>
      <c r="J424" s="400">
        <f ca="1">IFERROR(__xludf.DUMMYFUNCTION("IMPORTRANGE(""https://docs.google.com/spreadsheets/d/1IYY_tgx_IHuhSq3AJ5eI5OnqOPBNLWSHKh2a30DoXe8/edit?usp=sharing"",""ปัตตานี!J319"")"),15)</f>
        <v>15</v>
      </c>
      <c r="K424" s="169">
        <f t="shared" ca="1" si="113"/>
        <v>100</v>
      </c>
      <c r="L424" s="189"/>
      <c r="M424" s="189"/>
      <c r="N424" s="189"/>
      <c r="O424" s="189"/>
      <c r="P424" s="189"/>
    </row>
    <row r="425" spans="1:16" ht="21.75" customHeight="1" x14ac:dyDescent="0.45">
      <c r="A425" s="183"/>
      <c r="B425" s="184"/>
      <c r="C425" s="184"/>
      <c r="D425" s="201"/>
      <c r="E425" s="206"/>
      <c r="F425" s="203"/>
      <c r="G425" s="233" t="s">
        <v>154</v>
      </c>
      <c r="H425" s="188" t="s">
        <v>37</v>
      </c>
      <c r="I425" s="347">
        <f ca="1">IFERROR(__xludf.DUMMYFUNCTION("IMPORTRANGE(""https://docs.google.com/spreadsheets/d/1IYY_tgx_IHuhSq3AJ5eI5OnqOPBNLWSHKh2a30DoXe8/edit?usp=sharing"",""ปัตตานี!I320"")"),15)</f>
        <v>15</v>
      </c>
      <c r="J425" s="400">
        <f ca="1">IFERROR(__xludf.DUMMYFUNCTION("IMPORTRANGE(""https://docs.google.com/spreadsheets/d/1IYY_tgx_IHuhSq3AJ5eI5OnqOPBNLWSHKh2a30DoXe8/edit?usp=sharing"",""ปัตตานี!J320"")"),15)</f>
        <v>15</v>
      </c>
      <c r="K425" s="169">
        <f t="shared" ca="1" si="113"/>
        <v>100</v>
      </c>
      <c r="L425" s="189"/>
      <c r="M425" s="189"/>
      <c r="N425" s="189"/>
      <c r="O425" s="189"/>
      <c r="P425" s="189"/>
    </row>
    <row r="426" spans="1:16" ht="21.75" customHeight="1" x14ac:dyDescent="0.45">
      <c r="A426" s="183"/>
      <c r="B426" s="184"/>
      <c r="C426" s="184"/>
      <c r="D426" s="201"/>
      <c r="E426" s="206"/>
      <c r="F426" s="405" t="s">
        <v>155</v>
      </c>
      <c r="G426" s="204"/>
      <c r="H426" s="207" t="s">
        <v>37</v>
      </c>
      <c r="I426" s="397">
        <f ca="1">IFERROR(__xludf.DUMMYFUNCTION("IMPORTRANGE(""https://docs.google.com/spreadsheets/d/1IYY_tgx_IHuhSq3AJ5eI5OnqOPBNLWSHKh2a30DoXe8/edit?usp=sharing"",""ปัตตานี!I321"")"),10)</f>
        <v>10</v>
      </c>
      <c r="J426" s="398">
        <f ca="1">IFERROR(__xludf.DUMMYFUNCTION("IMPORTRANGE(""https://docs.google.com/spreadsheets/d/1IYY_tgx_IHuhSq3AJ5eI5OnqOPBNLWSHKh2a30DoXe8/edit?usp=sharing"",""ปัตตานี!J321"")"),10)</f>
        <v>10</v>
      </c>
      <c r="K426" s="209">
        <f t="shared" ca="1" si="113"/>
        <v>100</v>
      </c>
      <c r="L426" s="189"/>
      <c r="M426" s="189"/>
      <c r="N426" s="189"/>
      <c r="O426" s="189"/>
      <c r="P426" s="189"/>
    </row>
    <row r="427" spans="1:16" ht="21.75" customHeight="1" x14ac:dyDescent="0.45">
      <c r="A427" s="183"/>
      <c r="B427" s="184"/>
      <c r="C427" s="184"/>
      <c r="D427" s="201"/>
      <c r="E427" s="206"/>
      <c r="F427" s="203"/>
      <c r="G427" s="204"/>
      <c r="H427" s="207" t="s">
        <v>122</v>
      </c>
      <c r="I427" s="397">
        <f ca="1">IFERROR(__xludf.DUMMYFUNCTION("IMPORTRANGE(""https://docs.google.com/spreadsheets/d/1IYY_tgx_IHuhSq3AJ5eI5OnqOPBNLWSHKh2a30DoXe8/edit?usp=sharing"",""ปัตตานี!I322"")"),30)</f>
        <v>30</v>
      </c>
      <c r="J427" s="399">
        <f ca="1">IFERROR(__xludf.DUMMYFUNCTION("IMPORTRANGE(""https://docs.google.com/spreadsheets/d/1IYY_tgx_IHuhSq3AJ5eI5OnqOPBNLWSHKh2a30DoXe8/edit?usp=sharing"",""ปัตตานี!J322"")"),30)</f>
        <v>30</v>
      </c>
      <c r="K427" s="209">
        <f t="shared" ca="1" si="113"/>
        <v>100</v>
      </c>
      <c r="L427" s="189"/>
      <c r="M427" s="189"/>
      <c r="N427" s="189"/>
      <c r="O427" s="189"/>
      <c r="P427" s="189"/>
    </row>
    <row r="428" spans="1:16" ht="21.75" customHeight="1" x14ac:dyDescent="0.45">
      <c r="A428" s="183"/>
      <c r="B428" s="184"/>
      <c r="C428" s="184"/>
      <c r="D428" s="201"/>
      <c r="E428" s="206"/>
      <c r="F428" s="203"/>
      <c r="G428" s="233" t="s">
        <v>156</v>
      </c>
      <c r="H428" s="188" t="s">
        <v>37</v>
      </c>
      <c r="I428" s="406">
        <f ca="1">IFERROR(__xludf.DUMMYFUNCTION("IMPORTRANGE(""https://docs.google.com/spreadsheets/d/1IYY_tgx_IHuhSq3AJ5eI5OnqOPBNLWSHKh2a30DoXe8/edit?usp=sharing"",""ปัตตานี!I323"")"),10)</f>
        <v>10</v>
      </c>
      <c r="J428" s="400">
        <f ca="1">IFERROR(__xludf.DUMMYFUNCTION("IMPORTRANGE(""https://docs.google.com/spreadsheets/d/1IYY_tgx_IHuhSq3AJ5eI5OnqOPBNLWSHKh2a30DoXe8/edit?usp=sharing"",""ปัตตานี!J323"")"),10)</f>
        <v>10</v>
      </c>
      <c r="K428" s="169">
        <f t="shared" ca="1" si="113"/>
        <v>100</v>
      </c>
      <c r="L428" s="189"/>
      <c r="M428" s="189"/>
      <c r="N428" s="189"/>
      <c r="O428" s="189"/>
      <c r="P428" s="189"/>
    </row>
    <row r="429" spans="1:16" ht="21.75" customHeight="1" x14ac:dyDescent="0.45">
      <c r="A429" s="183"/>
      <c r="B429" s="184"/>
      <c r="C429" s="184"/>
      <c r="D429" s="201"/>
      <c r="E429" s="206"/>
      <c r="F429" s="203"/>
      <c r="G429" s="233" t="s">
        <v>157</v>
      </c>
      <c r="H429" s="188" t="s">
        <v>37</v>
      </c>
      <c r="I429" s="406">
        <f ca="1">IFERROR(__xludf.DUMMYFUNCTION("IMPORTRANGE(""https://docs.google.com/spreadsheets/d/1IYY_tgx_IHuhSq3AJ5eI5OnqOPBNLWSHKh2a30DoXe8/edit?usp=sharing"",""ปัตตานี!I324"")"),10)</f>
        <v>10</v>
      </c>
      <c r="J429" s="400">
        <f ca="1">IFERROR(__xludf.DUMMYFUNCTION("IMPORTRANGE(""https://docs.google.com/spreadsheets/d/1IYY_tgx_IHuhSq3AJ5eI5OnqOPBNLWSHKh2a30DoXe8/edit?usp=sharing"",""ปัตตานี!J324"")"),10)</f>
        <v>10</v>
      </c>
      <c r="K429" s="169">
        <f t="shared" ca="1" si="113"/>
        <v>100</v>
      </c>
      <c r="L429" s="189"/>
      <c r="M429" s="189"/>
      <c r="N429" s="189"/>
      <c r="O429" s="189"/>
      <c r="P429" s="189"/>
    </row>
    <row r="430" spans="1:16" ht="21.75" customHeight="1" x14ac:dyDescent="0.45">
      <c r="A430" s="183"/>
      <c r="B430" s="184"/>
      <c r="C430" s="184"/>
      <c r="D430" s="201"/>
      <c r="E430" s="206"/>
      <c r="F430" s="202" t="s">
        <v>53</v>
      </c>
      <c r="G430" s="394"/>
      <c r="H430" s="407" t="s">
        <v>37</v>
      </c>
      <c r="I430" s="208">
        <f ca="1">IFERROR(__xludf.DUMMYFUNCTION("IMPORTRANGE(""https://docs.google.com/spreadsheets/d/1IYY_tgx_IHuhSq3AJ5eI5OnqOPBNLWSHKh2a30DoXe8/edit?usp=sharing"",""ปัตตานี!I325"")"),25)</f>
        <v>25</v>
      </c>
      <c r="J430" s="398">
        <f ca="1">IFERROR(__xludf.DUMMYFUNCTION("IMPORTRANGE(""https://docs.google.com/spreadsheets/d/1IYY_tgx_IHuhSq3AJ5eI5OnqOPBNLWSHKh2a30DoXe8/edit?usp=sharing"",""ปัตตานี!J325"")"),25)</f>
        <v>25</v>
      </c>
      <c r="K430" s="209">
        <f t="shared" ca="1" si="113"/>
        <v>100</v>
      </c>
      <c r="L430" s="189"/>
      <c r="M430" s="189"/>
      <c r="N430" s="189"/>
      <c r="O430" s="189"/>
      <c r="P430" s="189"/>
    </row>
    <row r="431" spans="1:16" ht="21.75" customHeight="1" x14ac:dyDescent="0.45">
      <c r="A431" s="408"/>
      <c r="B431" s="409"/>
      <c r="C431" s="409"/>
      <c r="D431" s="410"/>
      <c r="E431" s="206"/>
      <c r="F431" s="203"/>
      <c r="G431" s="233" t="s">
        <v>158</v>
      </c>
      <c r="H431" s="188" t="s">
        <v>37</v>
      </c>
      <c r="I431" s="406">
        <f ca="1">IFERROR(__xludf.DUMMYFUNCTION("IMPORTRANGE(""https://docs.google.com/spreadsheets/d/1IYY_tgx_IHuhSq3AJ5eI5OnqOPBNLWSHKh2a30DoXe8/edit?usp=sharing"",""ปัตตานี!I326"")"),10)</f>
        <v>10</v>
      </c>
      <c r="J431" s="400">
        <f ca="1">IFERROR(__xludf.DUMMYFUNCTION("IMPORTRANGE(""https://docs.google.com/spreadsheets/d/1IYY_tgx_IHuhSq3AJ5eI5OnqOPBNLWSHKh2a30DoXe8/edit?usp=sharing"",""ปัตตานี!J326"")"),10)</f>
        <v>10</v>
      </c>
      <c r="K431" s="169">
        <f t="shared" ca="1" si="113"/>
        <v>100</v>
      </c>
      <c r="L431" s="189"/>
      <c r="M431" s="189"/>
      <c r="N431" s="189"/>
      <c r="O431" s="189"/>
      <c r="P431" s="189"/>
    </row>
    <row r="432" spans="1:16" ht="21.75" customHeight="1" x14ac:dyDescent="0.45">
      <c r="A432" s="408"/>
      <c r="B432" s="409"/>
      <c r="C432" s="409"/>
      <c r="D432" s="410"/>
      <c r="E432" s="206"/>
      <c r="F432" s="203"/>
      <c r="G432" s="233" t="s">
        <v>159</v>
      </c>
      <c r="H432" s="188" t="s">
        <v>37</v>
      </c>
      <c r="I432" s="406">
        <f ca="1">IFERROR(__xludf.DUMMYFUNCTION("IMPORTRANGE(""https://docs.google.com/spreadsheets/d/1IYY_tgx_IHuhSq3AJ5eI5OnqOPBNLWSHKh2a30DoXe8/edit?usp=sharing"",""ปัตตานี!I327"")"),15)</f>
        <v>15</v>
      </c>
      <c r="J432" s="400">
        <f ca="1">IFERROR(__xludf.DUMMYFUNCTION("IMPORTRANGE(""https://docs.google.com/spreadsheets/d/1IYY_tgx_IHuhSq3AJ5eI5OnqOPBNLWSHKh2a30DoXe8/edit?usp=sharing"",""ปัตตานี!J327"")"),15)</f>
        <v>15</v>
      </c>
      <c r="K432" s="169">
        <f t="shared" ca="1" si="113"/>
        <v>100</v>
      </c>
      <c r="L432" s="189"/>
      <c r="M432" s="189"/>
      <c r="N432" s="189"/>
      <c r="O432" s="189"/>
      <c r="P432" s="189"/>
    </row>
    <row r="433" spans="1:16" ht="21.75" customHeight="1" x14ac:dyDescent="0.35">
      <c r="A433" s="183"/>
      <c r="B433" s="184"/>
      <c r="C433" s="184"/>
      <c r="D433" s="201"/>
      <c r="E433" s="202" t="s">
        <v>54</v>
      </c>
      <c r="F433" s="203"/>
      <c r="G433" s="204"/>
      <c r="H433" s="194"/>
      <c r="I433" s="195"/>
      <c r="J433" s="205">
        <f ca="1">IFERROR(__xludf.DUMMYFUNCTION("IMPORTRANGE(""https://docs.google.com/spreadsheets/d/1IYY_tgx_IHuhSq3AJ5eI5OnqOPBNLWSHKh2a30DoXe8/edit?usp=sharing"",""ปัตตานี!J328"")"),0)</f>
        <v>0</v>
      </c>
      <c r="K433" s="169"/>
      <c r="L433" s="189"/>
      <c r="M433" s="189"/>
      <c r="N433" s="189"/>
      <c r="O433" s="189"/>
      <c r="P433" s="189"/>
    </row>
    <row r="434" spans="1:16" ht="21.75" customHeight="1" x14ac:dyDescent="0.35">
      <c r="A434" s="183"/>
      <c r="B434" s="184"/>
      <c r="C434" s="184"/>
      <c r="D434" s="213">
        <v>3</v>
      </c>
      <c r="E434" s="214" t="s">
        <v>55</v>
      </c>
      <c r="F434" s="215"/>
      <c r="G434" s="216"/>
      <c r="H434" s="194"/>
      <c r="I434" s="195"/>
      <c r="J434" s="217">
        <f ca="1">IFERROR(__xludf.DUMMYFUNCTION("IMPORTRANGE(""https://docs.google.com/spreadsheets/d/1IYY_tgx_IHuhSq3AJ5eI5OnqOPBNLWSHKh2a30DoXe8/edit?usp=sharing"",""ปัตตานี!J329"")"),0)</f>
        <v>0</v>
      </c>
      <c r="K434" s="169"/>
      <c r="L434" s="189"/>
      <c r="M434" s="189"/>
      <c r="N434" s="189"/>
      <c r="O434" s="189"/>
      <c r="P434" s="189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IFERROR(__xludf.DUMMYFUNCTION("IMPORTRANGE(""https://docs.google.com/spreadsheets/d/1IYY_tgx_IHuhSq3AJ5eI5OnqOPBNLWSHKh2a30DoXe8/edit?usp=sharing"",""ปัตตานี!I330"")"),10)</f>
        <v>10</v>
      </c>
      <c r="J435" s="416">
        <f ca="1">IFERROR(__xludf.DUMMYFUNCTION("IMPORTRANGE(""https://docs.google.com/spreadsheets/d/1IYY_tgx_IHuhSq3AJ5eI5OnqOPBNLWSHKh2a30DoXe8/edit?usp=sharing"",""ปัตตานี!J330"")"),10)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IFERROR(__xludf.DUMMYFUNCTION("IMPORTRANGE(""https://docs.google.com/spreadsheets/d/1IYY_tgx_IHuhSq3AJ5eI5OnqOPBNLWSHKh2a30DoXe8/edit?usp=sharing"",""ปัตตานี!L330"")"),76000)</f>
        <v>76000</v>
      </c>
      <c r="M435" s="418"/>
      <c r="N435" s="418">
        <f ca="1">IFERROR(__xludf.DUMMYFUNCTION("IMPORTRANGE(""https://docs.google.com/spreadsheets/d/1IYY_tgx_IHuhSq3AJ5eI5OnqOPBNLWSHKh2a30DoXe8/edit?usp=sharing"",""ปัตตานี!M330"")"),23210)</f>
        <v>23210</v>
      </c>
      <c r="O435" s="418">
        <f t="shared" ref="O435:O439" ca="1" si="114">+IF(L435&gt;0,N435*100/L435,0)</f>
        <v>30.539473684210527</v>
      </c>
      <c r="P435" s="418"/>
    </row>
    <row r="436" spans="1:16" ht="21.75" customHeight="1" x14ac:dyDescent="0.35">
      <c r="A436" s="162"/>
      <c r="B436" s="163"/>
      <c r="C436" s="163" t="s">
        <v>16</v>
      </c>
      <c r="D436" s="164" t="s">
        <v>38</v>
      </c>
      <c r="E436" s="165"/>
      <c r="F436" s="165"/>
      <c r="G436" s="166" t="s">
        <v>39</v>
      </c>
      <c r="H436" s="167" t="s">
        <v>12</v>
      </c>
      <c r="I436" s="168" t="s">
        <v>40</v>
      </c>
      <c r="J436" s="168"/>
      <c r="K436" s="169"/>
      <c r="L436" s="170">
        <f ca="1">IFERROR(__xludf.DUMMYFUNCTION("IMPORTRANGE(""https://docs.google.com/spreadsheets/d/1IYY_tgx_IHuhSq3AJ5eI5OnqOPBNLWSHKh2a30DoXe8/edit?usp=sharing"",""ปัตตานี!L331"")"),0)</f>
        <v>0</v>
      </c>
      <c r="M436" s="170"/>
      <c r="N436" s="176">
        <f ca="1">IFERROR(__xludf.DUMMYFUNCTION("IMPORTRANGE(""https://docs.google.com/spreadsheets/d/1IYY_tgx_IHuhSq3AJ5eI5OnqOPBNLWSHKh2a30DoXe8/edit?usp=sharing"",""ปัตตานี!M331"")"),0)</f>
        <v>0</v>
      </c>
      <c r="O436" s="176">
        <f t="shared" ca="1" si="114"/>
        <v>0</v>
      </c>
      <c r="P436" s="176"/>
    </row>
    <row r="437" spans="1:16" ht="21.75" customHeight="1" x14ac:dyDescent="0.35">
      <c r="A437" s="162"/>
      <c r="B437" s="163"/>
      <c r="C437" s="163"/>
      <c r="D437" s="172"/>
      <c r="E437" s="165"/>
      <c r="F437" s="165" t="s">
        <v>40</v>
      </c>
      <c r="G437" s="166" t="s">
        <v>41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IFERROR(__xludf.DUMMYFUNCTION("IMPORTRANGE(""https://docs.google.com/spreadsheets/d/1IYY_tgx_IHuhSq3AJ5eI5OnqOPBNLWSHKh2a30DoXe8/edit?usp=sharing"",""ปัตตานี!L332"")"),76000)</f>
        <v>76000</v>
      </c>
      <c r="M437" s="171"/>
      <c r="N437" s="176">
        <f ca="1">IFERROR(__xludf.DUMMYFUNCTION("IMPORTRANGE(""https://docs.google.com/spreadsheets/d/1IYY_tgx_IHuhSq3AJ5eI5OnqOPBNLWSHKh2a30DoXe8/edit?usp=sharing"",""ปัตตานี!M332"")"),23210)</f>
        <v>23210</v>
      </c>
      <c r="O437" s="176">
        <f t="shared" ca="1" si="114"/>
        <v>30.539473684210527</v>
      </c>
      <c r="P437" s="176"/>
    </row>
    <row r="438" spans="1:16" ht="21.75" customHeight="1" x14ac:dyDescent="0.35">
      <c r="A438" s="162"/>
      <c r="B438" s="163"/>
      <c r="C438" s="163"/>
      <c r="D438" s="172"/>
      <c r="E438" s="165"/>
      <c r="F438" s="165"/>
      <c r="G438" s="380" t="s">
        <v>129</v>
      </c>
      <c r="H438" s="167" t="s">
        <v>12</v>
      </c>
      <c r="I438" s="168"/>
      <c r="J438" s="168"/>
      <c r="K438" s="169"/>
      <c r="L438" s="176">
        <f ca="1">IFERROR(__xludf.DUMMYFUNCTION("IMPORTRANGE(""https://docs.google.com/spreadsheets/d/1IYY_tgx_IHuhSq3AJ5eI5OnqOPBNLWSHKh2a30DoXe8/edit?usp=sharing"",""ปัตตานี!L333"")"),0)</f>
        <v>0</v>
      </c>
      <c r="M438" s="176"/>
      <c r="N438" s="176">
        <f ca="1">IFERROR(__xludf.DUMMYFUNCTION("IMPORTRANGE(""https://docs.google.com/spreadsheets/d/1IYY_tgx_IHuhSq3AJ5eI5OnqOPBNLWSHKh2a30DoXe8/edit?usp=sharing"",""ปัตตานี!M333"")"),0)</f>
        <v>0</v>
      </c>
      <c r="O438" s="176">
        <f t="shared" ca="1" si="114"/>
        <v>0</v>
      </c>
      <c r="P438" s="176"/>
    </row>
    <row r="439" spans="1:16" ht="21.75" customHeight="1" x14ac:dyDescent="0.35">
      <c r="A439" s="162"/>
      <c r="B439" s="163"/>
      <c r="C439" s="163"/>
      <c r="D439" s="172"/>
      <c r="E439" s="165"/>
      <c r="F439" s="165"/>
      <c r="G439" s="380" t="s">
        <v>130</v>
      </c>
      <c r="H439" s="167" t="s">
        <v>12</v>
      </c>
      <c r="I439" s="168"/>
      <c r="J439" s="168"/>
      <c r="K439" s="169"/>
      <c r="L439" s="176">
        <f ca="1">IFERROR(__xludf.DUMMYFUNCTION("IMPORTRANGE(""https://docs.google.com/spreadsheets/d/1IYY_tgx_IHuhSq3AJ5eI5OnqOPBNLWSHKh2a30DoXe8/edit?usp=sharing"",""ปัตตานี!L334"")"),76000)</f>
        <v>76000</v>
      </c>
      <c r="M439" s="176"/>
      <c r="N439" s="176">
        <f ca="1">IFERROR(__xludf.DUMMYFUNCTION("IMPORTRANGE(""https://docs.google.com/spreadsheets/d/1IYY_tgx_IHuhSq3AJ5eI5OnqOPBNLWSHKh2a30DoXe8/edit?usp=sharing"",""ปัตตานี!M334"")"),23210)</f>
        <v>23210</v>
      </c>
      <c r="O439" s="176">
        <f t="shared" ca="1" si="114"/>
        <v>30.539473684210527</v>
      </c>
      <c r="P439" s="176"/>
    </row>
    <row r="440" spans="1:16" ht="21.75" customHeight="1" x14ac:dyDescent="0.35">
      <c r="A440" s="381"/>
      <c r="B440" s="382"/>
      <c r="C440" s="163"/>
      <c r="D440" s="383"/>
      <c r="E440" s="165"/>
      <c r="F440" s="165"/>
      <c r="G440" s="384" t="s">
        <v>131</v>
      </c>
      <c r="H440" s="167" t="s">
        <v>12</v>
      </c>
      <c r="I440" s="195"/>
      <c r="J440" s="195"/>
      <c r="K440" s="231"/>
      <c r="L440" s="176"/>
      <c r="M440" s="176"/>
      <c r="N440" s="385">
        <f ca="1">IFERROR(__xludf.DUMMYFUNCTION("IMPORTRANGE(""https://docs.google.com/spreadsheets/d/1IYY_tgx_IHuhSq3AJ5eI5OnqOPBNLWSHKh2a30DoXe8/edit?usp=sharing"",""ปัตตานี!M335"")"),20200)</f>
        <v>20200</v>
      </c>
      <c r="O440" s="176"/>
      <c r="P440" s="176"/>
    </row>
    <row r="441" spans="1:16" ht="21.75" customHeight="1" x14ac:dyDescent="0.35">
      <c r="A441" s="381"/>
      <c r="B441" s="382"/>
      <c r="C441" s="163"/>
      <c r="D441" s="383"/>
      <c r="E441" s="165"/>
      <c r="F441" s="165"/>
      <c r="G441" s="384" t="s">
        <v>132</v>
      </c>
      <c r="H441" s="167" t="s">
        <v>12</v>
      </c>
      <c r="I441" s="195"/>
      <c r="J441" s="195"/>
      <c r="K441" s="231"/>
      <c r="L441" s="176"/>
      <c r="M441" s="176"/>
      <c r="N441" s="385">
        <f ca="1">IFERROR(__xludf.DUMMYFUNCTION("IMPORTRANGE(""https://docs.google.com/spreadsheets/d/1IYY_tgx_IHuhSq3AJ5eI5OnqOPBNLWSHKh2a30DoXe8/edit?usp=sharing"",""ปัตตานี!M336"")"),0)</f>
        <v>0</v>
      </c>
      <c r="O441" s="176"/>
      <c r="P441" s="176"/>
    </row>
    <row r="442" spans="1:16" ht="21.75" customHeight="1" x14ac:dyDescent="0.35">
      <c r="A442" s="381"/>
      <c r="B442" s="382"/>
      <c r="C442" s="163"/>
      <c r="D442" s="383"/>
      <c r="E442" s="165"/>
      <c r="F442" s="165"/>
      <c r="G442" s="384" t="s">
        <v>133</v>
      </c>
      <c r="H442" s="167" t="s">
        <v>12</v>
      </c>
      <c r="I442" s="195"/>
      <c r="J442" s="195"/>
      <c r="K442" s="231"/>
      <c r="L442" s="176"/>
      <c r="M442" s="176"/>
      <c r="N442" s="385">
        <f ca="1">IFERROR(__xludf.DUMMYFUNCTION("IMPORTRANGE(""https://docs.google.com/spreadsheets/d/1IYY_tgx_IHuhSq3AJ5eI5OnqOPBNLWSHKh2a30DoXe8/edit?usp=sharing"",""ปัตตานี!M337"")"),0)</f>
        <v>0</v>
      </c>
      <c r="O442" s="176"/>
      <c r="P442" s="176"/>
    </row>
    <row r="443" spans="1:16" ht="21.75" customHeight="1" x14ac:dyDescent="0.35">
      <c r="A443" s="381"/>
      <c r="B443" s="382"/>
      <c r="C443" s="163"/>
      <c r="D443" s="383"/>
      <c r="E443" s="165"/>
      <c r="F443" s="165"/>
      <c r="G443" s="384" t="s">
        <v>134</v>
      </c>
      <c r="H443" s="167" t="s">
        <v>12</v>
      </c>
      <c r="I443" s="195"/>
      <c r="J443" s="195"/>
      <c r="K443" s="231"/>
      <c r="L443" s="176"/>
      <c r="M443" s="176"/>
      <c r="N443" s="385">
        <f ca="1">IFERROR(__xludf.DUMMYFUNCTION("IMPORTRANGE(""https://docs.google.com/spreadsheets/d/1IYY_tgx_IHuhSq3AJ5eI5OnqOPBNLWSHKh2a30DoXe8/edit?usp=sharing"",""ปัตตานี!M338"")"),3010)</f>
        <v>3010</v>
      </c>
      <c r="O443" s="176"/>
      <c r="P443" s="176"/>
    </row>
    <row r="444" spans="1:16" ht="21.75" customHeight="1" x14ac:dyDescent="0.35">
      <c r="A444" s="183"/>
      <c r="B444" s="184"/>
      <c r="C444" s="163" t="s">
        <v>16</v>
      </c>
      <c r="D444" s="185" t="s">
        <v>44</v>
      </c>
      <c r="E444" s="186"/>
      <c r="F444" s="186"/>
      <c r="G444" s="187"/>
      <c r="H444" s="188"/>
      <c r="I444" s="168"/>
      <c r="J444" s="168"/>
      <c r="K444" s="169"/>
      <c r="L444" s="189"/>
      <c r="M444" s="189"/>
      <c r="N444" s="189"/>
      <c r="O444" s="189"/>
      <c r="P444" s="189"/>
    </row>
    <row r="445" spans="1:16" ht="21.75" customHeight="1" x14ac:dyDescent="0.35">
      <c r="A445" s="183"/>
      <c r="B445" s="184"/>
      <c r="C445" s="184"/>
      <c r="D445" s="190">
        <v>1</v>
      </c>
      <c r="E445" s="191" t="s">
        <v>45</v>
      </c>
      <c r="F445" s="192"/>
      <c r="G445" s="193"/>
      <c r="H445" s="194"/>
      <c r="I445" s="195"/>
      <c r="J445" s="217">
        <f ca="1">IFERROR(__xludf.DUMMYFUNCTION("IMPORTRANGE(""https://docs.google.com/spreadsheets/d/1IYY_tgx_IHuhSq3AJ5eI5OnqOPBNLWSHKh2a30DoXe8/edit?usp=sharing"",""ปัตตานี!J340"")"),0)</f>
        <v>0</v>
      </c>
      <c r="K445" s="169"/>
      <c r="L445" s="189"/>
      <c r="M445" s="189"/>
      <c r="N445" s="189"/>
      <c r="O445" s="189"/>
      <c r="P445" s="189"/>
    </row>
    <row r="446" spans="1:16" ht="21.75" customHeight="1" x14ac:dyDescent="0.35">
      <c r="A446" s="183"/>
      <c r="B446" s="184"/>
      <c r="C446" s="184"/>
      <c r="D446" s="197">
        <v>2</v>
      </c>
      <c r="E446" s="198" t="s">
        <v>46</v>
      </c>
      <c r="F446" s="199"/>
      <c r="G446" s="200"/>
      <c r="H446" s="194"/>
      <c r="I446" s="195"/>
      <c r="J446" s="419">
        <f ca="1">IFERROR(__xludf.DUMMYFUNCTION("IMPORTRANGE(""https://docs.google.com/spreadsheets/d/1IYY_tgx_IHuhSq3AJ5eI5OnqOPBNLWSHKh2a30DoXe8/edit?usp=sharing"",""ปัตตานี!J341"")"),1)</f>
        <v>1</v>
      </c>
      <c r="K446" s="169"/>
      <c r="L446" s="189" t="s">
        <v>40</v>
      </c>
      <c r="M446" s="189"/>
      <c r="N446" s="189" t="s">
        <v>40</v>
      </c>
      <c r="O446" s="189"/>
      <c r="P446" s="189"/>
    </row>
    <row r="447" spans="1:16" ht="21.75" customHeight="1" x14ac:dyDescent="0.35">
      <c r="A447" s="183"/>
      <c r="B447" s="184"/>
      <c r="C447" s="184"/>
      <c r="D447" s="201"/>
      <c r="E447" s="202" t="s">
        <v>161</v>
      </c>
      <c r="F447" s="203"/>
      <c r="G447" s="204"/>
      <c r="H447" s="194"/>
      <c r="I447" s="195"/>
      <c r="J447" s="196">
        <f ca="1">IFERROR(__xludf.DUMMYFUNCTION("IMPORTRANGE(""https://docs.google.com/spreadsheets/d/1IYY_tgx_IHuhSq3AJ5eI5OnqOPBNLWSHKh2a30DoXe8/edit?usp=sharing"",""ปัตตานี!J342"")"),1)</f>
        <v>1</v>
      </c>
      <c r="K447" s="169"/>
      <c r="L447" s="189"/>
      <c r="M447" s="189"/>
      <c r="N447" s="189"/>
      <c r="O447" s="189"/>
      <c r="P447" s="189"/>
    </row>
    <row r="448" spans="1:16" ht="21.75" customHeight="1" x14ac:dyDescent="0.35">
      <c r="A448" s="183"/>
      <c r="B448" s="184"/>
      <c r="C448" s="184"/>
      <c r="D448" s="201"/>
      <c r="E448" s="202" t="s">
        <v>48</v>
      </c>
      <c r="F448" s="203"/>
      <c r="G448" s="204"/>
      <c r="H448" s="194"/>
      <c r="I448" s="195"/>
      <c r="J448" s="196">
        <f ca="1">IFERROR(__xludf.DUMMYFUNCTION("IMPORTRANGE(""https://docs.google.com/spreadsheets/d/1IYY_tgx_IHuhSq3AJ5eI5OnqOPBNLWSHKh2a30DoXe8/edit?usp=sharing"",""ปัตตานี!J343"")"),1)</f>
        <v>1</v>
      </c>
      <c r="K448" s="169"/>
      <c r="L448" s="189"/>
      <c r="M448" s="189"/>
      <c r="N448" s="189"/>
      <c r="O448" s="189"/>
      <c r="P448" s="189"/>
    </row>
    <row r="449" spans="1:16" ht="21.75" customHeight="1" x14ac:dyDescent="0.35">
      <c r="A449" s="183"/>
      <c r="B449" s="184"/>
      <c r="C449" s="184"/>
      <c r="D449" s="201"/>
      <c r="E449" s="206"/>
      <c r="F449" s="420" t="s">
        <v>101</v>
      </c>
      <c r="G449" s="204"/>
      <c r="H449" s="194" t="s">
        <v>37</v>
      </c>
      <c r="I449" s="397">
        <f ca="1">IFERROR(__xludf.DUMMYFUNCTION("IMPORTRANGE(""https://docs.google.com/spreadsheets/d/1IYY_tgx_IHuhSq3AJ5eI5OnqOPBNLWSHKh2a30DoXe8/edit?usp=sharing"",""ปัตตานี!I344"")"),10)</f>
        <v>10</v>
      </c>
      <c r="J449" s="208">
        <f ca="1">IFERROR(__xludf.DUMMYFUNCTION("IMPORTRANGE(""https://docs.google.com/spreadsheets/d/1IYY_tgx_IHuhSq3AJ5eI5OnqOPBNLWSHKh2a30DoXe8/edit?usp=sharing"",""ปัตตานี!J344"")"),10)</f>
        <v>10</v>
      </c>
      <c r="K449" s="169">
        <f t="shared" ref="K449:K452" ca="1" si="115">IF(I449&gt;0,J449*100/I449,0)</f>
        <v>100</v>
      </c>
      <c r="L449" s="189"/>
      <c r="M449" s="189"/>
      <c r="N449" s="189"/>
      <c r="O449" s="189"/>
      <c r="P449" s="189"/>
    </row>
    <row r="450" spans="1:16" ht="21.75" customHeight="1" x14ac:dyDescent="0.35">
      <c r="A450" s="183"/>
      <c r="B450" s="184"/>
      <c r="C450" s="184"/>
      <c r="D450" s="201"/>
      <c r="E450" s="206"/>
      <c r="F450" s="203"/>
      <c r="G450" s="233" t="s">
        <v>162</v>
      </c>
      <c r="H450" s="194" t="s">
        <v>37</v>
      </c>
      <c r="I450" s="347">
        <f ca="1">IFERROR(__xludf.DUMMYFUNCTION("IMPORTRANGE(""https://docs.google.com/spreadsheets/d/1IYY_tgx_IHuhSq3AJ5eI5OnqOPBNLWSHKh2a30DoXe8/edit?usp=sharing"",""ปัตตานี!I345"")"),10)</f>
        <v>10</v>
      </c>
      <c r="J450" s="196">
        <f ca="1">IFERROR(__xludf.DUMMYFUNCTION("IMPORTRANGE(""https://docs.google.com/spreadsheets/d/1IYY_tgx_IHuhSq3AJ5eI5OnqOPBNLWSHKh2a30DoXe8/edit?usp=sharing"",""ปัตตานี!J345"")"),10)</f>
        <v>10</v>
      </c>
      <c r="K450" s="169">
        <f t="shared" ca="1" si="115"/>
        <v>100</v>
      </c>
      <c r="L450" s="189"/>
      <c r="M450" s="189"/>
      <c r="N450" s="189"/>
      <c r="O450" s="189"/>
      <c r="P450" s="189"/>
    </row>
    <row r="451" spans="1:16" ht="21.75" customHeight="1" x14ac:dyDescent="0.35">
      <c r="A451" s="183"/>
      <c r="B451" s="184"/>
      <c r="C451" s="184"/>
      <c r="D451" s="201"/>
      <c r="E451" s="206"/>
      <c r="F451" s="203"/>
      <c r="G451" s="287" t="s">
        <v>163</v>
      </c>
      <c r="H451" s="194" t="s">
        <v>37</v>
      </c>
      <c r="I451" s="347">
        <f ca="1">IFERROR(__xludf.DUMMYFUNCTION("IMPORTRANGE(""https://docs.google.com/spreadsheets/d/1IYY_tgx_IHuhSq3AJ5eI5OnqOPBNLWSHKh2a30DoXe8/edit?usp=sharing"",""ปัตตานี!I346"")"),0)</f>
        <v>0</v>
      </c>
      <c r="J451" s="195">
        <f ca="1">IFERROR(__xludf.DUMMYFUNCTION("IMPORTRANGE(""https://docs.google.com/spreadsheets/d/1IYY_tgx_IHuhSq3AJ5eI5OnqOPBNLWSHKh2a30DoXe8/edit?usp=sharing"",""ปัตตานี!J346"")"),0)</f>
        <v>0</v>
      </c>
      <c r="K451" s="169">
        <f t="shared" ca="1" si="115"/>
        <v>0</v>
      </c>
      <c r="L451" s="189"/>
      <c r="M451" s="189"/>
      <c r="N451" s="189"/>
      <c r="O451" s="189"/>
      <c r="P451" s="189"/>
    </row>
    <row r="452" spans="1:16" ht="21.75" customHeight="1" x14ac:dyDescent="0.35">
      <c r="A452" s="183"/>
      <c r="B452" s="184"/>
      <c r="C452" s="184"/>
      <c r="D452" s="201"/>
      <c r="E452" s="206"/>
      <c r="F452" s="203"/>
      <c r="G452" s="204" t="s">
        <v>164</v>
      </c>
      <c r="H452" s="194" t="s">
        <v>37</v>
      </c>
      <c r="I452" s="195">
        <f ca="1">IFERROR(__xludf.DUMMYFUNCTION("IMPORTRANGE(""https://docs.google.com/spreadsheets/d/1IYY_tgx_IHuhSq3AJ5eI5OnqOPBNLWSHKh2a30DoXe8/edit?usp=sharing"",""ปัตตานี!I347"")"),0)</f>
        <v>0</v>
      </c>
      <c r="J452" s="195">
        <f ca="1">IFERROR(__xludf.DUMMYFUNCTION("IMPORTRANGE(""https://docs.google.com/spreadsheets/d/1IYY_tgx_IHuhSq3AJ5eI5OnqOPBNLWSHKh2a30DoXe8/edit?usp=sharing"",""ปัตตานี!J347"")"),0)</f>
        <v>0</v>
      </c>
      <c r="K452" s="169">
        <f t="shared" ca="1" si="115"/>
        <v>0</v>
      </c>
      <c r="L452" s="189"/>
      <c r="M452" s="189"/>
      <c r="N452" s="189"/>
      <c r="O452" s="189"/>
      <c r="P452" s="189"/>
    </row>
    <row r="453" spans="1:16" ht="21.75" customHeight="1" x14ac:dyDescent="0.35">
      <c r="A453" s="183"/>
      <c r="B453" s="184"/>
      <c r="C453" s="184"/>
      <c r="D453" s="201"/>
      <c r="E453" s="202" t="s">
        <v>54</v>
      </c>
      <c r="F453" s="203"/>
      <c r="G453" s="204"/>
      <c r="H453" s="194"/>
      <c r="I453" s="195"/>
      <c r="J453" s="205">
        <f ca="1">IFERROR(__xludf.DUMMYFUNCTION("IMPORTRANGE(""https://docs.google.com/spreadsheets/d/1IYY_tgx_IHuhSq3AJ5eI5OnqOPBNLWSHKh2a30DoXe8/edit?usp=sharing"",""ปัตตานี!J348"")"),0)</f>
        <v>0</v>
      </c>
      <c r="K453" s="169"/>
      <c r="L453" s="189"/>
      <c r="M453" s="189"/>
      <c r="N453" s="189"/>
      <c r="O453" s="189"/>
      <c r="P453" s="189"/>
    </row>
    <row r="454" spans="1:16" ht="21.75" customHeight="1" x14ac:dyDescent="0.35">
      <c r="A454" s="183"/>
      <c r="B454" s="184"/>
      <c r="C454" s="184"/>
      <c r="D454" s="213">
        <v>3</v>
      </c>
      <c r="E454" s="214" t="s">
        <v>55</v>
      </c>
      <c r="F454" s="215"/>
      <c r="G454" s="216"/>
      <c r="H454" s="194"/>
      <c r="I454" s="195"/>
      <c r="J454" s="217">
        <f ca="1">IFERROR(__xludf.DUMMYFUNCTION("IMPORTRANGE(""https://docs.google.com/spreadsheets/d/1IYY_tgx_IHuhSq3AJ5eI5OnqOPBNLWSHKh2a30DoXe8/edit?usp=sharing"",""ปัตตานี!J349"")"),0)</f>
        <v>0</v>
      </c>
      <c r="K454" s="169"/>
      <c r="L454" s="189"/>
      <c r="M454" s="189"/>
      <c r="N454" s="189"/>
      <c r="O454" s="189"/>
      <c r="P454" s="189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IFERROR(__xludf.DUMMYFUNCTION("IMPORTRANGE(""https://docs.google.com/spreadsheets/d/1IYY_tgx_IHuhSq3AJ5eI5OnqOPBNLWSHKh2a30DoXe8/edit?usp=sharing"",""ปัตตานี!I350"")"),2341)</f>
        <v>2341</v>
      </c>
      <c r="J455" s="377">
        <f ca="1">IFERROR(__xludf.DUMMYFUNCTION("IMPORTRANGE(""https://docs.google.com/spreadsheets/d/1IYY_tgx_IHuhSq3AJ5eI5OnqOPBNLWSHKh2a30DoXe8/edit?usp=sharing"",""ปัตตานี!J350"")"),2341.08)</f>
        <v>2341.08</v>
      </c>
      <c r="K455" s="378">
        <f ca="1">IF(I455&gt;0,J455*100/I455,0)</f>
        <v>100.00341734301581</v>
      </c>
      <c r="L455" s="379">
        <f ca="1">IFERROR(__xludf.DUMMYFUNCTION("IMPORTRANGE(""https://docs.google.com/spreadsheets/d/1IYY_tgx_IHuhSq3AJ5eI5OnqOPBNLWSHKh2a30DoXe8/edit?usp=sharing"",""ปัตตานี!L350"")"),53226)</f>
        <v>53226</v>
      </c>
      <c r="M455" s="379"/>
      <c r="N455" s="379">
        <f ca="1">IFERROR(__xludf.DUMMYFUNCTION("IMPORTRANGE(""https://docs.google.com/spreadsheets/d/1IYY_tgx_IHuhSq3AJ5eI5OnqOPBNLWSHKh2a30DoXe8/edit?usp=sharing"",""ปัตตานี!M350"")"),22105)</f>
        <v>22105</v>
      </c>
      <c r="O455" s="379">
        <f t="shared" ref="O455:O459" ca="1" si="116">+IF(L455&gt;0,N455*100/L455,0)</f>
        <v>41.530455040769546</v>
      </c>
      <c r="P455" s="379"/>
    </row>
    <row r="456" spans="1:16" ht="21.75" customHeight="1" x14ac:dyDescent="0.35">
      <c r="A456" s="162"/>
      <c r="B456" s="163"/>
      <c r="C456" s="163" t="s">
        <v>16</v>
      </c>
      <c r="D456" s="164" t="s">
        <v>38</v>
      </c>
      <c r="E456" s="165"/>
      <c r="F456" s="165"/>
      <c r="G456" s="166" t="s">
        <v>39</v>
      </c>
      <c r="H456" s="167" t="s">
        <v>12</v>
      </c>
      <c r="I456" s="168" t="s">
        <v>40</v>
      </c>
      <c r="J456" s="168"/>
      <c r="K456" s="169"/>
      <c r="L456" s="170">
        <f ca="1">IFERROR(__xludf.DUMMYFUNCTION("IMPORTRANGE(""https://docs.google.com/spreadsheets/d/1IYY_tgx_IHuhSq3AJ5eI5OnqOPBNLWSHKh2a30DoXe8/edit?usp=sharing"",""ปัตตานี!L351"")"),0)</f>
        <v>0</v>
      </c>
      <c r="M456" s="170"/>
      <c r="N456" s="176">
        <f ca="1">IFERROR(__xludf.DUMMYFUNCTION("IMPORTRANGE(""https://docs.google.com/spreadsheets/d/1IYY_tgx_IHuhSq3AJ5eI5OnqOPBNLWSHKh2a30DoXe8/edit?usp=sharing"",""ปัตตานี!M351"")"),0)</f>
        <v>0</v>
      </c>
      <c r="O456" s="176">
        <f t="shared" ca="1" si="116"/>
        <v>0</v>
      </c>
      <c r="P456" s="176"/>
    </row>
    <row r="457" spans="1:16" ht="21.75" customHeight="1" x14ac:dyDescent="0.35">
      <c r="A457" s="162"/>
      <c r="B457" s="163"/>
      <c r="C457" s="163"/>
      <c r="D457" s="172"/>
      <c r="E457" s="165"/>
      <c r="F457" s="165" t="s">
        <v>40</v>
      </c>
      <c r="G457" s="166" t="s">
        <v>41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IFERROR(__xludf.DUMMYFUNCTION("IMPORTRANGE(""https://docs.google.com/spreadsheets/d/1IYY_tgx_IHuhSq3AJ5eI5OnqOPBNLWSHKh2a30DoXe8/edit?usp=sharing"",""ปัตตานี!L352"")"),53226)</f>
        <v>53226</v>
      </c>
      <c r="M457" s="171"/>
      <c r="N457" s="176">
        <f ca="1">IFERROR(__xludf.DUMMYFUNCTION("IMPORTRANGE(""https://docs.google.com/spreadsheets/d/1IYY_tgx_IHuhSq3AJ5eI5OnqOPBNLWSHKh2a30DoXe8/edit?usp=sharing"",""ปัตตานี!M352"")"),22105)</f>
        <v>22105</v>
      </c>
      <c r="O457" s="176">
        <f t="shared" ca="1" si="116"/>
        <v>41.530455040769546</v>
      </c>
      <c r="P457" s="176"/>
    </row>
    <row r="458" spans="1:16" ht="21.75" customHeight="1" x14ac:dyDescent="0.35">
      <c r="A458" s="162"/>
      <c r="B458" s="163"/>
      <c r="C458" s="163"/>
      <c r="D458" s="172"/>
      <c r="E458" s="165"/>
      <c r="F458" s="165"/>
      <c r="G458" s="380" t="s">
        <v>129</v>
      </c>
      <c r="H458" s="167" t="s">
        <v>12</v>
      </c>
      <c r="I458" s="168"/>
      <c r="J458" s="168"/>
      <c r="K458" s="169"/>
      <c r="L458" s="176">
        <f ca="1">IFERROR(__xludf.DUMMYFUNCTION("IMPORTRANGE(""https://docs.google.com/spreadsheets/d/1IYY_tgx_IHuhSq3AJ5eI5OnqOPBNLWSHKh2a30DoXe8/edit?usp=sharing"",""ปัตตานี!L353"")"),0)</f>
        <v>0</v>
      </c>
      <c r="M458" s="176"/>
      <c r="N458" s="176">
        <f ca="1">IFERROR(__xludf.DUMMYFUNCTION("IMPORTRANGE(""https://docs.google.com/spreadsheets/d/1IYY_tgx_IHuhSq3AJ5eI5OnqOPBNLWSHKh2a30DoXe8/edit?usp=sharing"",""ปัตตานี!M353"")"),0)</f>
        <v>0</v>
      </c>
      <c r="O458" s="176">
        <f t="shared" ca="1" si="116"/>
        <v>0</v>
      </c>
      <c r="P458" s="176"/>
    </row>
    <row r="459" spans="1:16" ht="21.75" customHeight="1" x14ac:dyDescent="0.35">
      <c r="A459" s="162"/>
      <c r="B459" s="163"/>
      <c r="C459" s="163"/>
      <c r="D459" s="172"/>
      <c r="E459" s="165"/>
      <c r="F459" s="165"/>
      <c r="G459" s="380" t="s">
        <v>130</v>
      </c>
      <c r="H459" s="167" t="s">
        <v>12</v>
      </c>
      <c r="I459" s="168"/>
      <c r="J459" s="168"/>
      <c r="K459" s="169"/>
      <c r="L459" s="176">
        <f ca="1">IFERROR(__xludf.DUMMYFUNCTION("IMPORTRANGE(""https://docs.google.com/spreadsheets/d/1IYY_tgx_IHuhSq3AJ5eI5OnqOPBNLWSHKh2a30DoXe8/edit?usp=sharing"",""ปัตตานี!L354"")"),53226)</f>
        <v>53226</v>
      </c>
      <c r="M459" s="176"/>
      <c r="N459" s="176">
        <f ca="1">IFERROR(__xludf.DUMMYFUNCTION("IMPORTRANGE(""https://docs.google.com/spreadsheets/d/1IYY_tgx_IHuhSq3AJ5eI5OnqOPBNLWSHKh2a30DoXe8/edit?usp=sharing"",""ปัตตานี!M354"")"),22105)</f>
        <v>22105</v>
      </c>
      <c r="O459" s="176">
        <f t="shared" ca="1" si="116"/>
        <v>41.530455040769546</v>
      </c>
      <c r="P459" s="176"/>
    </row>
    <row r="460" spans="1:16" ht="21.75" customHeight="1" x14ac:dyDescent="0.35">
      <c r="A460" s="381"/>
      <c r="B460" s="382"/>
      <c r="C460" s="163"/>
      <c r="D460" s="383"/>
      <c r="E460" s="165"/>
      <c r="F460" s="165"/>
      <c r="G460" s="384" t="s">
        <v>131</v>
      </c>
      <c r="H460" s="167" t="s">
        <v>12</v>
      </c>
      <c r="I460" s="195"/>
      <c r="J460" s="195"/>
      <c r="K460" s="231"/>
      <c r="L460" s="176"/>
      <c r="M460" s="176"/>
      <c r="N460" s="173">
        <f ca="1">IFERROR(__xludf.DUMMYFUNCTION("IMPORTRANGE(""https://docs.google.com/spreadsheets/d/1IYY_tgx_IHuhSq3AJ5eI5OnqOPBNLWSHKh2a30DoXe8/edit?usp=sharing"",""ปัตตานี!M355"")"),0)</f>
        <v>0</v>
      </c>
      <c r="O460" s="176"/>
      <c r="P460" s="176"/>
    </row>
    <row r="461" spans="1:16" ht="21.75" customHeight="1" x14ac:dyDescent="0.35">
      <c r="A461" s="381"/>
      <c r="B461" s="382"/>
      <c r="C461" s="163"/>
      <c r="D461" s="383"/>
      <c r="E461" s="165"/>
      <c r="F461" s="165"/>
      <c r="G461" s="384" t="s">
        <v>132</v>
      </c>
      <c r="H461" s="167" t="s">
        <v>12</v>
      </c>
      <c r="I461" s="195"/>
      <c r="J461" s="195"/>
      <c r="K461" s="231"/>
      <c r="L461" s="176"/>
      <c r="M461" s="176"/>
      <c r="N461" s="173">
        <f ca="1">IFERROR(__xludf.DUMMYFUNCTION("IMPORTRANGE(""https://docs.google.com/spreadsheets/d/1IYY_tgx_IHuhSq3AJ5eI5OnqOPBNLWSHKh2a30DoXe8/edit?usp=sharing"",""ปัตตานี!M356"")"),0)</f>
        <v>0</v>
      </c>
      <c r="O461" s="176"/>
      <c r="P461" s="176"/>
    </row>
    <row r="462" spans="1:16" ht="21.75" customHeight="1" x14ac:dyDescent="0.35">
      <c r="A462" s="381"/>
      <c r="B462" s="382"/>
      <c r="C462" s="163"/>
      <c r="D462" s="383"/>
      <c r="E462" s="165"/>
      <c r="F462" s="165"/>
      <c r="G462" s="384" t="s">
        <v>133</v>
      </c>
      <c r="H462" s="167" t="s">
        <v>12</v>
      </c>
      <c r="I462" s="195"/>
      <c r="J462" s="195"/>
      <c r="K462" s="231"/>
      <c r="L462" s="176"/>
      <c r="M462" s="176"/>
      <c r="N462" s="385">
        <f ca="1">IFERROR(__xludf.DUMMYFUNCTION("IMPORTRANGE(""https://docs.google.com/spreadsheets/d/1IYY_tgx_IHuhSq3AJ5eI5OnqOPBNLWSHKh2a30DoXe8/edit?usp=sharing"",""ปัตตานี!M357"")"),0)</f>
        <v>0</v>
      </c>
      <c r="O462" s="176"/>
      <c r="P462" s="176"/>
    </row>
    <row r="463" spans="1:16" ht="21.75" customHeight="1" x14ac:dyDescent="0.35">
      <c r="A463" s="381"/>
      <c r="B463" s="382"/>
      <c r="C463" s="163"/>
      <c r="D463" s="383"/>
      <c r="E463" s="165"/>
      <c r="F463" s="165"/>
      <c r="G463" s="384" t="s">
        <v>134</v>
      </c>
      <c r="H463" s="167" t="s">
        <v>12</v>
      </c>
      <c r="I463" s="195"/>
      <c r="J463" s="195"/>
      <c r="K463" s="231"/>
      <c r="L463" s="176"/>
      <c r="M463" s="176"/>
      <c r="N463" s="385">
        <f ca="1">IFERROR(__xludf.DUMMYFUNCTION("IMPORTRANGE(""https://docs.google.com/spreadsheets/d/1IYY_tgx_IHuhSq3AJ5eI5OnqOPBNLWSHKh2a30DoXe8/edit?usp=sharing"",""ปัตตานี!M358"")"),22105)</f>
        <v>22105</v>
      </c>
      <c r="O463" s="176"/>
      <c r="P463" s="176"/>
    </row>
    <row r="464" spans="1:16" ht="21.75" customHeight="1" x14ac:dyDescent="0.35">
      <c r="A464" s="183"/>
      <c r="B464" s="184"/>
      <c r="C464" s="421" t="s">
        <v>166</v>
      </c>
      <c r="D464" s="421"/>
      <c r="E464" s="422"/>
      <c r="F464" s="422"/>
      <c r="G464" s="423"/>
      <c r="H464" s="273" t="s">
        <v>122</v>
      </c>
      <c r="I464" s="274">
        <f ca="1">IFERROR(__xludf.DUMMYFUNCTION("IMPORTRANGE(""https://docs.google.com/spreadsheets/d/1IYY_tgx_IHuhSq3AJ5eI5OnqOPBNLWSHKh2a30DoXe8/edit?usp=sharing"",""ปัตตานี!I359"")"),2341)</f>
        <v>2341</v>
      </c>
      <c r="J464" s="274">
        <f ca="1">IFERROR(__xludf.DUMMYFUNCTION("IMPORTRANGE(""https://docs.google.com/spreadsheets/d/1IYY_tgx_IHuhSq3AJ5eI5OnqOPBNLWSHKh2a30DoXe8/edit?usp=sharing"",""ปัตตานี!J359"")"),2341.08)</f>
        <v>2341.08</v>
      </c>
      <c r="K464" s="275">
        <f t="shared" ref="K464:K515" ca="1" si="117">IF(I464&gt;0,J464*100/I464,0)</f>
        <v>100.00341734301581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1" t="s">
        <v>167</v>
      </c>
      <c r="F465" s="203"/>
      <c r="G465" s="204"/>
      <c r="H465" s="424" t="s">
        <v>122</v>
      </c>
      <c r="I465" s="425">
        <f ca="1">IFERROR(__xludf.DUMMYFUNCTION("IMPORTRANGE(""https://docs.google.com/spreadsheets/d/1IYY_tgx_IHuhSq3AJ5eI5OnqOPBNLWSHKh2a30DoXe8/edit?usp=sharing"",""ปัตตานี!I360"")"),2341)</f>
        <v>2341</v>
      </c>
      <c r="J465" s="426">
        <f ca="1">IFERROR(__xludf.DUMMYFUNCTION("IMPORTRANGE(""https://docs.google.com/spreadsheets/d/1IYY_tgx_IHuhSq3AJ5eI5OnqOPBNLWSHKh2a30DoXe8/edit?usp=sharing"",""ปัตตานี!J360"")"),2341.08)</f>
        <v>2341.08</v>
      </c>
      <c r="K465" s="209">
        <f t="shared" ca="1" si="117"/>
        <v>100.00341734301581</v>
      </c>
      <c r="L465" s="189"/>
      <c r="M465" s="189"/>
      <c r="N465" s="189"/>
      <c r="O465" s="189"/>
      <c r="P465" s="189"/>
    </row>
    <row r="466" spans="1:16" ht="21.75" customHeight="1" x14ac:dyDescent="0.35">
      <c r="A466" s="408"/>
      <c r="B466" s="409"/>
      <c r="C466" s="409"/>
      <c r="D466" s="410"/>
      <c r="E466" s="203"/>
      <c r="F466" s="203"/>
      <c r="G466" s="204"/>
      <c r="H466" s="424" t="s">
        <v>36</v>
      </c>
      <c r="I466" s="425">
        <f ca="1">IFERROR(__xludf.DUMMYFUNCTION("IMPORTRANGE(""https://docs.google.com/spreadsheets/d/1IYY_tgx_IHuhSq3AJ5eI5OnqOPBNLWSHKh2a30DoXe8/edit?usp=sharing"",""ปัตตานี!I361"")"),396)</f>
        <v>396</v>
      </c>
      <c r="J466" s="426">
        <f ca="1">IFERROR(__xludf.DUMMYFUNCTION("IMPORTRANGE(""https://docs.google.com/spreadsheets/d/1IYY_tgx_IHuhSq3AJ5eI5OnqOPBNLWSHKh2a30DoXe8/edit?usp=sharing"",""ปัตตานี!J361"")"),396)</f>
        <v>396</v>
      </c>
      <c r="K466" s="209">
        <f t="shared" ca="1" si="117"/>
        <v>100</v>
      </c>
      <c r="L466" s="189"/>
      <c r="M466" s="189"/>
      <c r="N466" s="189"/>
      <c r="O466" s="189"/>
      <c r="P466" s="189"/>
    </row>
    <row r="467" spans="1:16" ht="21.75" customHeight="1" x14ac:dyDescent="0.35">
      <c r="A467" s="408"/>
      <c r="B467" s="409"/>
      <c r="C467" s="409"/>
      <c r="D467" s="410"/>
      <c r="E467" s="203"/>
      <c r="F467" s="396" t="s">
        <v>168</v>
      </c>
      <c r="G467" s="427"/>
      <c r="H467" s="428" t="s">
        <v>122</v>
      </c>
      <c r="I467" s="210">
        <f ca="1">IFERROR(__xludf.DUMMYFUNCTION("IMPORTRANGE(""https://docs.google.com/spreadsheets/d/1IYY_tgx_IHuhSq3AJ5eI5OnqOPBNLWSHKh2a30DoXe8/edit?usp=sharing"",""ปัตตานี!I362"")"),0)</f>
        <v>0</v>
      </c>
      <c r="J467" s="196">
        <f ca="1">IFERROR(__xludf.DUMMYFUNCTION("IMPORTRANGE(""https://docs.google.com/spreadsheets/d/1IYY_tgx_IHuhSq3AJ5eI5OnqOPBNLWSHKh2a30DoXe8/edit?usp=sharing"",""ปัตตานี!J362"")"),2216.29)</f>
        <v>2216.29</v>
      </c>
      <c r="K467" s="169">
        <f t="shared" ca="1" si="117"/>
        <v>0</v>
      </c>
      <c r="L467" s="189"/>
      <c r="M467" s="189"/>
      <c r="N467" s="189"/>
      <c r="O467" s="189"/>
      <c r="P467" s="189"/>
    </row>
    <row r="468" spans="1:16" ht="21.75" customHeight="1" x14ac:dyDescent="0.35">
      <c r="A468" s="408"/>
      <c r="B468" s="409"/>
      <c r="C468" s="409"/>
      <c r="D468" s="410"/>
      <c r="E468" s="203"/>
      <c r="F468" s="203"/>
      <c r="G468" s="427"/>
      <c r="H468" s="428" t="s">
        <v>36</v>
      </c>
      <c r="I468" s="210">
        <f ca="1">IFERROR(__xludf.DUMMYFUNCTION("IMPORTRANGE(""https://docs.google.com/spreadsheets/d/1IYY_tgx_IHuhSq3AJ5eI5OnqOPBNLWSHKh2a30DoXe8/edit?usp=sharing"",""ปัตตานี!I363"")"),0)</f>
        <v>0</v>
      </c>
      <c r="J468" s="196">
        <f ca="1">IFERROR(__xludf.DUMMYFUNCTION("IMPORTRANGE(""https://docs.google.com/spreadsheets/d/1IYY_tgx_IHuhSq3AJ5eI5OnqOPBNLWSHKh2a30DoXe8/edit?usp=sharing"",""ปัตตานี!J363"")"),379)</f>
        <v>379</v>
      </c>
      <c r="K468" s="169">
        <f t="shared" ca="1" si="117"/>
        <v>0</v>
      </c>
      <c r="L468" s="189"/>
      <c r="M468" s="189"/>
      <c r="N468" s="189"/>
      <c r="O468" s="189"/>
      <c r="P468" s="189"/>
    </row>
    <row r="469" spans="1:16" ht="21.75" customHeight="1" x14ac:dyDescent="0.35">
      <c r="A469" s="408"/>
      <c r="B469" s="409"/>
      <c r="C469" s="409"/>
      <c r="D469" s="410"/>
      <c r="E469" s="203"/>
      <c r="F469" s="396" t="s">
        <v>169</v>
      </c>
      <c r="G469" s="427"/>
      <c r="H469" s="428" t="s">
        <v>122</v>
      </c>
      <c r="I469" s="210">
        <f ca="1">IFERROR(__xludf.DUMMYFUNCTION("IMPORTRANGE(""https://docs.google.com/spreadsheets/d/1IYY_tgx_IHuhSq3AJ5eI5OnqOPBNLWSHKh2a30DoXe8/edit?usp=sharing"",""ปัตตานี!I364"")"),0)</f>
        <v>0</v>
      </c>
      <c r="J469" s="196">
        <f ca="1">IFERROR(__xludf.DUMMYFUNCTION("IMPORTRANGE(""https://docs.google.com/spreadsheets/d/1IYY_tgx_IHuhSq3AJ5eI5OnqOPBNLWSHKh2a30DoXe8/edit?usp=sharing"",""ปัตตานี!J364"")"),10.37)</f>
        <v>10.37</v>
      </c>
      <c r="K469" s="169">
        <f t="shared" ca="1" si="117"/>
        <v>0</v>
      </c>
      <c r="L469" s="189"/>
      <c r="M469" s="189"/>
      <c r="N469" s="189"/>
      <c r="O469" s="189"/>
      <c r="P469" s="189"/>
    </row>
    <row r="470" spans="1:16" ht="21.75" customHeight="1" x14ac:dyDescent="0.35">
      <c r="A470" s="408"/>
      <c r="B470" s="409"/>
      <c r="C470" s="409"/>
      <c r="D470" s="410"/>
      <c r="E470" s="203"/>
      <c r="F470" s="203"/>
      <c r="G470" s="427"/>
      <c r="H470" s="428" t="s">
        <v>36</v>
      </c>
      <c r="I470" s="210">
        <f ca="1">IFERROR(__xludf.DUMMYFUNCTION("IMPORTRANGE(""https://docs.google.com/spreadsheets/d/1IYY_tgx_IHuhSq3AJ5eI5OnqOPBNLWSHKh2a30DoXe8/edit?usp=sharing"",""ปัตตานี!I365"")"),0)</f>
        <v>0</v>
      </c>
      <c r="J470" s="196">
        <f ca="1">IFERROR(__xludf.DUMMYFUNCTION("IMPORTRANGE(""https://docs.google.com/spreadsheets/d/1IYY_tgx_IHuhSq3AJ5eI5OnqOPBNLWSHKh2a30DoXe8/edit?usp=sharing"",""ปัตตานี!J365"")"),2)</f>
        <v>2</v>
      </c>
      <c r="K470" s="169">
        <f t="shared" ca="1" si="117"/>
        <v>0</v>
      </c>
      <c r="L470" s="189"/>
      <c r="M470" s="189"/>
      <c r="N470" s="189"/>
      <c r="O470" s="189"/>
      <c r="P470" s="189"/>
    </row>
    <row r="471" spans="1:16" ht="21.75" customHeight="1" x14ac:dyDescent="0.35">
      <c r="A471" s="408"/>
      <c r="B471" s="409"/>
      <c r="C471" s="409"/>
      <c r="D471" s="410"/>
      <c r="E471" s="203"/>
      <c r="F471" s="396" t="s">
        <v>170</v>
      </c>
      <c r="G471" s="427"/>
      <c r="H471" s="428" t="s">
        <v>122</v>
      </c>
      <c r="I471" s="210">
        <f ca="1">IFERROR(__xludf.DUMMYFUNCTION("IMPORTRANGE(""https://docs.google.com/spreadsheets/d/1IYY_tgx_IHuhSq3AJ5eI5OnqOPBNLWSHKh2a30DoXe8/edit?usp=sharing"",""ปัตตานี!I366"")"),0)</f>
        <v>0</v>
      </c>
      <c r="J471" s="196">
        <f ca="1">IFERROR(__xludf.DUMMYFUNCTION("IMPORTRANGE(""https://docs.google.com/spreadsheets/d/1IYY_tgx_IHuhSq3AJ5eI5OnqOPBNLWSHKh2a30DoXe8/edit?usp=sharing"",""ปัตตานี!J366"")"),114.42)</f>
        <v>114.42</v>
      </c>
      <c r="K471" s="169">
        <f t="shared" ca="1" si="117"/>
        <v>0</v>
      </c>
      <c r="L471" s="189"/>
      <c r="M471" s="189"/>
      <c r="N471" s="189"/>
      <c r="O471" s="189"/>
      <c r="P471" s="189"/>
    </row>
    <row r="472" spans="1:16" ht="21.75" customHeight="1" x14ac:dyDescent="0.35">
      <c r="A472" s="408"/>
      <c r="B472" s="409"/>
      <c r="C472" s="409"/>
      <c r="D472" s="410"/>
      <c r="E472" s="203"/>
      <c r="F472" s="203"/>
      <c r="G472" s="203"/>
      <c r="H472" s="428" t="s">
        <v>36</v>
      </c>
      <c r="I472" s="210">
        <f ca="1">IFERROR(__xludf.DUMMYFUNCTION("IMPORTRANGE(""https://docs.google.com/spreadsheets/d/1IYY_tgx_IHuhSq3AJ5eI5OnqOPBNLWSHKh2a30DoXe8/edit?usp=sharing"",""ปัตตานี!I367"")"),0)</f>
        <v>0</v>
      </c>
      <c r="J472" s="196">
        <f ca="1">IFERROR(__xludf.DUMMYFUNCTION("IMPORTRANGE(""https://docs.google.com/spreadsheets/d/1IYY_tgx_IHuhSq3AJ5eI5OnqOPBNLWSHKh2a30DoXe8/edit?usp=sharing"",""ปัตตานี!J367"")"),15)</f>
        <v>15</v>
      </c>
      <c r="K472" s="169">
        <f t="shared" ca="1" si="117"/>
        <v>0</v>
      </c>
      <c r="L472" s="189"/>
      <c r="M472" s="189"/>
      <c r="N472" s="189"/>
      <c r="O472" s="189"/>
      <c r="P472" s="189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3"/>
      <c r="G473" s="204"/>
      <c r="H473" s="424" t="s">
        <v>122</v>
      </c>
      <c r="I473" s="426">
        <f ca="1">IFERROR(__xludf.DUMMYFUNCTION("IMPORTRANGE(""https://docs.google.com/spreadsheets/d/1IYY_tgx_IHuhSq3AJ5eI5OnqOPBNLWSHKh2a30DoXe8/edit?usp=sharing"",""ปัตตานี!I368"")"),2341)</f>
        <v>2341</v>
      </c>
      <c r="J473" s="426">
        <f ca="1">IFERROR(__xludf.DUMMYFUNCTION("IMPORTRANGE(""https://docs.google.com/spreadsheets/d/1IYY_tgx_IHuhSq3AJ5eI5OnqOPBNLWSHKh2a30DoXe8/edit?usp=sharing"",""ปัตตานี!J368"")"),2341.08)</f>
        <v>2341.08</v>
      </c>
      <c r="K473" s="209">
        <f t="shared" ca="1" si="117"/>
        <v>100.00341734301581</v>
      </c>
      <c r="L473" s="189"/>
      <c r="M473" s="189"/>
      <c r="N473" s="189"/>
      <c r="O473" s="189"/>
      <c r="P473" s="189"/>
    </row>
    <row r="474" spans="1:16" ht="21.75" customHeight="1" x14ac:dyDescent="0.35">
      <c r="A474" s="408"/>
      <c r="B474" s="409"/>
      <c r="C474" s="409"/>
      <c r="D474" s="410"/>
      <c r="E474" s="203"/>
      <c r="F474" s="203"/>
      <c r="G474" s="204"/>
      <c r="H474" s="424" t="s">
        <v>36</v>
      </c>
      <c r="I474" s="425">
        <f ca="1">IFERROR(__xludf.DUMMYFUNCTION("IMPORTRANGE(""https://docs.google.com/spreadsheets/d/1IYY_tgx_IHuhSq3AJ5eI5OnqOPBNLWSHKh2a30DoXe8/edit?usp=sharing"",""ปัตตานี!I369"")"),396)</f>
        <v>396</v>
      </c>
      <c r="J474" s="426">
        <f ca="1">IFERROR(__xludf.DUMMYFUNCTION("IMPORTRANGE(""https://docs.google.com/spreadsheets/d/1IYY_tgx_IHuhSq3AJ5eI5OnqOPBNLWSHKh2a30DoXe8/edit?usp=sharing"",""ปัตตานี!J369"")"),396)</f>
        <v>396</v>
      </c>
      <c r="K474" s="169">
        <f t="shared" ca="1" si="117"/>
        <v>100</v>
      </c>
      <c r="L474" s="189"/>
      <c r="M474" s="189"/>
      <c r="N474" s="189"/>
      <c r="O474" s="189"/>
      <c r="P474" s="189"/>
    </row>
    <row r="475" spans="1:16" ht="21.75" customHeight="1" x14ac:dyDescent="0.35">
      <c r="A475" s="408"/>
      <c r="B475" s="409"/>
      <c r="C475" s="409"/>
      <c r="D475" s="410"/>
      <c r="E475" s="203"/>
      <c r="F475" s="202" t="s">
        <v>172</v>
      </c>
      <c r="G475" s="427"/>
      <c r="H475" s="428" t="s">
        <v>122</v>
      </c>
      <c r="I475" s="210">
        <f ca="1">IFERROR(__xludf.DUMMYFUNCTION("IMPORTRANGE(""https://docs.google.com/spreadsheets/d/1IYY_tgx_IHuhSq3AJ5eI5OnqOPBNLWSHKh2a30DoXe8/edit?usp=sharing"",""ปัตตานี!I370"")"),0)</f>
        <v>0</v>
      </c>
      <c r="J475" s="196">
        <f ca="1">IFERROR(__xludf.DUMMYFUNCTION("IMPORTRANGE(""https://docs.google.com/spreadsheets/d/1IYY_tgx_IHuhSq3AJ5eI5OnqOPBNLWSHKh2a30DoXe8/edit?usp=sharing"",""ปัตตานี!J370"")"),2226.66)</f>
        <v>2226.66</v>
      </c>
      <c r="K475" s="169">
        <f t="shared" ca="1" si="117"/>
        <v>0</v>
      </c>
      <c r="L475" s="189"/>
      <c r="M475" s="189"/>
      <c r="N475" s="189"/>
      <c r="O475" s="189"/>
      <c r="P475" s="189"/>
    </row>
    <row r="476" spans="1:16" ht="21.75" customHeight="1" x14ac:dyDescent="0.35">
      <c r="A476" s="408"/>
      <c r="B476" s="409"/>
      <c r="C476" s="409"/>
      <c r="D476" s="410"/>
      <c r="E476" s="203"/>
      <c r="F476" s="203"/>
      <c r="G476" s="427"/>
      <c r="H476" s="428" t="s">
        <v>36</v>
      </c>
      <c r="I476" s="210">
        <f ca="1">IFERROR(__xludf.DUMMYFUNCTION("IMPORTRANGE(""https://docs.google.com/spreadsheets/d/1IYY_tgx_IHuhSq3AJ5eI5OnqOPBNLWSHKh2a30DoXe8/edit?usp=sharing"",""ปัตตานี!I371"")"),0)</f>
        <v>0</v>
      </c>
      <c r="J476" s="196">
        <f ca="1">IFERROR(__xludf.DUMMYFUNCTION("IMPORTRANGE(""https://docs.google.com/spreadsheets/d/1IYY_tgx_IHuhSq3AJ5eI5OnqOPBNLWSHKh2a30DoXe8/edit?usp=sharing"",""ปัตตานี!J371"")"),381)</f>
        <v>381</v>
      </c>
      <c r="K476" s="169">
        <f t="shared" ca="1" si="117"/>
        <v>0</v>
      </c>
      <c r="L476" s="189"/>
      <c r="M476" s="189"/>
      <c r="N476" s="189"/>
      <c r="O476" s="189"/>
      <c r="P476" s="189"/>
    </row>
    <row r="477" spans="1:16" ht="21.75" customHeight="1" x14ac:dyDescent="0.35">
      <c r="A477" s="408"/>
      <c r="B477" s="409"/>
      <c r="C477" s="409"/>
      <c r="D477" s="410"/>
      <c r="E477" s="203"/>
      <c r="F477" s="202" t="s">
        <v>173</v>
      </c>
      <c r="G477" s="427"/>
      <c r="H477" s="428" t="s">
        <v>122</v>
      </c>
      <c r="I477" s="210">
        <f ca="1">IFERROR(__xludf.DUMMYFUNCTION("IMPORTRANGE(""https://docs.google.com/spreadsheets/d/1IYY_tgx_IHuhSq3AJ5eI5OnqOPBNLWSHKh2a30DoXe8/edit?usp=sharing"",""ปัตตานี!I372"")"),0)</f>
        <v>0</v>
      </c>
      <c r="J477" s="196">
        <f ca="1">IFERROR(__xludf.DUMMYFUNCTION("IMPORTRANGE(""https://docs.google.com/spreadsheets/d/1IYY_tgx_IHuhSq3AJ5eI5OnqOPBNLWSHKh2a30DoXe8/edit?usp=sharing"",""ปัตตานี!J372"")"),0)</f>
        <v>0</v>
      </c>
      <c r="K477" s="169">
        <f t="shared" ca="1" si="117"/>
        <v>0</v>
      </c>
      <c r="L477" s="189"/>
      <c r="M477" s="189"/>
      <c r="N477" s="189"/>
      <c r="O477" s="189"/>
      <c r="P477" s="189"/>
    </row>
    <row r="478" spans="1:16" ht="21.75" customHeight="1" x14ac:dyDescent="0.35">
      <c r="A478" s="408"/>
      <c r="B478" s="409"/>
      <c r="C478" s="409"/>
      <c r="D478" s="410"/>
      <c r="E478" s="203"/>
      <c r="F478" s="203"/>
      <c r="G478" s="427"/>
      <c r="H478" s="428" t="s">
        <v>36</v>
      </c>
      <c r="I478" s="210">
        <f ca="1">IFERROR(__xludf.DUMMYFUNCTION("IMPORTRANGE(""https://docs.google.com/spreadsheets/d/1IYY_tgx_IHuhSq3AJ5eI5OnqOPBNLWSHKh2a30DoXe8/edit?usp=sharing"",""ปัตตานี!I373"")"),0)</f>
        <v>0</v>
      </c>
      <c r="J478" s="196">
        <f ca="1">IFERROR(__xludf.DUMMYFUNCTION("IMPORTRANGE(""https://docs.google.com/spreadsheets/d/1IYY_tgx_IHuhSq3AJ5eI5OnqOPBNLWSHKh2a30DoXe8/edit?usp=sharing"",""ปัตตานี!J373"")"),0)</f>
        <v>0</v>
      </c>
      <c r="K478" s="169">
        <f t="shared" ca="1" si="117"/>
        <v>0</v>
      </c>
      <c r="L478" s="189"/>
      <c r="M478" s="189"/>
      <c r="N478" s="189"/>
      <c r="O478" s="189"/>
      <c r="P478" s="189"/>
    </row>
    <row r="479" spans="1:16" ht="21.75" customHeight="1" x14ac:dyDescent="0.35">
      <c r="A479" s="408"/>
      <c r="B479" s="409"/>
      <c r="C479" s="409"/>
      <c r="D479" s="410"/>
      <c r="E479" s="203"/>
      <c r="F479" s="202" t="s">
        <v>174</v>
      </c>
      <c r="G479" s="427"/>
      <c r="H479" s="428" t="s">
        <v>122</v>
      </c>
      <c r="I479" s="210">
        <f ca="1">IFERROR(__xludf.DUMMYFUNCTION("IMPORTRANGE(""https://docs.google.com/spreadsheets/d/1IYY_tgx_IHuhSq3AJ5eI5OnqOPBNLWSHKh2a30DoXe8/edit?usp=sharing"",""ปัตตานี!I374"")"),0)</f>
        <v>0</v>
      </c>
      <c r="J479" s="196">
        <f ca="1">IFERROR(__xludf.DUMMYFUNCTION("IMPORTRANGE(""https://docs.google.com/spreadsheets/d/1IYY_tgx_IHuhSq3AJ5eI5OnqOPBNLWSHKh2a30DoXe8/edit?usp=sharing"",""ปัตตานี!J374"")"),114.42)</f>
        <v>114.42</v>
      </c>
      <c r="K479" s="169">
        <f t="shared" ca="1" si="117"/>
        <v>0</v>
      </c>
      <c r="L479" s="189"/>
      <c r="M479" s="189"/>
      <c r="N479" s="189"/>
      <c r="O479" s="189"/>
      <c r="P479" s="189"/>
    </row>
    <row r="480" spans="1:16" ht="21.75" customHeight="1" x14ac:dyDescent="0.35">
      <c r="A480" s="408"/>
      <c r="B480" s="409"/>
      <c r="C480" s="409"/>
      <c r="D480" s="410"/>
      <c r="E480" s="203"/>
      <c r="F480" s="203"/>
      <c r="G480" s="204"/>
      <c r="H480" s="428" t="s">
        <v>36</v>
      </c>
      <c r="I480" s="210">
        <f ca="1">IFERROR(__xludf.DUMMYFUNCTION("IMPORTRANGE(""https://docs.google.com/spreadsheets/d/1IYY_tgx_IHuhSq3AJ5eI5OnqOPBNLWSHKh2a30DoXe8/edit?usp=sharing"",""ปัตตานี!I375"")"),0)</f>
        <v>0</v>
      </c>
      <c r="J480" s="196">
        <f ca="1">IFERROR(__xludf.DUMMYFUNCTION("IMPORTRANGE(""https://docs.google.com/spreadsheets/d/1IYY_tgx_IHuhSq3AJ5eI5OnqOPBNLWSHKh2a30DoXe8/edit?usp=sharing"",""ปัตตานี!J375"")"),15)</f>
        <v>15</v>
      </c>
      <c r="K480" s="169">
        <f t="shared" ca="1" si="117"/>
        <v>0</v>
      </c>
      <c r="L480" s="189"/>
      <c r="M480" s="189"/>
      <c r="N480" s="189"/>
      <c r="O480" s="189"/>
      <c r="P480" s="189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IFERROR(__xludf.DUMMYFUNCTION("IMPORTRANGE(""https://docs.google.com/spreadsheets/d/1IYY_tgx_IHuhSq3AJ5eI5OnqOPBNLWSHKh2a30DoXe8/edit?usp=sharing"",""ปัตตานี!I376"")"),2341)</f>
        <v>2341</v>
      </c>
      <c r="J481" s="426">
        <f ca="1">IFERROR(__xludf.DUMMYFUNCTION("IMPORTRANGE(""https://docs.google.com/spreadsheets/d/1IYY_tgx_IHuhSq3AJ5eI5OnqOPBNLWSHKh2a30DoXe8/edit?usp=sharing"",""ปัตตานี!J376"")"),2341.08)</f>
        <v>2341.08</v>
      </c>
      <c r="K481" s="209">
        <f t="shared" ca="1" si="117"/>
        <v>100.00341734301581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3"/>
      <c r="F482" s="203"/>
      <c r="G482" s="204"/>
      <c r="H482" s="424" t="s">
        <v>36</v>
      </c>
      <c r="I482" s="425">
        <f ca="1">IFERROR(__xludf.DUMMYFUNCTION("IMPORTRANGE(""https://docs.google.com/spreadsheets/d/1IYY_tgx_IHuhSq3AJ5eI5OnqOPBNLWSHKh2a30DoXe8/edit?usp=sharing"",""ปัตตานี!I377"")"),396)</f>
        <v>396</v>
      </c>
      <c r="J482" s="426">
        <f ca="1">IFERROR(__xludf.DUMMYFUNCTION("IMPORTRANGE(""https://docs.google.com/spreadsheets/d/1IYY_tgx_IHuhSq3AJ5eI5OnqOPBNLWSHKh2a30DoXe8/edit?usp=sharing"",""ปัตตานี!J377"")"),396)</f>
        <v>396</v>
      </c>
      <c r="K482" s="169">
        <f t="shared" ca="1" si="117"/>
        <v>100</v>
      </c>
      <c r="L482" s="189"/>
      <c r="M482" s="189"/>
      <c r="N482" s="189"/>
      <c r="O482" s="189"/>
      <c r="P482" s="189"/>
    </row>
    <row r="483" spans="1:16" ht="21.75" customHeight="1" x14ac:dyDescent="0.35">
      <c r="A483" s="408"/>
      <c r="B483" s="409"/>
      <c r="C483" s="409"/>
      <c r="D483" s="410"/>
      <c r="E483" s="203"/>
      <c r="F483" s="202" t="s">
        <v>176</v>
      </c>
      <c r="G483" s="427"/>
      <c r="H483" s="428" t="s">
        <v>122</v>
      </c>
      <c r="I483" s="210">
        <f ca="1">IFERROR(__xludf.DUMMYFUNCTION("IMPORTRANGE(""https://docs.google.com/spreadsheets/d/1IYY_tgx_IHuhSq3AJ5eI5OnqOPBNLWSHKh2a30DoXe8/edit?usp=sharing"",""ปัตตานี!I378"")"),0)</f>
        <v>0</v>
      </c>
      <c r="J483" s="196">
        <f ca="1">IFERROR(__xludf.DUMMYFUNCTION("IMPORTRANGE(""https://docs.google.com/spreadsheets/d/1IYY_tgx_IHuhSq3AJ5eI5OnqOPBNLWSHKh2a30DoXe8/edit?usp=sharing"",""ปัตตานี!J378"")"),2226.66)</f>
        <v>2226.66</v>
      </c>
      <c r="K483" s="169">
        <f t="shared" ca="1" si="117"/>
        <v>0</v>
      </c>
      <c r="L483" s="189"/>
      <c r="M483" s="189"/>
      <c r="N483" s="189"/>
      <c r="O483" s="189"/>
      <c r="P483" s="189"/>
    </row>
    <row r="484" spans="1:16" ht="21.75" customHeight="1" x14ac:dyDescent="0.35">
      <c r="A484" s="408"/>
      <c r="B484" s="409"/>
      <c r="C484" s="409"/>
      <c r="D484" s="410"/>
      <c r="E484" s="203"/>
      <c r="F484" s="203"/>
      <c r="G484" s="427"/>
      <c r="H484" s="428" t="s">
        <v>36</v>
      </c>
      <c r="I484" s="210">
        <f ca="1">IFERROR(__xludf.DUMMYFUNCTION("IMPORTRANGE(""https://docs.google.com/spreadsheets/d/1IYY_tgx_IHuhSq3AJ5eI5OnqOPBNLWSHKh2a30DoXe8/edit?usp=sharing"",""ปัตตานี!I379"")"),0)</f>
        <v>0</v>
      </c>
      <c r="J484" s="196">
        <f ca="1">IFERROR(__xludf.DUMMYFUNCTION("IMPORTRANGE(""https://docs.google.com/spreadsheets/d/1IYY_tgx_IHuhSq3AJ5eI5OnqOPBNLWSHKh2a30DoXe8/edit?usp=sharing"",""ปัตตานี!J379"")"),381)</f>
        <v>381</v>
      </c>
      <c r="K484" s="169">
        <f t="shared" ca="1" si="117"/>
        <v>0</v>
      </c>
      <c r="L484" s="189"/>
      <c r="M484" s="189"/>
      <c r="N484" s="189"/>
      <c r="O484" s="189"/>
      <c r="P484" s="189"/>
    </row>
    <row r="485" spans="1:16" ht="21.75" customHeight="1" x14ac:dyDescent="0.35">
      <c r="A485" s="408"/>
      <c r="B485" s="409"/>
      <c r="C485" s="409"/>
      <c r="D485" s="410"/>
      <c r="E485" s="203"/>
      <c r="F485" s="202" t="s">
        <v>177</v>
      </c>
      <c r="G485" s="427"/>
      <c r="H485" s="428" t="s">
        <v>122</v>
      </c>
      <c r="I485" s="210">
        <f ca="1">IFERROR(__xludf.DUMMYFUNCTION("IMPORTRANGE(""https://docs.google.com/spreadsheets/d/1IYY_tgx_IHuhSq3AJ5eI5OnqOPBNLWSHKh2a30DoXe8/edit?usp=sharing"",""ปัตตานี!I380"")"),0)</f>
        <v>0</v>
      </c>
      <c r="J485" s="196">
        <f ca="1">IFERROR(__xludf.DUMMYFUNCTION("IMPORTRANGE(""https://docs.google.com/spreadsheets/d/1IYY_tgx_IHuhSq3AJ5eI5OnqOPBNLWSHKh2a30DoXe8/edit?usp=sharing"",""ปัตตานี!J380"")"),0)</f>
        <v>0</v>
      </c>
      <c r="K485" s="169">
        <f t="shared" ca="1" si="117"/>
        <v>0</v>
      </c>
      <c r="L485" s="189"/>
      <c r="M485" s="189"/>
      <c r="N485" s="189"/>
      <c r="O485" s="189"/>
      <c r="P485" s="189"/>
    </row>
    <row r="486" spans="1:16" ht="21.75" customHeight="1" x14ac:dyDescent="0.35">
      <c r="A486" s="408"/>
      <c r="B486" s="409"/>
      <c r="C486" s="409"/>
      <c r="D486" s="410"/>
      <c r="E486" s="203"/>
      <c r="F486" s="203"/>
      <c r="G486" s="427"/>
      <c r="H486" s="428" t="s">
        <v>36</v>
      </c>
      <c r="I486" s="210">
        <f ca="1">IFERROR(__xludf.DUMMYFUNCTION("IMPORTRANGE(""https://docs.google.com/spreadsheets/d/1IYY_tgx_IHuhSq3AJ5eI5OnqOPBNLWSHKh2a30DoXe8/edit?usp=sharing"",""ปัตตานี!I381"")"),0)</f>
        <v>0</v>
      </c>
      <c r="J486" s="196">
        <f ca="1">IFERROR(__xludf.DUMMYFUNCTION("IMPORTRANGE(""https://docs.google.com/spreadsheets/d/1IYY_tgx_IHuhSq3AJ5eI5OnqOPBNLWSHKh2a30DoXe8/edit?usp=sharing"",""ปัตตานี!J381"")"),0)</f>
        <v>0</v>
      </c>
      <c r="K486" s="169">
        <f t="shared" ca="1" si="117"/>
        <v>0</v>
      </c>
      <c r="L486" s="189"/>
      <c r="M486" s="189"/>
      <c r="N486" s="189"/>
      <c r="O486" s="189"/>
      <c r="P486" s="189"/>
    </row>
    <row r="487" spans="1:16" ht="21.75" customHeight="1" x14ac:dyDescent="0.35">
      <c r="A487" s="408"/>
      <c r="B487" s="409"/>
      <c r="C487" s="409"/>
      <c r="D487" s="410"/>
      <c r="E487" s="203"/>
      <c r="F487" s="202" t="s">
        <v>178</v>
      </c>
      <c r="G487" s="427"/>
      <c r="H487" s="428" t="s">
        <v>122</v>
      </c>
      <c r="I487" s="210">
        <f ca="1">IFERROR(__xludf.DUMMYFUNCTION("IMPORTRANGE(""https://docs.google.com/spreadsheets/d/1IYY_tgx_IHuhSq3AJ5eI5OnqOPBNLWSHKh2a30DoXe8/edit?usp=sharing"",""ปัตตานี!I382"")"),0)</f>
        <v>0</v>
      </c>
      <c r="J487" s="426">
        <f ca="1">IFERROR(__xludf.DUMMYFUNCTION("IMPORTRANGE(""https://docs.google.com/spreadsheets/d/1IYY_tgx_IHuhSq3AJ5eI5OnqOPBNLWSHKh2a30DoXe8/edit?usp=sharing"",""ปัตตานี!J382"")"),114.42)</f>
        <v>114.42</v>
      </c>
      <c r="K487" s="169">
        <f t="shared" ca="1" si="117"/>
        <v>0</v>
      </c>
      <c r="L487" s="189"/>
      <c r="M487" s="189"/>
      <c r="N487" s="189"/>
      <c r="O487" s="189"/>
      <c r="P487" s="189"/>
    </row>
    <row r="488" spans="1:16" ht="21.75" customHeight="1" x14ac:dyDescent="0.35">
      <c r="A488" s="408"/>
      <c r="B488" s="409"/>
      <c r="C488" s="409"/>
      <c r="D488" s="410"/>
      <c r="E488" s="203"/>
      <c r="F488" s="203"/>
      <c r="G488" s="203"/>
      <c r="H488" s="428" t="s">
        <v>36</v>
      </c>
      <c r="I488" s="210">
        <f ca="1">IFERROR(__xludf.DUMMYFUNCTION("IMPORTRANGE(""https://docs.google.com/spreadsheets/d/1IYY_tgx_IHuhSq3AJ5eI5OnqOPBNLWSHKh2a30DoXe8/edit?usp=sharing"",""ปัตตานี!I383"")"),0)</f>
        <v>0</v>
      </c>
      <c r="J488" s="426">
        <f ca="1">IFERROR(__xludf.DUMMYFUNCTION("IMPORTRANGE(""https://docs.google.com/spreadsheets/d/1IYY_tgx_IHuhSq3AJ5eI5OnqOPBNLWSHKh2a30DoXe8/edit?usp=sharing"",""ปัตตานี!J383"")"),15)</f>
        <v>15</v>
      </c>
      <c r="K488" s="169">
        <f t="shared" ca="1" si="117"/>
        <v>0</v>
      </c>
      <c r="L488" s="189"/>
      <c r="M488" s="189"/>
      <c r="N488" s="189"/>
      <c r="O488" s="189"/>
      <c r="P488" s="189"/>
    </row>
    <row r="489" spans="1:16" ht="21.75" customHeight="1" x14ac:dyDescent="0.35">
      <c r="A489" s="408"/>
      <c r="B489" s="409"/>
      <c r="C489" s="409"/>
      <c r="D489" s="410"/>
      <c r="E489" s="203"/>
      <c r="F489" s="203"/>
      <c r="G489" s="202" t="s">
        <v>179</v>
      </c>
      <c r="H489" s="428" t="s">
        <v>122</v>
      </c>
      <c r="I489" s="210">
        <f ca="1">IFERROR(__xludf.DUMMYFUNCTION("IMPORTRANGE(""https://docs.google.com/spreadsheets/d/1IYY_tgx_IHuhSq3AJ5eI5OnqOPBNLWSHKh2a30DoXe8/edit?usp=sharing"",""ปัตตานี!I384"")"),0)</f>
        <v>0</v>
      </c>
      <c r="J489" s="196">
        <f ca="1">IFERROR(__xludf.DUMMYFUNCTION("IMPORTRANGE(""https://docs.google.com/spreadsheets/d/1IYY_tgx_IHuhSq3AJ5eI5OnqOPBNLWSHKh2a30DoXe8/edit?usp=sharing"",""ปัตตานี!J384"")"),114.42)</f>
        <v>114.42</v>
      </c>
      <c r="K489" s="169">
        <f t="shared" ca="1" si="117"/>
        <v>0</v>
      </c>
      <c r="L489" s="189"/>
      <c r="M489" s="189"/>
      <c r="N489" s="189"/>
      <c r="O489" s="189"/>
      <c r="P489" s="189"/>
    </row>
    <row r="490" spans="1:16" ht="21.75" customHeight="1" x14ac:dyDescent="0.35">
      <c r="A490" s="408"/>
      <c r="B490" s="409"/>
      <c r="C490" s="409"/>
      <c r="D490" s="410"/>
      <c r="E490" s="203"/>
      <c r="F490" s="203"/>
      <c r="G490" s="203"/>
      <c r="H490" s="428" t="s">
        <v>36</v>
      </c>
      <c r="I490" s="210">
        <f ca="1">IFERROR(__xludf.DUMMYFUNCTION("IMPORTRANGE(""https://docs.google.com/spreadsheets/d/1IYY_tgx_IHuhSq3AJ5eI5OnqOPBNLWSHKh2a30DoXe8/edit?usp=sharing"",""ปัตตานี!I385"")"),0)</f>
        <v>0</v>
      </c>
      <c r="J490" s="196">
        <f ca="1">IFERROR(__xludf.DUMMYFUNCTION("IMPORTRANGE(""https://docs.google.com/spreadsheets/d/1IYY_tgx_IHuhSq3AJ5eI5OnqOPBNLWSHKh2a30DoXe8/edit?usp=sharing"",""ปัตตานี!J385"")"),15)</f>
        <v>15</v>
      </c>
      <c r="K490" s="169">
        <f t="shared" ca="1" si="117"/>
        <v>0</v>
      </c>
      <c r="L490" s="189"/>
      <c r="M490" s="189"/>
      <c r="N490" s="189"/>
      <c r="O490" s="189"/>
      <c r="P490" s="189"/>
    </row>
    <row r="491" spans="1:16" ht="21.75" customHeight="1" x14ac:dyDescent="0.35">
      <c r="A491" s="408"/>
      <c r="B491" s="409"/>
      <c r="C491" s="409"/>
      <c r="D491" s="410"/>
      <c r="E491" s="203"/>
      <c r="F491" s="203"/>
      <c r="G491" s="202" t="s">
        <v>180</v>
      </c>
      <c r="H491" s="428" t="s">
        <v>122</v>
      </c>
      <c r="I491" s="210">
        <f ca="1">IFERROR(__xludf.DUMMYFUNCTION("IMPORTRANGE(""https://docs.google.com/spreadsheets/d/1IYY_tgx_IHuhSq3AJ5eI5OnqOPBNLWSHKh2a30DoXe8/edit?usp=sharing"",""ปัตตานี!I386"")"),0)</f>
        <v>0</v>
      </c>
      <c r="J491" s="196">
        <f ca="1">IFERROR(__xludf.DUMMYFUNCTION("IMPORTRANGE(""https://docs.google.com/spreadsheets/d/1IYY_tgx_IHuhSq3AJ5eI5OnqOPBNLWSHKh2a30DoXe8/edit?usp=sharing"",""ปัตตานี!J386"")"),0)</f>
        <v>0</v>
      </c>
      <c r="K491" s="169">
        <f t="shared" ca="1" si="117"/>
        <v>0</v>
      </c>
      <c r="L491" s="189"/>
      <c r="M491" s="189"/>
      <c r="N491" s="189"/>
      <c r="O491" s="189"/>
      <c r="P491" s="189"/>
    </row>
    <row r="492" spans="1:16" ht="21.75" customHeight="1" x14ac:dyDescent="0.35">
      <c r="A492" s="408"/>
      <c r="B492" s="409"/>
      <c r="C492" s="409"/>
      <c r="D492" s="410"/>
      <c r="E492" s="203"/>
      <c r="F492" s="203"/>
      <c r="G492" s="204"/>
      <c r="H492" s="428" t="s">
        <v>36</v>
      </c>
      <c r="I492" s="210">
        <f ca="1">IFERROR(__xludf.DUMMYFUNCTION("IMPORTRANGE(""https://docs.google.com/spreadsheets/d/1IYY_tgx_IHuhSq3AJ5eI5OnqOPBNLWSHKh2a30DoXe8/edit?usp=sharing"",""ปัตตานี!I387"")"),0)</f>
        <v>0</v>
      </c>
      <c r="J492" s="196">
        <f ca="1">IFERROR(__xludf.DUMMYFUNCTION("IMPORTRANGE(""https://docs.google.com/spreadsheets/d/1IYY_tgx_IHuhSq3AJ5eI5OnqOPBNLWSHKh2a30DoXe8/edit?usp=sharing"",""ปัตตานี!J387"")"),0)</f>
        <v>0</v>
      </c>
      <c r="K492" s="169">
        <f t="shared" ca="1" si="117"/>
        <v>0</v>
      </c>
      <c r="L492" s="189"/>
      <c r="M492" s="189"/>
      <c r="N492" s="189"/>
      <c r="O492" s="189"/>
      <c r="P492" s="189"/>
    </row>
    <row r="493" spans="1:16" ht="21.75" customHeight="1" x14ac:dyDescent="0.35">
      <c r="A493" s="408"/>
      <c r="B493" s="409"/>
      <c r="C493" s="409"/>
      <c r="D493" s="410"/>
      <c r="E493" s="203"/>
      <c r="F493" s="202" t="s">
        <v>181</v>
      </c>
      <c r="G493" s="427"/>
      <c r="H493" s="428" t="s">
        <v>122</v>
      </c>
      <c r="I493" s="210">
        <f ca="1">IFERROR(__xludf.DUMMYFUNCTION("IMPORTRANGE(""https://docs.google.com/spreadsheets/d/1IYY_tgx_IHuhSq3AJ5eI5OnqOPBNLWSHKh2a30DoXe8/edit?usp=sharing"",""ปัตตานี!I388"")"),0)</f>
        <v>0</v>
      </c>
      <c r="J493" s="196">
        <f ca="1">IFERROR(__xludf.DUMMYFUNCTION("IMPORTRANGE(""https://docs.google.com/spreadsheets/d/1IYY_tgx_IHuhSq3AJ5eI5OnqOPBNLWSHKh2a30DoXe8/edit?usp=sharing"",""ปัตตานี!J388"")"),0)</f>
        <v>0</v>
      </c>
      <c r="K493" s="169">
        <f t="shared" ca="1" si="117"/>
        <v>0</v>
      </c>
      <c r="L493" s="189"/>
      <c r="M493" s="189"/>
      <c r="N493" s="189"/>
      <c r="O493" s="189"/>
      <c r="P493" s="189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IFERROR(__xludf.DUMMYFUNCTION("IMPORTRANGE(""https://docs.google.com/spreadsheets/d/1IYY_tgx_IHuhSq3AJ5eI5OnqOPBNLWSHKh2a30DoXe8/edit?usp=sharing"",""ปัตตานี!I389"")"),0)</f>
        <v>0</v>
      </c>
      <c r="J494" s="442">
        <f ca="1">IFERROR(__xludf.DUMMYFUNCTION("IMPORTRANGE(""https://docs.google.com/spreadsheets/d/1IYY_tgx_IHuhSq3AJ5eI5OnqOPBNLWSHKh2a30DoXe8/edit?usp=sharing"",""ปัตตานี!J389"")"),0)</f>
        <v>0</v>
      </c>
      <c r="K494" s="294">
        <f t="shared" ca="1" si="117"/>
        <v>0</v>
      </c>
      <c r="L494" s="252"/>
      <c r="M494" s="252"/>
      <c r="N494" s="252"/>
      <c r="O494" s="252"/>
      <c r="P494" s="252"/>
    </row>
    <row r="495" spans="1:16" ht="21.75" customHeight="1" x14ac:dyDescent="0.35">
      <c r="A495" s="408"/>
      <c r="B495" s="409"/>
      <c r="C495" s="409"/>
      <c r="D495" s="410"/>
      <c r="E495" s="203"/>
      <c r="F495" s="203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IFERROR(__xludf.DUMMYFUNCTION("IMPORTRANGE(""https://docs.google.com/spreadsheets/d/1IYY_tgx_IHuhSq3AJ5eI5OnqOPBNLWSHKh2a30DoXe8/edit?usp=sharing"",""ปัตตานี!I390"")"),0)</f>
        <v>0</v>
      </c>
      <c r="J495" s="442">
        <f ca="1">IFERROR(__xludf.DUMMYFUNCTION("IMPORTRANGE(""https://docs.google.com/spreadsheets/d/1IYY_tgx_IHuhSq3AJ5eI5OnqOPBNLWSHKh2a30DoXe8/edit?usp=sharing"",""ปัตตานี!J390"")"),0)</f>
        <v>0</v>
      </c>
      <c r="K495" s="169">
        <f t="shared" ca="1" si="117"/>
        <v>0</v>
      </c>
      <c r="L495" s="189"/>
      <c r="M495" s="189"/>
      <c r="N495" s="189"/>
      <c r="O495" s="189"/>
      <c r="P495" s="189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IFERROR(__xludf.DUMMYFUNCTION("IMPORTRANGE(""https://docs.google.com/spreadsheets/d/1IYY_tgx_IHuhSq3AJ5eI5OnqOPBNLWSHKh2a30DoXe8/edit?usp=sharing"",""ปัตตานี!I391"")"),0)</f>
        <v>0</v>
      </c>
      <c r="J496" s="442">
        <f ca="1">IFERROR(__xludf.DUMMYFUNCTION("IMPORTRANGE(""https://docs.google.com/spreadsheets/d/1IYY_tgx_IHuhSq3AJ5eI5OnqOPBNLWSHKh2a30DoXe8/edit?usp=sharing"",""ปัตตานี!J391"")"),0)</f>
        <v>0</v>
      </c>
      <c r="K496" s="294">
        <f t="shared" ca="1" si="117"/>
        <v>0</v>
      </c>
      <c r="L496" s="252"/>
      <c r="M496" s="252"/>
      <c r="N496" s="252"/>
      <c r="O496" s="252"/>
      <c r="P496" s="252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IFERROR(__xludf.DUMMYFUNCTION("IMPORTRANGE(""https://docs.google.com/spreadsheets/d/1IYY_tgx_IHuhSq3AJ5eI5OnqOPBNLWSHKh2a30DoXe8/edit?usp=sharing"",""ปัตตานี!I392"")"),0)</f>
        <v>0</v>
      </c>
      <c r="J497" s="449">
        <f ca="1">IFERROR(__xludf.DUMMYFUNCTION("IMPORTRANGE(""https://docs.google.com/spreadsheets/d/1IYY_tgx_IHuhSq3AJ5eI5OnqOPBNLWSHKh2a30DoXe8/edit?usp=sharing"",""ปัตตานี!J392"")"),0)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3"/>
      <c r="B498" s="184"/>
      <c r="C498" s="184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IFERROR(__xludf.DUMMYFUNCTION("IMPORTRANGE(""https://docs.google.com/spreadsheets/d/1IYY_tgx_IHuhSq3AJ5eI5OnqOPBNLWSHKh2a30DoXe8/edit?usp=sharing"",""ปัตตานี!I393"")"),0)</f>
        <v>0</v>
      </c>
      <c r="J498" s="426">
        <f ca="1">IFERROR(__xludf.DUMMYFUNCTION("IMPORTRANGE(""https://docs.google.com/spreadsheets/d/1IYY_tgx_IHuhSq3AJ5eI5OnqOPBNLWSHKh2a30DoXe8/edit?usp=sharing"",""ปัตตานี!J393"")"),0)</f>
        <v>0</v>
      </c>
      <c r="K498" s="169">
        <f t="shared" ca="1" si="117"/>
        <v>0</v>
      </c>
      <c r="L498" s="189"/>
      <c r="M498" s="189"/>
      <c r="N498" s="189"/>
      <c r="O498" s="189"/>
      <c r="P498" s="189"/>
    </row>
    <row r="499" spans="1:16" ht="21.75" customHeight="1" x14ac:dyDescent="0.35">
      <c r="A499" s="183"/>
      <c r="B499" s="184"/>
      <c r="C499" s="184"/>
      <c r="D499" s="201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IFERROR(__xludf.DUMMYFUNCTION("IMPORTRANGE(""https://docs.google.com/spreadsheets/d/1IYY_tgx_IHuhSq3AJ5eI5OnqOPBNLWSHKh2a30DoXe8/edit?usp=sharing"",""ปัตตานี!I394"")"),0)</f>
        <v>0</v>
      </c>
      <c r="J499" s="426">
        <f ca="1">IFERROR(__xludf.DUMMYFUNCTION("IMPORTRANGE(""https://docs.google.com/spreadsheets/d/1IYY_tgx_IHuhSq3AJ5eI5OnqOPBNLWSHKh2a30DoXe8/edit?usp=sharing"",""ปัตตานี!J394"")"),0)</f>
        <v>0</v>
      </c>
      <c r="K499" s="209">
        <f t="shared" ca="1" si="117"/>
        <v>0</v>
      </c>
      <c r="L499" s="189"/>
      <c r="M499" s="189"/>
      <c r="N499" s="189"/>
      <c r="O499" s="189"/>
      <c r="P499" s="189"/>
    </row>
    <row r="500" spans="1:16" ht="21.75" customHeight="1" x14ac:dyDescent="0.35">
      <c r="A500" s="183"/>
      <c r="B500" s="184"/>
      <c r="C500" s="184"/>
      <c r="D500" s="410"/>
      <c r="E500" s="410" t="s">
        <v>185</v>
      </c>
      <c r="F500" s="203"/>
      <c r="G500" s="204"/>
      <c r="H500" s="428" t="s">
        <v>122</v>
      </c>
      <c r="I500" s="210">
        <f ca="1">IFERROR(__xludf.DUMMYFUNCTION("IMPORTRANGE(""https://docs.google.com/spreadsheets/d/1IYY_tgx_IHuhSq3AJ5eI5OnqOPBNLWSHKh2a30DoXe8/edit?usp=sharing"",""ปัตตานี!I395"")"),0)</f>
        <v>0</v>
      </c>
      <c r="J500" s="168">
        <f ca="1">IFERROR(__xludf.DUMMYFUNCTION("IMPORTRANGE(""https://docs.google.com/spreadsheets/d/1IYY_tgx_IHuhSq3AJ5eI5OnqOPBNLWSHKh2a30DoXe8/edit?usp=sharing"",""ปัตตานี!J395"")"),0)</f>
        <v>0</v>
      </c>
      <c r="K500" s="169">
        <f t="shared" ca="1" si="117"/>
        <v>0</v>
      </c>
      <c r="L500" s="189"/>
      <c r="M500" s="189"/>
      <c r="N500" s="189"/>
      <c r="O500" s="189"/>
      <c r="P500" s="189"/>
    </row>
    <row r="501" spans="1:16" ht="21.75" customHeight="1" x14ac:dyDescent="0.35">
      <c r="A501" s="183"/>
      <c r="B501" s="184"/>
      <c r="C501" s="184"/>
      <c r="D501" s="201"/>
      <c r="E501" s="203"/>
      <c r="F501" s="203"/>
      <c r="G501" s="204"/>
      <c r="H501" s="428" t="s">
        <v>36</v>
      </c>
      <c r="I501" s="210">
        <f ca="1">IFERROR(__xludf.DUMMYFUNCTION("IMPORTRANGE(""https://docs.google.com/spreadsheets/d/1IYY_tgx_IHuhSq3AJ5eI5OnqOPBNLWSHKh2a30DoXe8/edit?usp=sharing"",""ปัตตานี!I396"")"),0)</f>
        <v>0</v>
      </c>
      <c r="J501" s="168">
        <f ca="1">IFERROR(__xludf.DUMMYFUNCTION("IMPORTRANGE(""https://docs.google.com/spreadsheets/d/1IYY_tgx_IHuhSq3AJ5eI5OnqOPBNLWSHKh2a30DoXe8/edit?usp=sharing"",""ปัตตานี!J396"")"),0)</f>
        <v>0</v>
      </c>
      <c r="K501" s="169">
        <f t="shared" ca="1" si="117"/>
        <v>0</v>
      </c>
      <c r="L501" s="189"/>
      <c r="M501" s="189"/>
      <c r="N501" s="189"/>
      <c r="O501" s="189"/>
      <c r="P501" s="189"/>
    </row>
    <row r="502" spans="1:16" ht="21.75" customHeight="1" x14ac:dyDescent="0.35">
      <c r="A502" s="183"/>
      <c r="B502" s="184"/>
      <c r="C502" s="184"/>
      <c r="D502" s="201"/>
      <c r="E502" s="203"/>
      <c r="F502" s="405" t="s">
        <v>186</v>
      </c>
      <c r="G502" s="427"/>
      <c r="H502" s="428" t="s">
        <v>122</v>
      </c>
      <c r="I502" s="210">
        <f ca="1">IFERROR(__xludf.DUMMYFUNCTION("IMPORTRANGE(""https://docs.google.com/spreadsheets/d/1IYY_tgx_IHuhSq3AJ5eI5OnqOPBNLWSHKh2a30DoXe8/edit?usp=sharing"",""ปัตตานี!I397"")"),0)</f>
        <v>0</v>
      </c>
      <c r="J502" s="196">
        <f ca="1">IFERROR(__xludf.DUMMYFUNCTION("IMPORTRANGE(""https://docs.google.com/spreadsheets/d/1IYY_tgx_IHuhSq3AJ5eI5OnqOPBNLWSHKh2a30DoXe8/edit?usp=sharing"",""ปัตตานี!J397"")"),0)</f>
        <v>0</v>
      </c>
      <c r="K502" s="169">
        <f t="shared" ca="1" si="117"/>
        <v>0</v>
      </c>
      <c r="L502" s="189"/>
      <c r="M502" s="189"/>
      <c r="N502" s="189"/>
      <c r="O502" s="189"/>
      <c r="P502" s="189"/>
    </row>
    <row r="503" spans="1:16" ht="21.75" customHeight="1" x14ac:dyDescent="0.35">
      <c r="A503" s="183"/>
      <c r="B503" s="184"/>
      <c r="C503" s="184"/>
      <c r="D503" s="201"/>
      <c r="E503" s="203"/>
      <c r="F503" s="203"/>
      <c r="G503" s="427"/>
      <c r="H503" s="428" t="s">
        <v>36</v>
      </c>
      <c r="I503" s="195">
        <f ca="1">IFERROR(__xludf.DUMMYFUNCTION("IMPORTRANGE(""https://docs.google.com/spreadsheets/d/1IYY_tgx_IHuhSq3AJ5eI5OnqOPBNLWSHKh2a30DoXe8/edit?usp=sharing"",""ปัตตานี!I398"")"),0)</f>
        <v>0</v>
      </c>
      <c r="J503" s="205">
        <f ca="1">IFERROR(__xludf.DUMMYFUNCTION("IMPORTRANGE(""https://docs.google.com/spreadsheets/d/1IYY_tgx_IHuhSq3AJ5eI5OnqOPBNLWSHKh2a30DoXe8/edit?usp=sharing"",""ปัตตานี!J398"")"),0)</f>
        <v>0</v>
      </c>
      <c r="K503" s="169">
        <f t="shared" ca="1" si="117"/>
        <v>0</v>
      </c>
      <c r="L503" s="189"/>
      <c r="M503" s="189"/>
      <c r="N503" s="189"/>
      <c r="O503" s="189"/>
      <c r="P503" s="189"/>
    </row>
    <row r="504" spans="1:16" ht="21.75" customHeight="1" x14ac:dyDescent="0.35">
      <c r="A504" s="183"/>
      <c r="B504" s="184"/>
      <c r="C504" s="184"/>
      <c r="D504" s="201"/>
      <c r="E504" s="203"/>
      <c r="F504" s="396" t="s">
        <v>187</v>
      </c>
      <c r="G504" s="427"/>
      <c r="H504" s="428" t="s">
        <v>122</v>
      </c>
      <c r="I504" s="211">
        <f ca="1">IFERROR(__xludf.DUMMYFUNCTION("IMPORTRANGE(""https://docs.google.com/spreadsheets/d/1IYY_tgx_IHuhSq3AJ5eI5OnqOPBNLWSHKh2a30DoXe8/edit?usp=sharing"",""ปัตตานี!I399"")"),0)</f>
        <v>0</v>
      </c>
      <c r="J504" s="196">
        <f ca="1">IFERROR(__xludf.DUMMYFUNCTION("IMPORTRANGE(""https://docs.google.com/spreadsheets/d/1IYY_tgx_IHuhSq3AJ5eI5OnqOPBNLWSHKh2a30DoXe8/edit?usp=sharing"",""ปัตตานี!J399"")"),0)</f>
        <v>0</v>
      </c>
      <c r="K504" s="169">
        <f t="shared" ca="1" si="117"/>
        <v>0</v>
      </c>
      <c r="L504" s="189"/>
      <c r="M504" s="189"/>
      <c r="N504" s="189"/>
      <c r="O504" s="189"/>
      <c r="P504" s="189"/>
    </row>
    <row r="505" spans="1:16" ht="21.75" customHeight="1" x14ac:dyDescent="0.35">
      <c r="A505" s="183"/>
      <c r="B505" s="184"/>
      <c r="C505" s="184"/>
      <c r="D505" s="201"/>
      <c r="E505" s="203"/>
      <c r="F505" s="203"/>
      <c r="G505" s="427"/>
      <c r="H505" s="428" t="s">
        <v>36</v>
      </c>
      <c r="I505" s="195">
        <f ca="1">IFERROR(__xludf.DUMMYFUNCTION("IMPORTRANGE(""https://docs.google.com/spreadsheets/d/1IYY_tgx_IHuhSq3AJ5eI5OnqOPBNLWSHKh2a30DoXe8/edit?usp=sharing"",""ปัตตานี!I400"")"),0)</f>
        <v>0</v>
      </c>
      <c r="J505" s="205">
        <f ca="1">IFERROR(__xludf.DUMMYFUNCTION("IMPORTRANGE(""https://docs.google.com/spreadsheets/d/1IYY_tgx_IHuhSq3AJ5eI5OnqOPBNLWSHKh2a30DoXe8/edit?usp=sharing"",""ปัตตานี!J400"")"),0)</f>
        <v>0</v>
      </c>
      <c r="K505" s="169">
        <f t="shared" ca="1" si="117"/>
        <v>0</v>
      </c>
      <c r="L505" s="189"/>
      <c r="M505" s="189"/>
      <c r="N505" s="189"/>
      <c r="O505" s="189"/>
      <c r="P505" s="189"/>
    </row>
    <row r="506" spans="1:16" ht="21.75" customHeight="1" x14ac:dyDescent="0.35">
      <c r="A506" s="183"/>
      <c r="B506" s="184"/>
      <c r="C506" s="184"/>
      <c r="D506" s="201"/>
      <c r="E506" s="203"/>
      <c r="F506" s="405" t="s">
        <v>188</v>
      </c>
      <c r="G506" s="427"/>
      <c r="H506" s="428" t="s">
        <v>122</v>
      </c>
      <c r="I506" s="211">
        <f ca="1">IFERROR(__xludf.DUMMYFUNCTION("IMPORTRANGE(""https://docs.google.com/spreadsheets/d/1IYY_tgx_IHuhSq3AJ5eI5OnqOPBNLWSHKh2a30DoXe8/edit?usp=sharing"",""ปัตตานี!I401"")"),0)</f>
        <v>0</v>
      </c>
      <c r="J506" s="196">
        <f ca="1">IFERROR(__xludf.DUMMYFUNCTION("IMPORTRANGE(""https://docs.google.com/spreadsheets/d/1IYY_tgx_IHuhSq3AJ5eI5OnqOPBNLWSHKh2a30DoXe8/edit?usp=sharing"",""ปัตตานี!J401"")"),0)</f>
        <v>0</v>
      </c>
      <c r="K506" s="169">
        <f t="shared" ca="1" si="117"/>
        <v>0</v>
      </c>
      <c r="L506" s="189"/>
      <c r="M506" s="189"/>
      <c r="N506" s="189"/>
      <c r="O506" s="189"/>
      <c r="P506" s="189"/>
    </row>
    <row r="507" spans="1:16" ht="21.75" customHeight="1" x14ac:dyDescent="0.35">
      <c r="A507" s="183"/>
      <c r="B507" s="184"/>
      <c r="C507" s="184"/>
      <c r="D507" s="201"/>
      <c r="E507" s="203"/>
      <c r="F507" s="203"/>
      <c r="G507" s="203"/>
      <c r="H507" s="428" t="s">
        <v>36</v>
      </c>
      <c r="I507" s="195">
        <f ca="1">IFERROR(__xludf.DUMMYFUNCTION("IMPORTRANGE(""https://docs.google.com/spreadsheets/d/1IYY_tgx_IHuhSq3AJ5eI5OnqOPBNLWSHKh2a30DoXe8/edit?usp=sharing"",""ปัตตานี!I402"")"),0)</f>
        <v>0</v>
      </c>
      <c r="J507" s="205">
        <f ca="1">IFERROR(__xludf.DUMMYFUNCTION("IMPORTRANGE(""https://docs.google.com/spreadsheets/d/1IYY_tgx_IHuhSq3AJ5eI5OnqOPBNLWSHKh2a30DoXe8/edit?usp=sharing"",""ปัตตานี!J402"")"),0)</f>
        <v>0</v>
      </c>
      <c r="K507" s="169">
        <f t="shared" ca="1" si="117"/>
        <v>0</v>
      </c>
      <c r="L507" s="189"/>
      <c r="M507" s="189"/>
      <c r="N507" s="189"/>
      <c r="O507" s="189"/>
      <c r="P507" s="189"/>
    </row>
    <row r="508" spans="1:16" ht="21.75" customHeight="1" x14ac:dyDescent="0.35">
      <c r="A508" s="183"/>
      <c r="B508" s="184"/>
      <c r="C508" s="184"/>
      <c r="D508" s="201"/>
      <c r="E508" s="202" t="s">
        <v>189</v>
      </c>
      <c r="F508" s="203"/>
      <c r="G508" s="427"/>
      <c r="H508" s="428" t="s">
        <v>122</v>
      </c>
      <c r="I508" s="195">
        <f ca="1">IFERROR(__xludf.DUMMYFUNCTION("IMPORTRANGE(""https://docs.google.com/spreadsheets/d/1IYY_tgx_IHuhSq3AJ5eI5OnqOPBNLWSHKh2a30DoXe8/edit?usp=sharing"",""ปัตตานี!I403"")"),0)</f>
        <v>0</v>
      </c>
      <c r="J508" s="168">
        <f ca="1">IFERROR(__xludf.DUMMYFUNCTION("IMPORTRANGE(""https://docs.google.com/spreadsheets/d/1IYY_tgx_IHuhSq3AJ5eI5OnqOPBNLWSHKh2a30DoXe8/edit?usp=sharing"",""ปัตตานี!J403"")"),0)</f>
        <v>0</v>
      </c>
      <c r="K508" s="169">
        <f t="shared" ca="1" si="117"/>
        <v>0</v>
      </c>
      <c r="L508" s="189"/>
      <c r="M508" s="189"/>
      <c r="N508" s="189"/>
      <c r="O508" s="189"/>
      <c r="P508" s="189"/>
    </row>
    <row r="509" spans="1:16" ht="21.75" customHeight="1" x14ac:dyDescent="0.35">
      <c r="A509" s="183"/>
      <c r="B509" s="184"/>
      <c r="C509" s="184"/>
      <c r="D509" s="201"/>
      <c r="E509" s="203"/>
      <c r="F509" s="203"/>
      <c r="G509" s="203"/>
      <c r="H509" s="428" t="s">
        <v>36</v>
      </c>
      <c r="I509" s="195">
        <f ca="1">IFERROR(__xludf.DUMMYFUNCTION("IMPORTRANGE(""https://docs.google.com/spreadsheets/d/1IYY_tgx_IHuhSq3AJ5eI5OnqOPBNLWSHKh2a30DoXe8/edit?usp=sharing"",""ปัตตานี!I404"")"),0)</f>
        <v>0</v>
      </c>
      <c r="J509" s="168">
        <f ca="1">IFERROR(__xludf.DUMMYFUNCTION("IMPORTRANGE(""https://docs.google.com/spreadsheets/d/1IYY_tgx_IHuhSq3AJ5eI5OnqOPBNLWSHKh2a30DoXe8/edit?usp=sharing"",""ปัตตานี!J404"")"),0)</f>
        <v>0</v>
      </c>
      <c r="K509" s="169">
        <f t="shared" ca="1" si="117"/>
        <v>0</v>
      </c>
      <c r="L509" s="189"/>
      <c r="M509" s="189"/>
      <c r="N509" s="189"/>
      <c r="O509" s="189"/>
      <c r="P509" s="189"/>
    </row>
    <row r="510" spans="1:16" ht="21.75" customHeight="1" x14ac:dyDescent="0.35">
      <c r="A510" s="183"/>
      <c r="B510" s="184"/>
      <c r="C510" s="184"/>
      <c r="D510" s="201"/>
      <c r="E510" s="203"/>
      <c r="F510" s="202" t="s">
        <v>190</v>
      </c>
      <c r="G510" s="203"/>
      <c r="H510" s="428" t="s">
        <v>122</v>
      </c>
      <c r="I510" s="195">
        <f ca="1">IFERROR(__xludf.DUMMYFUNCTION("IMPORTRANGE(""https://docs.google.com/spreadsheets/d/1IYY_tgx_IHuhSq3AJ5eI5OnqOPBNLWSHKh2a30DoXe8/edit?usp=sharing"",""ปัตตานี!I405"")"),0)</f>
        <v>0</v>
      </c>
      <c r="J510" s="205">
        <f ca="1">IFERROR(__xludf.DUMMYFUNCTION("IMPORTRANGE(""https://docs.google.com/spreadsheets/d/1IYY_tgx_IHuhSq3AJ5eI5OnqOPBNLWSHKh2a30DoXe8/edit?usp=sharing"",""ปัตตานี!J405"")"),0)</f>
        <v>0</v>
      </c>
      <c r="K510" s="169">
        <f t="shared" ca="1" si="117"/>
        <v>0</v>
      </c>
      <c r="L510" s="189"/>
      <c r="M510" s="189"/>
      <c r="N510" s="189"/>
      <c r="O510" s="189"/>
      <c r="P510" s="189"/>
    </row>
    <row r="511" spans="1:16" ht="21.75" customHeight="1" x14ac:dyDescent="0.35">
      <c r="A511" s="183"/>
      <c r="B511" s="184"/>
      <c r="C511" s="184"/>
      <c r="D511" s="201"/>
      <c r="E511" s="203"/>
      <c r="F511" s="203"/>
      <c r="G511" s="203"/>
      <c r="H511" s="428" t="s">
        <v>36</v>
      </c>
      <c r="I511" s="195">
        <f ca="1">IFERROR(__xludf.DUMMYFUNCTION("IMPORTRANGE(""https://docs.google.com/spreadsheets/d/1IYY_tgx_IHuhSq3AJ5eI5OnqOPBNLWSHKh2a30DoXe8/edit?usp=sharing"",""ปัตตานี!I406"")"),0)</f>
        <v>0</v>
      </c>
      <c r="J511" s="205">
        <f ca="1">IFERROR(__xludf.DUMMYFUNCTION("IMPORTRANGE(""https://docs.google.com/spreadsheets/d/1IYY_tgx_IHuhSq3AJ5eI5OnqOPBNLWSHKh2a30DoXe8/edit?usp=sharing"",""ปัตตานี!J406"")"),0)</f>
        <v>0</v>
      </c>
      <c r="K511" s="169">
        <f t="shared" ca="1" si="117"/>
        <v>0</v>
      </c>
      <c r="L511" s="189"/>
      <c r="M511" s="189"/>
      <c r="N511" s="189"/>
      <c r="O511" s="189"/>
      <c r="P511" s="189"/>
    </row>
    <row r="512" spans="1:16" ht="21.75" customHeight="1" x14ac:dyDescent="0.35">
      <c r="A512" s="183"/>
      <c r="B512" s="184"/>
      <c r="C512" s="184"/>
      <c r="D512" s="201"/>
      <c r="E512" s="203"/>
      <c r="F512" s="202" t="s">
        <v>191</v>
      </c>
      <c r="G512" s="203"/>
      <c r="H512" s="428" t="s">
        <v>122</v>
      </c>
      <c r="I512" s="195">
        <f ca="1">IFERROR(__xludf.DUMMYFUNCTION("IMPORTRANGE(""https://docs.google.com/spreadsheets/d/1IYY_tgx_IHuhSq3AJ5eI5OnqOPBNLWSHKh2a30DoXe8/edit?usp=sharing"",""ปัตตานี!I407"")"),0)</f>
        <v>0</v>
      </c>
      <c r="J512" s="205">
        <f ca="1">IFERROR(__xludf.DUMMYFUNCTION("IMPORTRANGE(""https://docs.google.com/spreadsheets/d/1IYY_tgx_IHuhSq3AJ5eI5OnqOPBNLWSHKh2a30DoXe8/edit?usp=sharing"",""ปัตตานี!J407"")"),0)</f>
        <v>0</v>
      </c>
      <c r="K512" s="169">
        <f t="shared" ca="1" si="117"/>
        <v>0</v>
      </c>
      <c r="L512" s="189"/>
      <c r="M512" s="189"/>
      <c r="N512" s="189"/>
      <c r="O512" s="189"/>
      <c r="P512" s="189"/>
    </row>
    <row r="513" spans="1:16" ht="21.75" customHeight="1" x14ac:dyDescent="0.35">
      <c r="A513" s="183"/>
      <c r="B513" s="184"/>
      <c r="C513" s="184"/>
      <c r="D513" s="201"/>
      <c r="E513" s="203"/>
      <c r="F513" s="203"/>
      <c r="G513" s="204"/>
      <c r="H513" s="428" t="s">
        <v>36</v>
      </c>
      <c r="I513" s="195">
        <f ca="1">IFERROR(__xludf.DUMMYFUNCTION("IMPORTRANGE(""https://docs.google.com/spreadsheets/d/1IYY_tgx_IHuhSq3AJ5eI5OnqOPBNLWSHKh2a30DoXe8/edit?usp=sharing"",""ปัตตานี!I408"")"),0)</f>
        <v>0</v>
      </c>
      <c r="J513" s="205">
        <f ca="1">IFERROR(__xludf.DUMMYFUNCTION("IMPORTRANGE(""https://docs.google.com/spreadsheets/d/1IYY_tgx_IHuhSq3AJ5eI5OnqOPBNLWSHKh2a30DoXe8/edit?usp=sharing"",""ปัตตานี!J408"")"),0)</f>
        <v>0</v>
      </c>
      <c r="K513" s="169">
        <f t="shared" ca="1" si="117"/>
        <v>0</v>
      </c>
      <c r="L513" s="189"/>
      <c r="M513" s="189"/>
      <c r="N513" s="189"/>
      <c r="O513" s="189"/>
      <c r="P513" s="189"/>
    </row>
    <row r="514" spans="1:16" ht="21.75" customHeight="1" x14ac:dyDescent="0.35">
      <c r="A514" s="183"/>
      <c r="B514" s="184"/>
      <c r="C514" s="184"/>
      <c r="D514" s="410"/>
      <c r="E514" s="456" t="s">
        <v>192</v>
      </c>
      <c r="F514" s="203"/>
      <c r="G514" s="204"/>
      <c r="H514" s="428" t="s">
        <v>122</v>
      </c>
      <c r="I514" s="195">
        <f ca="1">IFERROR(__xludf.DUMMYFUNCTION("IMPORTRANGE(""https://docs.google.com/spreadsheets/d/1IYY_tgx_IHuhSq3AJ5eI5OnqOPBNLWSHKh2a30DoXe8/edit?usp=sharing"",""ปัตตานี!I409"")"),0)</f>
        <v>0</v>
      </c>
      <c r="J514" s="205">
        <f ca="1">IFERROR(__xludf.DUMMYFUNCTION("IMPORTRANGE(""https://docs.google.com/spreadsheets/d/1IYY_tgx_IHuhSq3AJ5eI5OnqOPBNLWSHKh2a30DoXe8/edit?usp=sharing"",""ปัตตานี!J409"")"),0)</f>
        <v>0</v>
      </c>
      <c r="K514" s="169">
        <f t="shared" ca="1" si="117"/>
        <v>0</v>
      </c>
      <c r="L514" s="189"/>
      <c r="M514" s="189"/>
      <c r="N514" s="189"/>
      <c r="O514" s="189"/>
      <c r="P514" s="189"/>
    </row>
    <row r="515" spans="1:16" ht="21.75" customHeight="1" x14ac:dyDescent="0.35">
      <c r="A515" s="183"/>
      <c r="B515" s="184"/>
      <c r="C515" s="184"/>
      <c r="D515" s="201"/>
      <c r="E515" s="203"/>
      <c r="F515" s="203"/>
      <c r="G515" s="204"/>
      <c r="H515" s="428" t="s">
        <v>36</v>
      </c>
      <c r="I515" s="195">
        <f ca="1">IFERROR(__xludf.DUMMYFUNCTION("IMPORTRANGE(""https://docs.google.com/spreadsheets/d/1IYY_tgx_IHuhSq3AJ5eI5OnqOPBNLWSHKh2a30DoXe8/edit?usp=sharing"",""ปัตตานี!I410"")"),0)</f>
        <v>0</v>
      </c>
      <c r="J515" s="205">
        <f ca="1">IFERROR(__xludf.DUMMYFUNCTION("IMPORTRANGE(""https://docs.google.com/spreadsheets/d/1IYY_tgx_IHuhSq3AJ5eI5OnqOPBNLWSHKh2a30DoXe8/edit?usp=sharing"",""ปัตตานี!J410"")"),0)</f>
        <v>0</v>
      </c>
      <c r="K515" s="169">
        <f t="shared" ca="1" si="117"/>
        <v>0</v>
      </c>
      <c r="L515" s="189"/>
      <c r="M515" s="189"/>
      <c r="N515" s="189"/>
      <c r="O515" s="189"/>
      <c r="P515" s="189"/>
    </row>
    <row r="516" spans="1:16" ht="21.75" customHeight="1" x14ac:dyDescent="0.35">
      <c r="A516" s="183"/>
      <c r="B516" s="184"/>
      <c r="C516" s="421" t="s">
        <v>193</v>
      </c>
      <c r="D516" s="421"/>
      <c r="E516" s="457"/>
      <c r="F516" s="457"/>
      <c r="G516" s="458"/>
      <c r="H516" s="459" t="s">
        <v>122</v>
      </c>
      <c r="I516" s="274">
        <f ca="1">IFERROR(__xludf.DUMMYFUNCTION("IMPORTRANGE(""https://docs.google.com/spreadsheets/d/1IYY_tgx_IHuhSq3AJ5eI5OnqOPBNLWSHKh2a30DoXe8/edit?usp=sharing"",""ปัตตานี!I411"")"),0)</f>
        <v>0</v>
      </c>
      <c r="J516" s="274">
        <f ca="1">IFERROR(__xludf.DUMMYFUNCTION("IMPORTRANGE(""https://docs.google.com/spreadsheets/d/1IYY_tgx_IHuhSq3AJ5eI5OnqOPBNLWSHKh2a30DoXe8/edit?usp=sharing"",""ปัตตานี!J411"")"),0)</f>
        <v>0</v>
      </c>
      <c r="K516" s="275">
        <v>0</v>
      </c>
      <c r="L516" s="189"/>
      <c r="M516" s="189"/>
      <c r="N516" s="189"/>
      <c r="O516" s="189"/>
      <c r="P516" s="189"/>
    </row>
    <row r="517" spans="1:16" ht="21.75" customHeight="1" x14ac:dyDescent="0.35">
      <c r="A517" s="183"/>
      <c r="B517" s="184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IFERROR(__xludf.DUMMYFUNCTION("IMPORTRANGE(""https://docs.google.com/spreadsheets/d/1IYY_tgx_IHuhSq3AJ5eI5OnqOPBNLWSHKh2a30DoXe8/edit?usp=sharing"",""ปัตตานี!I412"")"),0)</f>
        <v>0</v>
      </c>
      <c r="J517" s="290">
        <f ca="1">IFERROR(__xludf.DUMMYFUNCTION("IMPORTRANGE(""https://docs.google.com/spreadsheets/d/1IYY_tgx_IHuhSq3AJ5eI5OnqOPBNLWSHKh2a30DoXe8/edit?usp=sharing"",""ปัตตานี!J412"")"),0)</f>
        <v>0</v>
      </c>
      <c r="K517" s="291">
        <v>0</v>
      </c>
      <c r="L517" s="189"/>
      <c r="M517" s="189"/>
      <c r="N517" s="189"/>
      <c r="O517" s="189"/>
      <c r="P517" s="189"/>
    </row>
    <row r="518" spans="1:16" ht="21.75" customHeight="1" x14ac:dyDescent="0.35">
      <c r="A518" s="183"/>
      <c r="B518" s="184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IFERROR(__xludf.DUMMYFUNCTION("IMPORTRANGE(""https://docs.google.com/spreadsheets/d/1IYY_tgx_IHuhSq3AJ5eI5OnqOPBNLWSHKh2a30DoXe8/edit?usp=sharing"",""ปัตตานี!I413"")"),0)</f>
        <v>0</v>
      </c>
      <c r="J518" s="290">
        <f ca="1">IFERROR(__xludf.DUMMYFUNCTION("IMPORTRANGE(""https://docs.google.com/spreadsheets/d/1IYY_tgx_IHuhSq3AJ5eI5OnqOPBNLWSHKh2a30DoXe8/edit?usp=sharing"",""ปัตตานี!J413"")"),0)</f>
        <v>0</v>
      </c>
      <c r="K518" s="291">
        <v>0</v>
      </c>
      <c r="L518" s="189"/>
      <c r="M518" s="189"/>
      <c r="N518" s="189"/>
      <c r="O518" s="189"/>
      <c r="P518" s="189"/>
    </row>
    <row r="519" spans="1:16" ht="21.75" customHeight="1" x14ac:dyDescent="0.35">
      <c r="A519" s="183"/>
      <c r="B519" s="184"/>
      <c r="C519" s="184"/>
      <c r="D519" s="201"/>
      <c r="E519" s="203"/>
      <c r="F519" s="203"/>
      <c r="G519" s="233" t="s">
        <v>196</v>
      </c>
      <c r="H519" s="428" t="s">
        <v>122</v>
      </c>
      <c r="I519" s="195">
        <f ca="1">IFERROR(__xludf.DUMMYFUNCTION("IMPORTRANGE(""https://docs.google.com/spreadsheets/d/1IYY_tgx_IHuhSq3AJ5eI5OnqOPBNLWSHKh2a30DoXe8/edit?usp=sharing"",""ปัตตานี!I414"")"),0)</f>
        <v>0</v>
      </c>
      <c r="J519" s="195">
        <f ca="1">IFERROR(__xludf.DUMMYFUNCTION("IMPORTRANGE(""https://docs.google.com/spreadsheets/d/1IYY_tgx_IHuhSq3AJ5eI5OnqOPBNLWSHKh2a30DoXe8/edit?usp=sharing"",""ปัตตานี!J414"")"),0)</f>
        <v>0</v>
      </c>
      <c r="K519" s="169">
        <v>0</v>
      </c>
      <c r="L519" s="189"/>
      <c r="M519" s="189"/>
      <c r="N519" s="189"/>
      <c r="O519" s="189"/>
      <c r="P519" s="189"/>
    </row>
    <row r="520" spans="1:16" ht="21.75" customHeight="1" x14ac:dyDescent="0.35">
      <c r="A520" s="183"/>
      <c r="B520" s="184"/>
      <c r="C520" s="184"/>
      <c r="D520" s="201"/>
      <c r="E520" s="203"/>
      <c r="F520" s="203"/>
      <c r="G520" s="204"/>
      <c r="H520" s="428" t="s">
        <v>36</v>
      </c>
      <c r="I520" s="195">
        <f ca="1">IFERROR(__xludf.DUMMYFUNCTION("IMPORTRANGE(""https://docs.google.com/spreadsheets/d/1IYY_tgx_IHuhSq3AJ5eI5OnqOPBNLWSHKh2a30DoXe8/edit?usp=sharing"",""ปัตตานี!I415"")"),0)</f>
        <v>0</v>
      </c>
      <c r="J520" s="195">
        <f ca="1">IFERROR(__xludf.DUMMYFUNCTION("IMPORTRANGE(""https://docs.google.com/spreadsheets/d/1IYY_tgx_IHuhSq3AJ5eI5OnqOPBNLWSHKh2a30DoXe8/edit?usp=sharing"",""ปัตตานี!J415"")"),0)</f>
        <v>0</v>
      </c>
      <c r="K520" s="169">
        <v>0</v>
      </c>
      <c r="L520" s="189"/>
      <c r="M520" s="189"/>
      <c r="N520" s="189"/>
      <c r="O520" s="189"/>
      <c r="P520" s="189"/>
    </row>
    <row r="521" spans="1:16" ht="21.75" customHeight="1" x14ac:dyDescent="0.35">
      <c r="A521" s="183"/>
      <c r="B521" s="184"/>
      <c r="C521" s="184"/>
      <c r="D521" s="201"/>
      <c r="E521" s="203"/>
      <c r="F521" s="203"/>
      <c r="G521" s="233" t="s">
        <v>197</v>
      </c>
      <c r="H521" s="428" t="s">
        <v>122</v>
      </c>
      <c r="I521" s="195">
        <f ca="1">IFERROR(__xludf.DUMMYFUNCTION("IMPORTRANGE(""https://docs.google.com/spreadsheets/d/1IYY_tgx_IHuhSq3AJ5eI5OnqOPBNLWSHKh2a30DoXe8/edit?usp=sharing"",""ปัตตานี!I416"")"),0)</f>
        <v>0</v>
      </c>
      <c r="J521" s="195">
        <f ca="1">IFERROR(__xludf.DUMMYFUNCTION("IMPORTRANGE(""https://docs.google.com/spreadsheets/d/1IYY_tgx_IHuhSq3AJ5eI5OnqOPBNLWSHKh2a30DoXe8/edit?usp=sharing"",""ปัตตานี!J416"")"),0)</f>
        <v>0</v>
      </c>
      <c r="K521" s="169">
        <v>0</v>
      </c>
      <c r="L521" s="189"/>
      <c r="M521" s="189"/>
      <c r="N521" s="189"/>
      <c r="O521" s="189"/>
      <c r="P521" s="189"/>
    </row>
    <row r="522" spans="1:16" ht="21.75" customHeight="1" x14ac:dyDescent="0.35">
      <c r="A522" s="183"/>
      <c r="B522" s="184"/>
      <c r="C522" s="184"/>
      <c r="D522" s="201"/>
      <c r="E522" s="203"/>
      <c r="F522" s="203"/>
      <c r="G522" s="204"/>
      <c r="H522" s="428" t="s">
        <v>36</v>
      </c>
      <c r="I522" s="195">
        <f ca="1">IFERROR(__xludf.DUMMYFUNCTION("IMPORTRANGE(""https://docs.google.com/spreadsheets/d/1IYY_tgx_IHuhSq3AJ5eI5OnqOPBNLWSHKh2a30DoXe8/edit?usp=sharing"",""ปัตตานี!I417"")"),0)</f>
        <v>0</v>
      </c>
      <c r="J522" s="195">
        <f ca="1">IFERROR(__xludf.DUMMYFUNCTION("IMPORTRANGE(""https://docs.google.com/spreadsheets/d/1IYY_tgx_IHuhSq3AJ5eI5OnqOPBNLWSHKh2a30DoXe8/edit?usp=sharing"",""ปัตตานี!J417"")"),0)</f>
        <v>0</v>
      </c>
      <c r="K522" s="169">
        <v>0</v>
      </c>
      <c r="L522" s="189"/>
      <c r="M522" s="189"/>
      <c r="N522" s="189"/>
      <c r="O522" s="189"/>
      <c r="P522" s="189"/>
    </row>
    <row r="523" spans="1:16" ht="21.75" customHeight="1" x14ac:dyDescent="0.35">
      <c r="A523" s="183"/>
      <c r="B523" s="184"/>
      <c r="C523" s="184"/>
      <c r="D523" s="201"/>
      <c r="E523" s="203"/>
      <c r="F523" s="203"/>
      <c r="G523" s="464" t="s">
        <v>198</v>
      </c>
      <c r="H523" s="428" t="s">
        <v>122</v>
      </c>
      <c r="I523" s="195">
        <f ca="1">IFERROR(__xludf.DUMMYFUNCTION("IMPORTRANGE(""https://docs.google.com/spreadsheets/d/1IYY_tgx_IHuhSq3AJ5eI5OnqOPBNLWSHKh2a30DoXe8/edit?usp=sharing"",""ปัตตานี!I418"")"),0)</f>
        <v>0</v>
      </c>
      <c r="J523" s="195">
        <f ca="1">IFERROR(__xludf.DUMMYFUNCTION("IMPORTRANGE(""https://docs.google.com/spreadsheets/d/1IYY_tgx_IHuhSq3AJ5eI5OnqOPBNLWSHKh2a30DoXe8/edit?usp=sharing"",""ปัตตานี!J418"")"),0)</f>
        <v>0</v>
      </c>
      <c r="K523" s="169">
        <v>0</v>
      </c>
      <c r="L523" s="189"/>
      <c r="M523" s="189"/>
      <c r="N523" s="189"/>
      <c r="O523" s="189"/>
      <c r="P523" s="189"/>
    </row>
    <row r="524" spans="1:16" ht="21.75" customHeight="1" x14ac:dyDescent="0.35">
      <c r="A524" s="183"/>
      <c r="B524" s="184"/>
      <c r="C524" s="184"/>
      <c r="D524" s="201"/>
      <c r="E524" s="203"/>
      <c r="F524" s="203"/>
      <c r="G524" s="204"/>
      <c r="H524" s="428" t="s">
        <v>36</v>
      </c>
      <c r="I524" s="195">
        <f ca="1">IFERROR(__xludf.DUMMYFUNCTION("IMPORTRANGE(""https://docs.google.com/spreadsheets/d/1IYY_tgx_IHuhSq3AJ5eI5OnqOPBNLWSHKh2a30DoXe8/edit?usp=sharing"",""ปัตตานี!I419"")"),0)</f>
        <v>0</v>
      </c>
      <c r="J524" s="195">
        <f ca="1">IFERROR(__xludf.DUMMYFUNCTION("IMPORTRANGE(""https://docs.google.com/spreadsheets/d/1IYY_tgx_IHuhSq3AJ5eI5OnqOPBNLWSHKh2a30DoXe8/edit?usp=sharing"",""ปัตตานี!J419"")"),0)</f>
        <v>0</v>
      </c>
      <c r="K524" s="169">
        <v>0</v>
      </c>
      <c r="L524" s="189"/>
      <c r="M524" s="189"/>
      <c r="N524" s="189"/>
      <c r="O524" s="189"/>
      <c r="P524" s="189"/>
    </row>
    <row r="525" spans="1:16" ht="21.75" customHeight="1" x14ac:dyDescent="0.35">
      <c r="A525" s="183"/>
      <c r="B525" s="184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IFERROR(__xludf.DUMMYFUNCTION("IMPORTRANGE(""https://docs.google.com/spreadsheets/d/1IYY_tgx_IHuhSq3AJ5eI5OnqOPBNLWSHKh2a30DoXe8/edit?usp=sharing"",""ปัตตานี!I420"")"),0)</f>
        <v>0</v>
      </c>
      <c r="J525" s="290">
        <f ca="1">IFERROR(__xludf.DUMMYFUNCTION("IMPORTRANGE(""https://docs.google.com/spreadsheets/d/1IYY_tgx_IHuhSq3AJ5eI5OnqOPBNLWSHKh2a30DoXe8/edit?usp=sharing"",""ปัตตานี!J420"")"),0)</f>
        <v>0</v>
      </c>
      <c r="K525" s="291">
        <v>0</v>
      </c>
      <c r="L525" s="189"/>
      <c r="M525" s="189"/>
      <c r="N525" s="189"/>
      <c r="O525" s="189"/>
      <c r="P525" s="189"/>
    </row>
    <row r="526" spans="1:16" ht="21.75" customHeight="1" x14ac:dyDescent="0.35">
      <c r="A526" s="183"/>
      <c r="B526" s="184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IFERROR(__xludf.DUMMYFUNCTION("IMPORTRANGE(""https://docs.google.com/spreadsheets/d/1IYY_tgx_IHuhSq3AJ5eI5OnqOPBNLWSHKh2a30DoXe8/edit?usp=sharing"",""ปัตตานี!I421"")"),0)</f>
        <v>0</v>
      </c>
      <c r="J526" s="290">
        <f ca="1">IFERROR(__xludf.DUMMYFUNCTION("IMPORTRANGE(""https://docs.google.com/spreadsheets/d/1IYY_tgx_IHuhSq3AJ5eI5OnqOPBNLWSHKh2a30DoXe8/edit?usp=sharing"",""ปัตตานี!J421"")"),0)</f>
        <v>0</v>
      </c>
      <c r="K526" s="291">
        <v>0</v>
      </c>
      <c r="L526" s="189"/>
      <c r="M526" s="189"/>
      <c r="N526" s="189"/>
      <c r="O526" s="189"/>
      <c r="P526" s="189"/>
    </row>
    <row r="527" spans="1:16" ht="21.75" customHeight="1" x14ac:dyDescent="0.35">
      <c r="A527" s="183"/>
      <c r="B527" s="184"/>
      <c r="C527" s="184"/>
      <c r="D527" s="201"/>
      <c r="E527" s="203"/>
      <c r="F527" s="203"/>
      <c r="G527" s="233" t="s">
        <v>196</v>
      </c>
      <c r="H527" s="428" t="s">
        <v>122</v>
      </c>
      <c r="I527" s="195">
        <f ca="1">IFERROR(__xludf.DUMMYFUNCTION("IMPORTRANGE(""https://docs.google.com/spreadsheets/d/1IYY_tgx_IHuhSq3AJ5eI5OnqOPBNLWSHKh2a30DoXe8/edit?usp=sharing"",""ปัตตานี!I422"")"),0)</f>
        <v>0</v>
      </c>
      <c r="J527" s="205">
        <f ca="1">IFERROR(__xludf.DUMMYFUNCTION("IMPORTRANGE(""https://docs.google.com/spreadsheets/d/1IYY_tgx_IHuhSq3AJ5eI5OnqOPBNLWSHKh2a30DoXe8/edit?usp=sharing"",""ปัตตานี!J422"")"),0)</f>
        <v>0</v>
      </c>
      <c r="K527" s="169">
        <v>0</v>
      </c>
      <c r="L527" s="189"/>
      <c r="M527" s="189"/>
      <c r="N527" s="189"/>
      <c r="O527" s="189"/>
      <c r="P527" s="189"/>
    </row>
    <row r="528" spans="1:16" ht="21.75" customHeight="1" x14ac:dyDescent="0.35">
      <c r="A528" s="183"/>
      <c r="B528" s="184"/>
      <c r="C528" s="184"/>
      <c r="D528" s="201"/>
      <c r="E528" s="203"/>
      <c r="F528" s="203"/>
      <c r="G528" s="204"/>
      <c r="H528" s="428" t="s">
        <v>36</v>
      </c>
      <c r="I528" s="195">
        <f ca="1">IFERROR(__xludf.DUMMYFUNCTION("IMPORTRANGE(""https://docs.google.com/spreadsheets/d/1IYY_tgx_IHuhSq3AJ5eI5OnqOPBNLWSHKh2a30DoXe8/edit?usp=sharing"",""ปัตตานี!I423"")"),0)</f>
        <v>0</v>
      </c>
      <c r="J528" s="205">
        <f ca="1">IFERROR(__xludf.DUMMYFUNCTION("IMPORTRANGE(""https://docs.google.com/spreadsheets/d/1IYY_tgx_IHuhSq3AJ5eI5OnqOPBNLWSHKh2a30DoXe8/edit?usp=sharing"",""ปัตตานี!J423"")"),0)</f>
        <v>0</v>
      </c>
      <c r="K528" s="169">
        <v>0</v>
      </c>
      <c r="L528" s="189"/>
      <c r="M528" s="189"/>
      <c r="N528" s="189"/>
      <c r="O528" s="189"/>
      <c r="P528" s="189"/>
    </row>
    <row r="529" spans="1:16" ht="21.75" customHeight="1" x14ac:dyDescent="0.35">
      <c r="A529" s="183"/>
      <c r="B529" s="184"/>
      <c r="C529" s="184"/>
      <c r="D529" s="201"/>
      <c r="E529" s="203"/>
      <c r="F529" s="203"/>
      <c r="G529" s="233" t="s">
        <v>197</v>
      </c>
      <c r="H529" s="428" t="s">
        <v>122</v>
      </c>
      <c r="I529" s="195">
        <f ca="1">IFERROR(__xludf.DUMMYFUNCTION("IMPORTRANGE(""https://docs.google.com/spreadsheets/d/1IYY_tgx_IHuhSq3AJ5eI5OnqOPBNLWSHKh2a30DoXe8/edit?usp=sharing"",""ปัตตานี!I424"")"),0)</f>
        <v>0</v>
      </c>
      <c r="J529" s="205">
        <f ca="1">IFERROR(__xludf.DUMMYFUNCTION("IMPORTRANGE(""https://docs.google.com/spreadsheets/d/1IYY_tgx_IHuhSq3AJ5eI5OnqOPBNLWSHKh2a30DoXe8/edit?usp=sharing"",""ปัตตานี!J424"")"),0)</f>
        <v>0</v>
      </c>
      <c r="K529" s="169">
        <v>0</v>
      </c>
      <c r="L529" s="189"/>
      <c r="M529" s="189"/>
      <c r="N529" s="189"/>
      <c r="O529" s="189"/>
      <c r="P529" s="189"/>
    </row>
    <row r="530" spans="1:16" ht="21.75" customHeight="1" x14ac:dyDescent="0.35">
      <c r="A530" s="183"/>
      <c r="B530" s="184"/>
      <c r="C530" s="184"/>
      <c r="D530" s="201"/>
      <c r="E530" s="203"/>
      <c r="F530" s="203"/>
      <c r="G530" s="204"/>
      <c r="H530" s="428" t="s">
        <v>36</v>
      </c>
      <c r="I530" s="195">
        <f ca="1">IFERROR(__xludf.DUMMYFUNCTION("IMPORTRANGE(""https://docs.google.com/spreadsheets/d/1IYY_tgx_IHuhSq3AJ5eI5OnqOPBNLWSHKh2a30DoXe8/edit?usp=sharing"",""ปัตตานี!I425"")"),0)</f>
        <v>0</v>
      </c>
      <c r="J530" s="205">
        <f ca="1">IFERROR(__xludf.DUMMYFUNCTION("IMPORTRANGE(""https://docs.google.com/spreadsheets/d/1IYY_tgx_IHuhSq3AJ5eI5OnqOPBNLWSHKh2a30DoXe8/edit?usp=sharing"",""ปัตตานี!J425"")"),0)</f>
        <v>0</v>
      </c>
      <c r="K530" s="169">
        <v>0</v>
      </c>
      <c r="L530" s="189"/>
      <c r="M530" s="189"/>
      <c r="N530" s="189"/>
      <c r="O530" s="189"/>
      <c r="P530" s="189"/>
    </row>
    <row r="531" spans="1:16" ht="21.75" customHeight="1" x14ac:dyDescent="0.35">
      <c r="A531" s="183"/>
      <c r="B531" s="184"/>
      <c r="C531" s="184"/>
      <c r="D531" s="201"/>
      <c r="E531" s="203"/>
      <c r="F531" s="203"/>
      <c r="G531" s="233" t="s">
        <v>201</v>
      </c>
      <c r="H531" s="428" t="s">
        <v>122</v>
      </c>
      <c r="I531" s="195">
        <f ca="1">IFERROR(__xludf.DUMMYFUNCTION("IMPORTRANGE(""https://docs.google.com/spreadsheets/d/1IYY_tgx_IHuhSq3AJ5eI5OnqOPBNLWSHKh2a30DoXe8/edit?usp=sharing"",""ปัตตานี!I426"")"),0)</f>
        <v>0</v>
      </c>
      <c r="J531" s="205">
        <f ca="1">IFERROR(__xludf.DUMMYFUNCTION("IMPORTRANGE(""https://docs.google.com/spreadsheets/d/1IYY_tgx_IHuhSq3AJ5eI5OnqOPBNLWSHKh2a30DoXe8/edit?usp=sharing"",""ปัตตานี!J426"")"),0)</f>
        <v>0</v>
      </c>
      <c r="K531" s="169">
        <v>0</v>
      </c>
      <c r="L531" s="189"/>
      <c r="M531" s="189"/>
      <c r="N531" s="189"/>
      <c r="O531" s="189"/>
      <c r="P531" s="189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IFERROR(__xludf.DUMMYFUNCTION("IMPORTRANGE(""https://docs.google.com/spreadsheets/d/1IYY_tgx_IHuhSq3AJ5eI5OnqOPBNLWSHKh2a30DoXe8/edit?usp=sharing"",""ปัตตานี!I427"")"),0)</f>
        <v>0</v>
      </c>
      <c r="J532" s="472">
        <f ca="1">IFERROR(__xludf.DUMMYFUNCTION("IMPORTRANGE(""https://docs.google.com/spreadsheets/d/1IYY_tgx_IHuhSq3AJ5eI5OnqOPBNLWSHKh2a30DoXe8/edit?usp=sharing"",""ปัตตานี!J427"")"),0)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IFERROR(__xludf.DUMMYFUNCTION("IMPORTRANGE(""https://docs.google.com/spreadsheets/d/1IYY_tgx_IHuhSq3AJ5eI5OnqOPBNLWSHKh2a30DoXe8/edit?usp=sharing"",""ปัตตานี!I428"")"),20)</f>
        <v>20</v>
      </c>
      <c r="J533" s="416">
        <f ca="1">IFERROR(__xludf.DUMMYFUNCTION("IMPORTRANGE(""https://docs.google.com/spreadsheets/d/1IYY_tgx_IHuhSq3AJ5eI5OnqOPBNLWSHKh2a30DoXe8/edit?usp=sharing"",""ปัตตานี!J428"")"),25)</f>
        <v>25</v>
      </c>
      <c r="K533" s="417">
        <f ca="1">IF(I533&gt;0,J533*100/I533,0)</f>
        <v>125</v>
      </c>
      <c r="L533" s="418">
        <f ca="1">IFERROR(__xludf.DUMMYFUNCTION("IMPORTRANGE(""https://docs.google.com/spreadsheets/d/1IYY_tgx_IHuhSq3AJ5eI5OnqOPBNLWSHKh2a30DoXe8/edit?usp=sharing"",""ปัตตานี!L428"")"),32640)</f>
        <v>32640</v>
      </c>
      <c r="M533" s="418"/>
      <c r="N533" s="418">
        <f ca="1">IFERROR(__xludf.DUMMYFUNCTION("IMPORTRANGE(""https://docs.google.com/spreadsheets/d/1IYY_tgx_IHuhSq3AJ5eI5OnqOPBNLWSHKh2a30DoXe8/edit?usp=sharing"",""ปัตตานี!M428"")"),26889.2)</f>
        <v>26889.200000000001</v>
      </c>
      <c r="O533" s="418">
        <f t="shared" ref="O533:O537" ca="1" si="118">+IF(L533&gt;0,N533*100/L533,0)</f>
        <v>82.381127450980387</v>
      </c>
      <c r="P533" s="418"/>
    </row>
    <row r="534" spans="1:16" ht="21.75" customHeight="1" x14ac:dyDescent="0.35">
      <c r="A534" s="162"/>
      <c r="B534" s="163"/>
      <c r="C534" s="163" t="s">
        <v>16</v>
      </c>
      <c r="D534" s="164" t="s">
        <v>38</v>
      </c>
      <c r="E534" s="165"/>
      <c r="F534" s="165"/>
      <c r="G534" s="166" t="s">
        <v>39</v>
      </c>
      <c r="H534" s="167" t="s">
        <v>12</v>
      </c>
      <c r="I534" s="168" t="s">
        <v>40</v>
      </c>
      <c r="J534" s="168"/>
      <c r="K534" s="169"/>
      <c r="L534" s="170">
        <f ca="1">IFERROR(__xludf.DUMMYFUNCTION("IMPORTRANGE(""https://docs.google.com/spreadsheets/d/1IYY_tgx_IHuhSq3AJ5eI5OnqOPBNLWSHKh2a30DoXe8/edit?usp=sharing"",""ปัตตานี!L429"")"),0)</f>
        <v>0</v>
      </c>
      <c r="M534" s="170"/>
      <c r="N534" s="176">
        <f ca="1">IFERROR(__xludf.DUMMYFUNCTION("IMPORTRANGE(""https://docs.google.com/spreadsheets/d/1IYY_tgx_IHuhSq3AJ5eI5OnqOPBNLWSHKh2a30DoXe8/edit?usp=sharing"",""ปัตตานี!M429"")"),0)</f>
        <v>0</v>
      </c>
      <c r="O534" s="176">
        <f t="shared" ca="1" si="118"/>
        <v>0</v>
      </c>
      <c r="P534" s="176"/>
    </row>
    <row r="535" spans="1:16" ht="21.75" customHeight="1" x14ac:dyDescent="0.35">
      <c r="A535" s="162"/>
      <c r="B535" s="163"/>
      <c r="C535" s="163"/>
      <c r="D535" s="172"/>
      <c r="E535" s="165"/>
      <c r="F535" s="165" t="s">
        <v>40</v>
      </c>
      <c r="G535" s="166" t="s">
        <v>41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IFERROR(__xludf.DUMMYFUNCTION("IMPORTRANGE(""https://docs.google.com/spreadsheets/d/1IYY_tgx_IHuhSq3AJ5eI5OnqOPBNLWSHKh2a30DoXe8/edit?usp=sharing"",""ปัตตานี!L430"")"),32640)</f>
        <v>32640</v>
      </c>
      <c r="M535" s="171"/>
      <c r="N535" s="176">
        <f ca="1">IFERROR(__xludf.DUMMYFUNCTION("IMPORTRANGE(""https://docs.google.com/spreadsheets/d/1IYY_tgx_IHuhSq3AJ5eI5OnqOPBNLWSHKh2a30DoXe8/edit?usp=sharing"",""ปัตตานี!M430"")"),26889.2)</f>
        <v>26889.200000000001</v>
      </c>
      <c r="O535" s="176">
        <f t="shared" ca="1" si="118"/>
        <v>82.381127450980387</v>
      </c>
      <c r="P535" s="176"/>
    </row>
    <row r="536" spans="1:16" ht="21.75" customHeight="1" x14ac:dyDescent="0.35">
      <c r="A536" s="162"/>
      <c r="B536" s="163"/>
      <c r="C536" s="163"/>
      <c r="D536" s="172"/>
      <c r="E536" s="165"/>
      <c r="F536" s="165"/>
      <c r="G536" s="380" t="s">
        <v>129</v>
      </c>
      <c r="H536" s="167" t="s">
        <v>12</v>
      </c>
      <c r="I536" s="168"/>
      <c r="J536" s="168"/>
      <c r="K536" s="169"/>
      <c r="L536" s="176">
        <f ca="1">IFERROR(__xludf.DUMMYFUNCTION("IMPORTRANGE(""https://docs.google.com/spreadsheets/d/1IYY_tgx_IHuhSq3AJ5eI5OnqOPBNLWSHKh2a30DoXe8/edit?usp=sharing"",""ปัตตานี!L431"")"),0)</f>
        <v>0</v>
      </c>
      <c r="M536" s="176"/>
      <c r="N536" s="176">
        <f ca="1">IFERROR(__xludf.DUMMYFUNCTION("IMPORTRANGE(""https://docs.google.com/spreadsheets/d/1IYY_tgx_IHuhSq3AJ5eI5OnqOPBNLWSHKh2a30DoXe8/edit?usp=sharing"",""ปัตตานี!M431"")"),0)</f>
        <v>0</v>
      </c>
      <c r="O536" s="176">
        <f t="shared" ca="1" si="118"/>
        <v>0</v>
      </c>
      <c r="P536" s="176"/>
    </row>
    <row r="537" spans="1:16" ht="21.75" customHeight="1" x14ac:dyDescent="0.35">
      <c r="A537" s="162"/>
      <c r="B537" s="163"/>
      <c r="C537" s="163"/>
      <c r="D537" s="172"/>
      <c r="E537" s="165"/>
      <c r="F537" s="165"/>
      <c r="G537" s="380" t="s">
        <v>130</v>
      </c>
      <c r="H537" s="167" t="s">
        <v>12</v>
      </c>
      <c r="I537" s="168"/>
      <c r="J537" s="168"/>
      <c r="K537" s="169"/>
      <c r="L537" s="176">
        <f ca="1">IFERROR(__xludf.DUMMYFUNCTION("IMPORTRANGE(""https://docs.google.com/spreadsheets/d/1IYY_tgx_IHuhSq3AJ5eI5OnqOPBNLWSHKh2a30DoXe8/edit?usp=sharing"",""ปัตตานี!L432"")"),32640)</f>
        <v>32640</v>
      </c>
      <c r="M537" s="176"/>
      <c r="N537" s="176">
        <f ca="1">IFERROR(__xludf.DUMMYFUNCTION("IMPORTRANGE(""https://docs.google.com/spreadsheets/d/1IYY_tgx_IHuhSq3AJ5eI5OnqOPBNLWSHKh2a30DoXe8/edit?usp=sharing"",""ปัตตานี!M432"")"),26889.2)</f>
        <v>26889.200000000001</v>
      </c>
      <c r="O537" s="176">
        <f t="shared" ca="1" si="118"/>
        <v>82.381127450980387</v>
      </c>
      <c r="P537" s="176"/>
    </row>
    <row r="538" spans="1:16" ht="21.75" customHeight="1" x14ac:dyDescent="0.35">
      <c r="A538" s="381"/>
      <c r="B538" s="382"/>
      <c r="C538" s="163"/>
      <c r="D538" s="383"/>
      <c r="E538" s="165"/>
      <c r="F538" s="165"/>
      <c r="G538" s="384" t="s">
        <v>131</v>
      </c>
      <c r="H538" s="167" t="s">
        <v>12</v>
      </c>
      <c r="I538" s="195"/>
      <c r="J538" s="195"/>
      <c r="K538" s="231"/>
      <c r="L538" s="176"/>
      <c r="M538" s="176"/>
      <c r="N538" s="385">
        <f ca="1">IFERROR(__xludf.DUMMYFUNCTION("IMPORTRANGE(""https://docs.google.com/spreadsheets/d/1IYY_tgx_IHuhSq3AJ5eI5OnqOPBNLWSHKh2a30DoXe8/edit?usp=sharing"",""ปัตตานี!M433"")"),17040)</f>
        <v>17040</v>
      </c>
      <c r="O538" s="176"/>
      <c r="P538" s="176"/>
    </row>
    <row r="539" spans="1:16" ht="21.75" customHeight="1" x14ac:dyDescent="0.35">
      <c r="A539" s="381"/>
      <c r="B539" s="382"/>
      <c r="C539" s="163"/>
      <c r="D539" s="383"/>
      <c r="E539" s="165"/>
      <c r="F539" s="165"/>
      <c r="G539" s="384" t="s">
        <v>132</v>
      </c>
      <c r="H539" s="167" t="s">
        <v>12</v>
      </c>
      <c r="I539" s="195"/>
      <c r="J539" s="195"/>
      <c r="K539" s="231"/>
      <c r="L539" s="176"/>
      <c r="M539" s="176"/>
      <c r="N539" s="385">
        <f ca="1">IFERROR(__xludf.DUMMYFUNCTION("IMPORTRANGE(""https://docs.google.com/spreadsheets/d/1IYY_tgx_IHuhSq3AJ5eI5OnqOPBNLWSHKh2a30DoXe8/edit?usp=sharing"",""ปัตตานี!M434"")"),0)</f>
        <v>0</v>
      </c>
      <c r="O539" s="176"/>
      <c r="P539" s="176"/>
    </row>
    <row r="540" spans="1:16" ht="21.75" customHeight="1" x14ac:dyDescent="0.35">
      <c r="A540" s="381"/>
      <c r="B540" s="382"/>
      <c r="C540" s="163"/>
      <c r="D540" s="383"/>
      <c r="E540" s="165"/>
      <c r="F540" s="165"/>
      <c r="G540" s="384" t="s">
        <v>133</v>
      </c>
      <c r="H540" s="167" t="s">
        <v>12</v>
      </c>
      <c r="I540" s="195"/>
      <c r="J540" s="195"/>
      <c r="K540" s="231"/>
      <c r="L540" s="176"/>
      <c r="M540" s="176"/>
      <c r="N540" s="385">
        <f ca="1">IFERROR(__xludf.DUMMYFUNCTION("IMPORTRANGE(""https://docs.google.com/spreadsheets/d/1IYY_tgx_IHuhSq3AJ5eI5OnqOPBNLWSHKh2a30DoXe8/edit?usp=sharing"",""ปัตตานี!M435"")"),0)</f>
        <v>0</v>
      </c>
      <c r="O540" s="176"/>
      <c r="P540" s="176"/>
    </row>
    <row r="541" spans="1:16" ht="21.75" customHeight="1" x14ac:dyDescent="0.35">
      <c r="A541" s="381"/>
      <c r="B541" s="382"/>
      <c r="C541" s="163"/>
      <c r="D541" s="383"/>
      <c r="E541" s="165"/>
      <c r="F541" s="165"/>
      <c r="G541" s="384" t="s">
        <v>134</v>
      </c>
      <c r="H541" s="167" t="s">
        <v>12</v>
      </c>
      <c r="I541" s="195"/>
      <c r="J541" s="195"/>
      <c r="K541" s="231"/>
      <c r="L541" s="176"/>
      <c r="M541" s="176"/>
      <c r="N541" s="385">
        <f ca="1">IFERROR(__xludf.DUMMYFUNCTION("IMPORTRANGE(""https://docs.google.com/spreadsheets/d/1IYY_tgx_IHuhSq3AJ5eI5OnqOPBNLWSHKh2a30DoXe8/edit?usp=sharing"",""ปัตตานี!M436"")"),9849.2)</f>
        <v>9849.2000000000007</v>
      </c>
      <c r="O541" s="176"/>
      <c r="P541" s="176"/>
    </row>
    <row r="542" spans="1:16" ht="21.75" customHeight="1" x14ac:dyDescent="0.35">
      <c r="A542" s="183"/>
      <c r="B542" s="184"/>
      <c r="C542" s="163" t="s">
        <v>16</v>
      </c>
      <c r="D542" s="185" t="s">
        <v>44</v>
      </c>
      <c r="E542" s="186"/>
      <c r="F542" s="186"/>
      <c r="G542" s="187"/>
      <c r="H542" s="188"/>
      <c r="I542" s="168"/>
      <c r="J542" s="168"/>
      <c r="K542" s="169"/>
      <c r="L542" s="189"/>
      <c r="M542" s="189"/>
      <c r="N542" s="189"/>
      <c r="O542" s="189"/>
      <c r="P542" s="189"/>
    </row>
    <row r="543" spans="1:16" ht="21.75" customHeight="1" x14ac:dyDescent="0.35">
      <c r="A543" s="183"/>
      <c r="B543" s="184"/>
      <c r="C543" s="184"/>
      <c r="D543" s="190">
        <v>1</v>
      </c>
      <c r="E543" s="191" t="s">
        <v>45</v>
      </c>
      <c r="F543" s="192"/>
      <c r="G543" s="193"/>
      <c r="H543" s="194"/>
      <c r="I543" s="195"/>
      <c r="J543" s="205">
        <f ca="1">IFERROR(__xludf.DUMMYFUNCTION("IMPORTRANGE(""https://docs.google.com/spreadsheets/d/1IYY_tgx_IHuhSq3AJ5eI5OnqOPBNLWSHKh2a30DoXe8/edit?usp=sharing"",""ปัตตานี!J438"")"),0)</f>
        <v>0</v>
      </c>
      <c r="K543" s="169"/>
      <c r="L543" s="189"/>
      <c r="M543" s="189"/>
      <c r="N543" s="189"/>
      <c r="O543" s="189"/>
      <c r="P543" s="189"/>
    </row>
    <row r="544" spans="1:16" ht="21.75" customHeight="1" x14ac:dyDescent="0.35">
      <c r="A544" s="183"/>
      <c r="B544" s="184"/>
      <c r="C544" s="184"/>
      <c r="D544" s="197">
        <v>2</v>
      </c>
      <c r="E544" s="198" t="s">
        <v>46</v>
      </c>
      <c r="F544" s="199"/>
      <c r="G544" s="200"/>
      <c r="H544" s="194"/>
      <c r="I544" s="195"/>
      <c r="J544" s="196">
        <f ca="1">IFERROR(__xludf.DUMMYFUNCTION("IMPORTRANGE(""https://docs.google.com/spreadsheets/d/1IYY_tgx_IHuhSq3AJ5eI5OnqOPBNLWSHKh2a30DoXe8/edit?usp=sharing"",""ปัตตานี!J439"")"),1)</f>
        <v>1</v>
      </c>
      <c r="K544" s="169"/>
      <c r="L544" s="189" t="s">
        <v>40</v>
      </c>
      <c r="M544" s="189"/>
      <c r="N544" s="189" t="s">
        <v>40</v>
      </c>
      <c r="O544" s="189"/>
      <c r="P544" s="189"/>
    </row>
    <row r="545" spans="1:16" ht="21.75" customHeight="1" x14ac:dyDescent="0.35">
      <c r="A545" s="183"/>
      <c r="B545" s="184"/>
      <c r="C545" s="184"/>
      <c r="D545" s="201"/>
      <c r="E545" s="202" t="s">
        <v>47</v>
      </c>
      <c r="F545" s="203"/>
      <c r="G545" s="204"/>
      <c r="H545" s="194"/>
      <c r="I545" s="195"/>
      <c r="J545" s="196">
        <f ca="1">IFERROR(__xludf.DUMMYFUNCTION("IMPORTRANGE(""https://docs.google.com/spreadsheets/d/1IYY_tgx_IHuhSq3AJ5eI5OnqOPBNLWSHKh2a30DoXe8/edit?usp=sharing"",""ปัตตานี!J440"")"),1)</f>
        <v>1</v>
      </c>
      <c r="K545" s="169"/>
      <c r="L545" s="189"/>
      <c r="M545" s="189"/>
      <c r="N545" s="189"/>
      <c r="O545" s="189"/>
      <c r="P545" s="189"/>
    </row>
    <row r="546" spans="1:16" ht="21.75" customHeight="1" x14ac:dyDescent="0.35">
      <c r="A546" s="183"/>
      <c r="B546" s="184"/>
      <c r="C546" s="184"/>
      <c r="D546" s="201"/>
      <c r="E546" s="202" t="s">
        <v>48</v>
      </c>
      <c r="F546" s="203"/>
      <c r="G546" s="204"/>
      <c r="H546" s="194"/>
      <c r="I546" s="195"/>
      <c r="J546" s="205">
        <f ca="1">IFERROR(__xludf.DUMMYFUNCTION("IMPORTRANGE(""https://docs.google.com/spreadsheets/d/1IYY_tgx_IHuhSq3AJ5eI5OnqOPBNLWSHKh2a30DoXe8/edit?usp=sharing"",""ปัตตานี!J441"")"),1)</f>
        <v>1</v>
      </c>
      <c r="K546" s="169"/>
      <c r="L546" s="189"/>
      <c r="M546" s="189"/>
      <c r="N546" s="189"/>
      <c r="O546" s="189"/>
      <c r="P546" s="189"/>
    </row>
    <row r="547" spans="1:16" ht="21.75" customHeight="1" x14ac:dyDescent="0.35">
      <c r="A547" s="183"/>
      <c r="B547" s="184"/>
      <c r="C547" s="184"/>
      <c r="D547" s="201"/>
      <c r="E547" s="206"/>
      <c r="F547" s="203"/>
      <c r="G547" s="233" t="s">
        <v>203</v>
      </c>
      <c r="H547" s="194" t="s">
        <v>37</v>
      </c>
      <c r="I547" s="211">
        <f ca="1">IFERROR(__xludf.DUMMYFUNCTION("IMPORTRANGE(""https://docs.google.com/spreadsheets/d/1IYY_tgx_IHuhSq3AJ5eI5OnqOPBNLWSHKh2a30DoXe8/edit?usp=sharing"",""ปัตตานี!I442"")"),20)</f>
        <v>20</v>
      </c>
      <c r="J547" s="196">
        <f ca="1">IFERROR(__xludf.DUMMYFUNCTION("IMPORTRANGE(""https://docs.google.com/spreadsheets/d/1IYY_tgx_IHuhSq3AJ5eI5OnqOPBNLWSHKh2a30DoXe8/edit?usp=sharing"",""ปัตตานี!J442"")"),25)</f>
        <v>25</v>
      </c>
      <c r="K547" s="169">
        <f t="shared" ref="K547:K548" ca="1" si="119">IF(I547&gt;0,J547*100/I547,0)</f>
        <v>125</v>
      </c>
      <c r="L547" s="189"/>
      <c r="M547" s="189"/>
      <c r="N547" s="189"/>
      <c r="O547" s="189"/>
      <c r="P547" s="189"/>
    </row>
    <row r="548" spans="1:16" ht="21.75" hidden="1" customHeight="1" x14ac:dyDescent="0.35">
      <c r="A548" s="183"/>
      <c r="B548" s="184"/>
      <c r="C548" s="184"/>
      <c r="D548" s="201"/>
      <c r="E548" s="206"/>
      <c r="F548" s="203"/>
      <c r="G548" s="233" t="s">
        <v>204</v>
      </c>
      <c r="H548" s="194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5">
        <f ca="1">IFERROR(__xludf.DUMMYFUNCTION("IMPORTRANGE(""https://docs.google.com/spreadsheets/d/1IYY_tgx_IHuhSq3AJ5eI5OnqOPBNLWSHKh2a30DoXe8/edit?usp=sharing"",""ปัตตานี!J166"")"),0)</f>
        <v>0</v>
      </c>
      <c r="K548" s="169">
        <f t="shared" ca="1" si="119"/>
        <v>0</v>
      </c>
      <c r="L548" s="189"/>
      <c r="M548" s="189"/>
      <c r="N548" s="189"/>
      <c r="O548" s="189"/>
      <c r="P548" s="189"/>
    </row>
    <row r="549" spans="1:16" ht="21.75" customHeight="1" x14ac:dyDescent="0.35">
      <c r="A549" s="183"/>
      <c r="B549" s="184"/>
      <c r="C549" s="184"/>
      <c r="D549" s="201"/>
      <c r="E549" s="202" t="s">
        <v>54</v>
      </c>
      <c r="F549" s="203"/>
      <c r="G549" s="204"/>
      <c r="H549" s="194"/>
      <c r="I549" s="195"/>
      <c r="J549" s="205">
        <f ca="1">IFERROR(__xludf.DUMMYFUNCTION("IMPORTRANGE(""https://docs.google.com/spreadsheets/d/1IYY_tgx_IHuhSq3AJ5eI5OnqOPBNLWSHKh2a30DoXe8/edit?usp=sharing"",""ปัตตานี!J444"")"),0)</f>
        <v>0</v>
      </c>
      <c r="K549" s="169"/>
      <c r="L549" s="189"/>
      <c r="M549" s="189"/>
      <c r="N549" s="189"/>
      <c r="O549" s="189"/>
      <c r="P549" s="189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IFERROR(__xludf.DUMMYFUNCTION("IMPORTRANGE(""https://docs.google.com/spreadsheets/d/1IYY_tgx_IHuhSq3AJ5eI5OnqOPBNLWSHKh2a30DoXe8/edit?usp=sharing"",""ปัตตานี!J445"")"),0)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IFERROR(__xludf.DUMMYFUNCTION("IMPORTRANGE(""https://docs.google.com/spreadsheets/d/1IYY_tgx_IHuhSq3AJ5eI5OnqOPBNLWSHKh2a30DoXe8/edit?usp=sharing"",""ปัตตานี!I446"")"),0)</f>
        <v>0</v>
      </c>
      <c r="J551" s="416">
        <f ca="1">IFERROR(__xludf.DUMMYFUNCTION("IMPORTRANGE(""https://docs.google.com/spreadsheets/d/1IYY_tgx_IHuhSq3AJ5eI5OnqOPBNLWSHKh2a30DoXe8/edit?usp=sharing"",""ปัตตานี!J446"")"),0)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IFERROR(__xludf.DUMMYFUNCTION("IMPORTRANGE(""https://docs.google.com/spreadsheets/d/1IYY_tgx_IHuhSq3AJ5eI5OnqOPBNLWSHKh2a30DoXe8/edit?usp=sharing"",""ปัตตานี!L446"")"),0)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IFERROR(__xludf.DUMMYFUNCTION("IMPORTRANGE(""https://docs.google.com/spreadsheets/d/1IYY_tgx_IHuhSq3AJ5eI5OnqOPBNLWSHKh2a30DoXe8/edit?usp=sharing"",""ปัตตานี!M446"")"),0)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164" t="s">
        <v>38</v>
      </c>
      <c r="E552" s="165"/>
      <c r="F552" s="165"/>
      <c r="G552" s="166" t="s">
        <v>39</v>
      </c>
      <c r="H552" s="167" t="s">
        <v>12</v>
      </c>
      <c r="I552" s="168" t="s">
        <v>40</v>
      </c>
      <c r="J552" s="168"/>
      <c r="K552" s="169"/>
      <c r="L552" s="170">
        <f ca="1">IFERROR(__xludf.DUMMYFUNCTION("IMPORTRANGE(""https://docs.google.com/spreadsheets/d/1IYY_tgx_IHuhSq3AJ5eI5OnqOPBNLWSHKh2a30DoXe8/edit?usp=sharing"",""ปัตตานี!L447"")"),0)</f>
        <v>0</v>
      </c>
      <c r="M552" s="170"/>
      <c r="N552" s="176">
        <f ca="1">IFERROR(__xludf.DUMMYFUNCTION("IMPORTRANGE(""https://docs.google.com/spreadsheets/d/1IYY_tgx_IHuhSq3AJ5eI5OnqOPBNLWSHKh2a30DoXe8/edit?usp=sharing"",""ปัตตานี!M447"")"),0)</f>
        <v>0</v>
      </c>
      <c r="O552" s="176">
        <f t="shared" ca="1" si="120"/>
        <v>0</v>
      </c>
      <c r="P552" s="176"/>
    </row>
    <row r="553" spans="1:16" ht="21.75" customHeight="1" x14ac:dyDescent="0.35">
      <c r="A553" s="162"/>
      <c r="B553" s="163"/>
      <c r="C553" s="163"/>
      <c r="D553" s="172"/>
      <c r="E553" s="165"/>
      <c r="F553" s="165" t="s">
        <v>40</v>
      </c>
      <c r="G553" s="166" t="s">
        <v>41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IFERROR(__xludf.DUMMYFUNCTION("IMPORTRANGE(""https://docs.google.com/spreadsheets/d/1IYY_tgx_IHuhSq3AJ5eI5OnqOPBNLWSHKh2a30DoXe8/edit?usp=sharing"",""ปัตตานี!L448"")"),0)</f>
        <v>0</v>
      </c>
      <c r="M553" s="171"/>
      <c r="N553" s="176">
        <f ca="1">IFERROR(__xludf.DUMMYFUNCTION("IMPORTRANGE(""https://docs.google.com/spreadsheets/d/1IYY_tgx_IHuhSq3AJ5eI5OnqOPBNLWSHKh2a30DoXe8/edit?usp=sharing"",""ปัตตานี!M448"")"),0)</f>
        <v>0</v>
      </c>
      <c r="O553" s="176">
        <f t="shared" ca="1" si="120"/>
        <v>0</v>
      </c>
      <c r="P553" s="176"/>
    </row>
    <row r="554" spans="1:16" ht="21.75" customHeight="1" x14ac:dyDescent="0.35">
      <c r="A554" s="162"/>
      <c r="B554" s="163"/>
      <c r="C554" s="163"/>
      <c r="D554" s="172"/>
      <c r="E554" s="165"/>
      <c r="F554" s="165"/>
      <c r="G554" s="380" t="s">
        <v>129</v>
      </c>
      <c r="H554" s="167" t="s">
        <v>12</v>
      </c>
      <c r="I554" s="168"/>
      <c r="J554" s="168"/>
      <c r="K554" s="169"/>
      <c r="L554" s="176">
        <f ca="1">IFERROR(__xludf.DUMMYFUNCTION("IMPORTRANGE(""https://docs.google.com/spreadsheets/d/1IYY_tgx_IHuhSq3AJ5eI5OnqOPBNLWSHKh2a30DoXe8/edit?usp=sharing"",""ปัตตานี!L449"")"),0)</f>
        <v>0</v>
      </c>
      <c r="M554" s="176"/>
      <c r="N554" s="176">
        <f ca="1">IFERROR(__xludf.DUMMYFUNCTION("IMPORTRANGE(""https://docs.google.com/spreadsheets/d/1IYY_tgx_IHuhSq3AJ5eI5OnqOPBNLWSHKh2a30DoXe8/edit?usp=sharing"",""ปัตตานี!M449"")"),0)</f>
        <v>0</v>
      </c>
      <c r="O554" s="176">
        <f t="shared" ca="1" si="120"/>
        <v>0</v>
      </c>
      <c r="P554" s="176"/>
    </row>
    <row r="555" spans="1:16" ht="21.75" customHeight="1" x14ac:dyDescent="0.35">
      <c r="A555" s="162"/>
      <c r="B555" s="163"/>
      <c r="C555" s="163"/>
      <c r="D555" s="172"/>
      <c r="E555" s="165"/>
      <c r="F555" s="165"/>
      <c r="G555" s="380" t="s">
        <v>130</v>
      </c>
      <c r="H555" s="167" t="s">
        <v>12</v>
      </c>
      <c r="I555" s="168"/>
      <c r="J555" s="168"/>
      <c r="K555" s="169"/>
      <c r="L555" s="176">
        <f ca="1">IFERROR(__xludf.DUMMYFUNCTION("IMPORTRANGE(""https://docs.google.com/spreadsheets/d/1IYY_tgx_IHuhSq3AJ5eI5OnqOPBNLWSHKh2a30DoXe8/edit?usp=sharing"",""ปัตตานี!L450"")"),0)</f>
        <v>0</v>
      </c>
      <c r="M555" s="176"/>
      <c r="N555" s="176">
        <f ca="1">IFERROR(__xludf.DUMMYFUNCTION("IMPORTRANGE(""https://docs.google.com/spreadsheets/d/1IYY_tgx_IHuhSq3AJ5eI5OnqOPBNLWSHKh2a30DoXe8/edit?usp=sharing"",""ปัตตานี!M450"")"),0)</f>
        <v>0</v>
      </c>
      <c r="O555" s="176">
        <f t="shared" ca="1" si="120"/>
        <v>0</v>
      </c>
      <c r="P555" s="176"/>
    </row>
    <row r="556" spans="1:16" ht="21.75" customHeight="1" x14ac:dyDescent="0.35">
      <c r="A556" s="381"/>
      <c r="B556" s="382"/>
      <c r="C556" s="163"/>
      <c r="D556" s="383"/>
      <c r="E556" s="165"/>
      <c r="F556" s="165"/>
      <c r="G556" s="384" t="s">
        <v>131</v>
      </c>
      <c r="H556" s="167" t="s">
        <v>12</v>
      </c>
      <c r="I556" s="195"/>
      <c r="J556" s="195"/>
      <c r="K556" s="231"/>
      <c r="L556" s="176"/>
      <c r="M556" s="176"/>
      <c r="N556" s="173">
        <f ca="1">IFERROR(__xludf.DUMMYFUNCTION("IMPORTRANGE(""https://docs.google.com/spreadsheets/d/1IYY_tgx_IHuhSq3AJ5eI5OnqOPBNLWSHKh2a30DoXe8/edit?usp=sharing"",""ปัตตานี!M451"")"),0)</f>
        <v>0</v>
      </c>
      <c r="O556" s="176"/>
      <c r="P556" s="176"/>
    </row>
    <row r="557" spans="1:16" ht="21.75" customHeight="1" x14ac:dyDescent="0.35">
      <c r="A557" s="381"/>
      <c r="B557" s="382"/>
      <c r="C557" s="163"/>
      <c r="D557" s="383"/>
      <c r="E557" s="165"/>
      <c r="F557" s="165"/>
      <c r="G557" s="384" t="s">
        <v>132</v>
      </c>
      <c r="H557" s="167" t="s">
        <v>12</v>
      </c>
      <c r="I557" s="195"/>
      <c r="J557" s="195"/>
      <c r="K557" s="231"/>
      <c r="L557" s="176"/>
      <c r="M557" s="176"/>
      <c r="N557" s="173">
        <f ca="1">IFERROR(__xludf.DUMMYFUNCTION("IMPORTRANGE(""https://docs.google.com/spreadsheets/d/1IYY_tgx_IHuhSq3AJ5eI5OnqOPBNLWSHKh2a30DoXe8/edit?usp=sharing"",""ปัตตานี!M452"")"),0)</f>
        <v>0</v>
      </c>
      <c r="O557" s="176"/>
      <c r="P557" s="176"/>
    </row>
    <row r="558" spans="1:16" ht="21.75" customHeight="1" x14ac:dyDescent="0.35">
      <c r="A558" s="381"/>
      <c r="B558" s="382"/>
      <c r="C558" s="163"/>
      <c r="D558" s="383"/>
      <c r="E558" s="165"/>
      <c r="F558" s="165"/>
      <c r="G558" s="384" t="s">
        <v>133</v>
      </c>
      <c r="H558" s="167" t="s">
        <v>12</v>
      </c>
      <c r="I558" s="195"/>
      <c r="J558" s="195"/>
      <c r="K558" s="231"/>
      <c r="L558" s="176"/>
      <c r="M558" s="176"/>
      <c r="N558" s="173">
        <f ca="1">IFERROR(__xludf.DUMMYFUNCTION("IMPORTRANGE(""https://docs.google.com/spreadsheets/d/1IYY_tgx_IHuhSq3AJ5eI5OnqOPBNLWSHKh2a30DoXe8/edit?usp=sharing"",""ปัตตานี!M453"")"),0)</f>
        <v>0</v>
      </c>
      <c r="O558" s="176"/>
      <c r="P558" s="176"/>
    </row>
    <row r="559" spans="1:16" ht="21.75" customHeight="1" x14ac:dyDescent="0.35">
      <c r="A559" s="381"/>
      <c r="B559" s="382"/>
      <c r="C559" s="163"/>
      <c r="D559" s="383"/>
      <c r="E559" s="165"/>
      <c r="F559" s="165"/>
      <c r="G559" s="384" t="s">
        <v>134</v>
      </c>
      <c r="H559" s="167" t="s">
        <v>12</v>
      </c>
      <c r="I559" s="195"/>
      <c r="J559" s="195"/>
      <c r="K559" s="231"/>
      <c r="L559" s="176"/>
      <c r="M559" s="176"/>
      <c r="N559" s="173">
        <f ca="1">IFERROR(__xludf.DUMMYFUNCTION("IMPORTRANGE(""https://docs.google.com/spreadsheets/d/1IYY_tgx_IHuhSq3AJ5eI5OnqOPBNLWSHKh2a30DoXe8/edit?usp=sharing"",""ปัตตานี!M454"")"),0)</f>
        <v>0</v>
      </c>
      <c r="O559" s="176"/>
      <c r="P559" s="176"/>
    </row>
    <row r="560" spans="1:16" ht="21.75" customHeight="1" x14ac:dyDescent="0.35">
      <c r="A560" s="183"/>
      <c r="B560" s="184"/>
      <c r="C560" s="184"/>
      <c r="D560" s="201"/>
      <c r="E560" s="203"/>
      <c r="F560" s="285" t="s">
        <v>206</v>
      </c>
      <c r="G560" s="204"/>
      <c r="H560" s="481" t="s">
        <v>122</v>
      </c>
      <c r="I560" s="168">
        <f ca="1">IFERROR(__xludf.DUMMYFUNCTION("IMPORTRANGE(""https://docs.google.com/spreadsheets/d/1IYY_tgx_IHuhSq3AJ5eI5OnqOPBNLWSHKh2a30DoXe8/edit?usp=sharing"",""ปัตตานี!I455"")"),0)</f>
        <v>0</v>
      </c>
      <c r="J560" s="168">
        <f ca="1">IFERROR(__xludf.DUMMYFUNCTION("IMPORTRANGE(""https://docs.google.com/spreadsheets/d/1IYY_tgx_IHuhSq3AJ5eI5OnqOPBNLWSHKh2a30DoXe8/edit?usp=sharing"",""ปัตตานี!J455"")"),0)</f>
        <v>0</v>
      </c>
      <c r="K560" s="231">
        <f t="shared" ref="K560:K564" ca="1" si="121">IF(I560&gt;0,J560*100/I560,0)</f>
        <v>0</v>
      </c>
      <c r="L560" s="176"/>
      <c r="M560" s="176"/>
      <c r="N560" s="176"/>
      <c r="O560" s="189"/>
      <c r="P560" s="189"/>
    </row>
    <row r="561" spans="1:16" ht="21.75" customHeight="1" x14ac:dyDescent="0.35">
      <c r="A561" s="183"/>
      <c r="B561" s="184"/>
      <c r="C561" s="184"/>
      <c r="D561" s="201"/>
      <c r="E561" s="203"/>
      <c r="F561" s="203"/>
      <c r="G561" s="204"/>
      <c r="H561" s="481" t="s">
        <v>36</v>
      </c>
      <c r="I561" s="168">
        <f ca="1">IFERROR(__xludf.DUMMYFUNCTION("IMPORTRANGE(""https://docs.google.com/spreadsheets/d/1IYY_tgx_IHuhSq3AJ5eI5OnqOPBNLWSHKh2a30DoXe8/edit?usp=sharing"",""ปัตตานี!I456"")"),0)</f>
        <v>0</v>
      </c>
      <c r="J561" s="211">
        <f ca="1">IFERROR(__xludf.DUMMYFUNCTION("IMPORTRANGE(""https://docs.google.com/spreadsheets/d/1IYY_tgx_IHuhSq3AJ5eI5OnqOPBNLWSHKh2a30DoXe8/edit?usp=sharing"",""ปัตตานี!J456"")"),0)</f>
        <v>0</v>
      </c>
      <c r="K561" s="231">
        <f t="shared" ca="1" si="121"/>
        <v>0</v>
      </c>
      <c r="L561" s="176"/>
      <c r="M561" s="176"/>
      <c r="N561" s="176"/>
      <c r="O561" s="189"/>
      <c r="P561" s="189"/>
    </row>
    <row r="562" spans="1:16" ht="21.75" customHeight="1" x14ac:dyDescent="0.35">
      <c r="A562" s="183"/>
      <c r="B562" s="184"/>
      <c r="C562" s="184"/>
      <c r="D562" s="201"/>
      <c r="E562" s="203"/>
      <c r="F562" s="203" t="s">
        <v>207</v>
      </c>
      <c r="G562" s="204"/>
      <c r="H562" s="481" t="s">
        <v>122</v>
      </c>
      <c r="I562" s="168">
        <f ca="1">IFERROR(__xludf.DUMMYFUNCTION("IMPORTRANGE(""https://docs.google.com/spreadsheets/d/1IYY_tgx_IHuhSq3AJ5eI5OnqOPBNLWSHKh2a30DoXe8/edit?usp=sharing"",""ปัตตานี!I457"")"),0)</f>
        <v>0</v>
      </c>
      <c r="J562" s="211" t="str">
        <f ca="1">IFERROR(__xludf.DUMMYFUNCTION("IMPORTRANGE(""https://docs.google.com/spreadsheets/d/1IYY_tgx_IHuhSq3AJ5eI5OnqOPBNLWSHKh2a30DoXe8/edit?usp=sharing"",""ปัตตานี!J457"")"),"")</f>
        <v/>
      </c>
      <c r="K562" s="169">
        <f t="shared" ca="1" si="121"/>
        <v>0</v>
      </c>
      <c r="L562" s="189"/>
      <c r="M562" s="189"/>
      <c r="N562" s="189"/>
      <c r="O562" s="189"/>
      <c r="P562" s="189"/>
    </row>
    <row r="563" spans="1:16" ht="21.75" customHeight="1" x14ac:dyDescent="0.35">
      <c r="A563" s="183"/>
      <c r="B563" s="184"/>
      <c r="C563" s="184"/>
      <c r="D563" s="201"/>
      <c r="E563" s="203"/>
      <c r="F563" s="203"/>
      <c r="G563" s="204"/>
      <c r="H563" s="481" t="s">
        <v>36</v>
      </c>
      <c r="I563" s="168">
        <f ca="1">IFERROR(__xludf.DUMMYFUNCTION("IMPORTRANGE(""https://docs.google.com/spreadsheets/d/1IYY_tgx_IHuhSq3AJ5eI5OnqOPBNLWSHKh2a30DoXe8/edit?usp=sharing"",""ปัตตานี!I458"")"),0)</f>
        <v>0</v>
      </c>
      <c r="J563" s="195" t="str">
        <f ca="1">IFERROR(__xludf.DUMMYFUNCTION("IMPORTRANGE(""https://docs.google.com/spreadsheets/d/1IYY_tgx_IHuhSq3AJ5eI5OnqOPBNLWSHKh2a30DoXe8/edit?usp=sharing"",""ปัตตานี!J458"")"),"")</f>
        <v/>
      </c>
      <c r="K563" s="169">
        <f t="shared" ca="1" si="121"/>
        <v>0</v>
      </c>
      <c r="L563" s="189"/>
      <c r="M563" s="189"/>
      <c r="N563" s="189"/>
      <c r="O563" s="189"/>
      <c r="P563" s="189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IFERROR(__xludf.DUMMYFUNCTION("IMPORTRANGE(""https://docs.google.com/spreadsheets/d/1IYY_tgx_IHuhSq3AJ5eI5OnqOPBNLWSHKh2a30DoXe8/edit?usp=sharing"",""ปัตตานี!I459"")"),200)</f>
        <v>200</v>
      </c>
      <c r="J564" s="377">
        <f ca="1">IFERROR(__xludf.DUMMYFUNCTION("IMPORTRANGE(""https://docs.google.com/spreadsheets/d/1IYY_tgx_IHuhSq3AJ5eI5OnqOPBNLWSHKh2a30DoXe8/edit?usp=sharing"",""ปัตตานี!J459"")"),501)</f>
        <v>501</v>
      </c>
      <c r="K564" s="378">
        <f t="shared" ca="1" si="121"/>
        <v>250.5</v>
      </c>
      <c r="L564" s="379">
        <f ca="1">IFERROR(__xludf.DUMMYFUNCTION("IMPORTRANGE(""https://docs.google.com/spreadsheets/d/1IYY_tgx_IHuhSq3AJ5eI5OnqOPBNLWSHKh2a30DoXe8/edit?usp=sharing"",""ปัตตานี!L459"")"),119520)</f>
        <v>119520</v>
      </c>
      <c r="M564" s="379"/>
      <c r="N564" s="379">
        <f ca="1">IFERROR(__xludf.DUMMYFUNCTION("IMPORTRANGE(""https://docs.google.com/spreadsheets/d/1IYY_tgx_IHuhSq3AJ5eI5OnqOPBNLWSHKh2a30DoXe8/edit?usp=sharing"",""ปัตตานี!M459"")"),63091.48)</f>
        <v>63091.48</v>
      </c>
      <c r="O564" s="379">
        <f t="shared" ref="O564:O568" ca="1" si="122">+IF(L564&gt;0,N564*100/L564,0)</f>
        <v>52.787382864792505</v>
      </c>
      <c r="P564" s="379"/>
    </row>
    <row r="565" spans="1:16" ht="21.75" customHeight="1" x14ac:dyDescent="0.35">
      <c r="A565" s="162"/>
      <c r="B565" s="163"/>
      <c r="C565" s="163" t="s">
        <v>16</v>
      </c>
      <c r="D565" s="164" t="s">
        <v>38</v>
      </c>
      <c r="E565" s="165"/>
      <c r="F565" s="165"/>
      <c r="G565" s="166" t="s">
        <v>39</v>
      </c>
      <c r="H565" s="167" t="s">
        <v>12</v>
      </c>
      <c r="I565" s="168" t="s">
        <v>40</v>
      </c>
      <c r="J565" s="168"/>
      <c r="K565" s="169"/>
      <c r="L565" s="170">
        <f ca="1">IFERROR(__xludf.DUMMYFUNCTION("IMPORTRANGE(""https://docs.google.com/spreadsheets/d/1IYY_tgx_IHuhSq3AJ5eI5OnqOPBNLWSHKh2a30DoXe8/edit?usp=sharing"",""ปัตตานี!L460"")"),0)</f>
        <v>0</v>
      </c>
      <c r="M565" s="170"/>
      <c r="N565" s="176">
        <f ca="1">IFERROR(__xludf.DUMMYFUNCTION("IMPORTRANGE(""https://docs.google.com/spreadsheets/d/1IYY_tgx_IHuhSq3AJ5eI5OnqOPBNLWSHKh2a30DoXe8/edit?usp=sharing"",""ปัตตานี!M460"")"),0)</f>
        <v>0</v>
      </c>
      <c r="O565" s="176">
        <f t="shared" ca="1" si="122"/>
        <v>0</v>
      </c>
      <c r="P565" s="176"/>
    </row>
    <row r="566" spans="1:16" ht="21.75" customHeight="1" x14ac:dyDescent="0.35">
      <c r="A566" s="162"/>
      <c r="B566" s="163"/>
      <c r="C566" s="163"/>
      <c r="D566" s="172"/>
      <c r="E566" s="165"/>
      <c r="F566" s="165" t="s">
        <v>40</v>
      </c>
      <c r="G566" s="166" t="s">
        <v>41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IFERROR(__xludf.DUMMYFUNCTION("IMPORTRANGE(""https://docs.google.com/spreadsheets/d/1IYY_tgx_IHuhSq3AJ5eI5OnqOPBNLWSHKh2a30DoXe8/edit?usp=sharing"",""ปัตตานี!L461"")"),119520)</f>
        <v>119520</v>
      </c>
      <c r="M566" s="171"/>
      <c r="N566" s="176">
        <f ca="1">IFERROR(__xludf.DUMMYFUNCTION("IMPORTRANGE(""https://docs.google.com/spreadsheets/d/1IYY_tgx_IHuhSq3AJ5eI5OnqOPBNLWSHKh2a30DoXe8/edit?usp=sharing"",""ปัตตานี!M461"")"),63091.48)</f>
        <v>63091.48</v>
      </c>
      <c r="O566" s="176">
        <f t="shared" ca="1" si="122"/>
        <v>52.787382864792505</v>
      </c>
      <c r="P566" s="176"/>
    </row>
    <row r="567" spans="1:16" ht="21.75" customHeight="1" x14ac:dyDescent="0.35">
      <c r="A567" s="162"/>
      <c r="B567" s="163"/>
      <c r="C567" s="163"/>
      <c r="D567" s="172"/>
      <c r="E567" s="165"/>
      <c r="F567" s="165"/>
      <c r="G567" s="380" t="s">
        <v>129</v>
      </c>
      <c r="H567" s="167" t="s">
        <v>12</v>
      </c>
      <c r="I567" s="168"/>
      <c r="J567" s="168"/>
      <c r="K567" s="169"/>
      <c r="L567" s="176">
        <f ca="1">IFERROR(__xludf.DUMMYFUNCTION("IMPORTRANGE(""https://docs.google.com/spreadsheets/d/1IYY_tgx_IHuhSq3AJ5eI5OnqOPBNLWSHKh2a30DoXe8/edit?usp=sharing"",""ปัตตานี!L462"")"),0)</f>
        <v>0</v>
      </c>
      <c r="M567" s="176"/>
      <c r="N567" s="176">
        <f ca="1">IFERROR(__xludf.DUMMYFUNCTION("IMPORTRANGE(""https://docs.google.com/spreadsheets/d/1IYY_tgx_IHuhSq3AJ5eI5OnqOPBNLWSHKh2a30DoXe8/edit?usp=sharing"",""ปัตตานี!M462"")"),0)</f>
        <v>0</v>
      </c>
      <c r="O567" s="176">
        <f t="shared" ca="1" si="122"/>
        <v>0</v>
      </c>
      <c r="P567" s="176"/>
    </row>
    <row r="568" spans="1:16" ht="21.75" customHeight="1" x14ac:dyDescent="0.35">
      <c r="A568" s="162"/>
      <c r="B568" s="163"/>
      <c r="C568" s="163"/>
      <c r="D568" s="172"/>
      <c r="E568" s="165"/>
      <c r="F568" s="165"/>
      <c r="G568" s="380" t="s">
        <v>130</v>
      </c>
      <c r="H568" s="167" t="s">
        <v>12</v>
      </c>
      <c r="I568" s="168"/>
      <c r="J568" s="168"/>
      <c r="K568" s="169"/>
      <c r="L568" s="176">
        <f ca="1">IFERROR(__xludf.DUMMYFUNCTION("IMPORTRANGE(""https://docs.google.com/spreadsheets/d/1IYY_tgx_IHuhSq3AJ5eI5OnqOPBNLWSHKh2a30DoXe8/edit?usp=sharing"",""ปัตตานี!L463"")"),119520)</f>
        <v>119520</v>
      </c>
      <c r="M568" s="176"/>
      <c r="N568" s="176">
        <f ca="1">IFERROR(__xludf.DUMMYFUNCTION("IMPORTRANGE(""https://docs.google.com/spreadsheets/d/1IYY_tgx_IHuhSq3AJ5eI5OnqOPBNLWSHKh2a30DoXe8/edit?usp=sharing"",""ปัตตานี!M463"")"),63091.48)</f>
        <v>63091.48</v>
      </c>
      <c r="O568" s="176">
        <f t="shared" ca="1" si="122"/>
        <v>52.787382864792505</v>
      </c>
      <c r="P568" s="176"/>
    </row>
    <row r="569" spans="1:16" ht="21.75" customHeight="1" x14ac:dyDescent="0.35">
      <c r="A569" s="381"/>
      <c r="B569" s="382"/>
      <c r="C569" s="163"/>
      <c r="D569" s="383"/>
      <c r="E569" s="165"/>
      <c r="F569" s="165"/>
      <c r="G569" s="384" t="s">
        <v>131</v>
      </c>
      <c r="H569" s="167" t="s">
        <v>12</v>
      </c>
      <c r="I569" s="195"/>
      <c r="J569" s="195"/>
      <c r="K569" s="231"/>
      <c r="L569" s="176"/>
      <c r="M569" s="176"/>
      <c r="N569" s="173">
        <f ca="1">IFERROR(__xludf.DUMMYFUNCTION("IMPORTRANGE(""https://docs.google.com/spreadsheets/d/1IYY_tgx_IHuhSq3AJ5eI5OnqOPBNLWSHKh2a30DoXe8/edit?usp=sharing"",""ปัตตานี!M464"")"),0)</f>
        <v>0</v>
      </c>
      <c r="O569" s="176"/>
      <c r="P569" s="176"/>
    </row>
    <row r="570" spans="1:16" ht="21.75" customHeight="1" x14ac:dyDescent="0.35">
      <c r="A570" s="381"/>
      <c r="B570" s="382"/>
      <c r="C570" s="163"/>
      <c r="D570" s="383"/>
      <c r="E570" s="165"/>
      <c r="F570" s="165"/>
      <c r="G570" s="384" t="s">
        <v>132</v>
      </c>
      <c r="H570" s="167" t="s">
        <v>12</v>
      </c>
      <c r="I570" s="195"/>
      <c r="J570" s="195"/>
      <c r="K570" s="231"/>
      <c r="L570" s="176"/>
      <c r="M570" s="176"/>
      <c r="N570" s="173">
        <f ca="1">IFERROR(__xludf.DUMMYFUNCTION("IMPORTRANGE(""https://docs.google.com/spreadsheets/d/1IYY_tgx_IHuhSq3AJ5eI5OnqOPBNLWSHKh2a30DoXe8/edit?usp=sharing"",""ปัตตานี!M465"")"),0)</f>
        <v>0</v>
      </c>
      <c r="O570" s="176"/>
      <c r="P570" s="176"/>
    </row>
    <row r="571" spans="1:16" ht="21.75" customHeight="1" x14ac:dyDescent="0.35">
      <c r="A571" s="381"/>
      <c r="B571" s="382"/>
      <c r="C571" s="163"/>
      <c r="D571" s="383"/>
      <c r="E571" s="165"/>
      <c r="F571" s="165"/>
      <c r="G571" s="384" t="s">
        <v>133</v>
      </c>
      <c r="H571" s="167" t="s">
        <v>12</v>
      </c>
      <c r="I571" s="195"/>
      <c r="J571" s="195"/>
      <c r="K571" s="231"/>
      <c r="L571" s="176"/>
      <c r="M571" s="176"/>
      <c r="N571" s="385">
        <f ca="1">IFERROR(__xludf.DUMMYFUNCTION("IMPORTRANGE(""https://docs.google.com/spreadsheets/d/1IYY_tgx_IHuhSq3AJ5eI5OnqOPBNLWSHKh2a30DoXe8/edit?usp=sharing"",""ปัตตานี!M466"")"),42935.48)</f>
        <v>42935.48</v>
      </c>
      <c r="O571" s="176"/>
      <c r="P571" s="176"/>
    </row>
    <row r="572" spans="1:16" ht="21.75" customHeight="1" x14ac:dyDescent="0.35">
      <c r="A572" s="381"/>
      <c r="B572" s="382"/>
      <c r="C572" s="163"/>
      <c r="D572" s="383"/>
      <c r="E572" s="165"/>
      <c r="F572" s="165"/>
      <c r="G572" s="384" t="s">
        <v>134</v>
      </c>
      <c r="H572" s="167" t="s">
        <v>12</v>
      </c>
      <c r="I572" s="195"/>
      <c r="J572" s="195"/>
      <c r="K572" s="231"/>
      <c r="L572" s="176"/>
      <c r="M572" s="176"/>
      <c r="N572" s="385">
        <f ca="1">IFERROR(__xludf.DUMMYFUNCTION("IMPORTRANGE(""https://docs.google.com/spreadsheets/d/1IYY_tgx_IHuhSq3AJ5eI5OnqOPBNLWSHKh2a30DoXe8/edit?usp=sharing"",""ปัตตานี!M467"")"),20156)</f>
        <v>20156</v>
      </c>
      <c r="O572" s="176"/>
      <c r="P572" s="176"/>
    </row>
    <row r="573" spans="1:16" ht="21.75" customHeight="1" x14ac:dyDescent="0.35">
      <c r="A573" s="183"/>
      <c r="B573" s="184"/>
      <c r="C573" s="184"/>
      <c r="D573" s="203"/>
      <c r="E573" s="202" t="s">
        <v>40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IFERROR(__xludf.DUMMYFUNCTION("IMPORTRANGE(""https://docs.google.com/spreadsheets/d/1IYY_tgx_IHuhSq3AJ5eI5OnqOPBNLWSHKh2a30DoXe8/edit?usp=sharing"",""ปัตตานี!I468"")"),200)</f>
        <v>200</v>
      </c>
      <c r="J573" s="426">
        <f ca="1">IFERROR(__xludf.DUMMYFUNCTION("IMPORTRANGE(""https://docs.google.com/spreadsheets/d/1IYY_tgx_IHuhSq3AJ5eI5OnqOPBNLWSHKh2a30DoXe8/edit?usp=sharing"",""ปัตตานี!J468"")"),501)</f>
        <v>501</v>
      </c>
      <c r="K573" s="209">
        <f ca="1">IF(I573&gt;0,J573*100/I573,0)</f>
        <v>250.5</v>
      </c>
      <c r="L573" s="189"/>
      <c r="M573" s="189"/>
      <c r="N573" s="189"/>
      <c r="O573" s="189"/>
      <c r="P573" s="189"/>
    </row>
    <row r="574" spans="1:16" ht="21.75" customHeight="1" x14ac:dyDescent="0.35">
      <c r="A574" s="183"/>
      <c r="B574" s="184"/>
      <c r="C574" s="184"/>
      <c r="D574" s="203"/>
      <c r="E574" s="203"/>
      <c r="F574" s="202" t="s">
        <v>210</v>
      </c>
      <c r="G574" s="204"/>
      <c r="H574" s="481"/>
      <c r="I574" s="168"/>
      <c r="J574" s="168"/>
      <c r="K574" s="169"/>
      <c r="L574" s="189"/>
      <c r="M574" s="189"/>
      <c r="N574" s="189"/>
      <c r="O574" s="189"/>
      <c r="P574" s="189"/>
    </row>
    <row r="575" spans="1:16" ht="21.75" customHeight="1" x14ac:dyDescent="0.35">
      <c r="A575" s="183"/>
      <c r="B575" s="184"/>
      <c r="C575" s="184"/>
      <c r="D575" s="203"/>
      <c r="E575" s="202" t="s">
        <v>40</v>
      </c>
      <c r="F575" s="202" t="s">
        <v>211</v>
      </c>
      <c r="G575" s="204"/>
      <c r="H575" s="481" t="s">
        <v>77</v>
      </c>
      <c r="I575" s="210">
        <f ca="1">IFERROR(__xludf.DUMMYFUNCTION("IMPORTRANGE(""https://docs.google.com/spreadsheets/d/1IYY_tgx_IHuhSq3AJ5eI5OnqOPBNLWSHKh2a30DoXe8/edit?usp=sharing"",""ปัตตานี!I470"")"),0)</f>
        <v>0</v>
      </c>
      <c r="J575" s="205">
        <f ca="1">IFERROR(__xludf.DUMMYFUNCTION("IMPORTRANGE(""https://docs.google.com/spreadsheets/d/1IYY_tgx_IHuhSq3AJ5eI5OnqOPBNLWSHKh2a30DoXe8/edit?usp=sharing"",""ปัตตานี!J470"")"),11)</f>
        <v>11</v>
      </c>
      <c r="K575" s="169">
        <f t="shared" ref="K575:K579" ca="1" si="123">IF(I575&gt;0,J575*100/I575,0)</f>
        <v>0</v>
      </c>
      <c r="L575" s="189"/>
      <c r="M575" s="189"/>
      <c r="N575" s="189"/>
      <c r="O575" s="189"/>
      <c r="P575" s="189"/>
    </row>
    <row r="576" spans="1:16" ht="21.75" customHeight="1" x14ac:dyDescent="0.35">
      <c r="A576" s="183"/>
      <c r="B576" s="184"/>
      <c r="C576" s="184"/>
      <c r="D576" s="203"/>
      <c r="E576" s="203"/>
      <c r="F576" s="202" t="s">
        <v>212</v>
      </c>
      <c r="G576" s="204"/>
      <c r="H576" s="481" t="s">
        <v>37</v>
      </c>
      <c r="I576" s="210">
        <f ca="1">IFERROR(__xludf.DUMMYFUNCTION("IMPORTRANGE(""https://docs.google.com/spreadsheets/d/1IYY_tgx_IHuhSq3AJ5eI5OnqOPBNLWSHKh2a30DoXe8/edit?usp=sharing"",""ปัตตานี!I471"")"),0)</f>
        <v>0</v>
      </c>
      <c r="J576" s="205">
        <f ca="1">IFERROR(__xludf.DUMMYFUNCTION("IMPORTRANGE(""https://docs.google.com/spreadsheets/d/1IYY_tgx_IHuhSq3AJ5eI5OnqOPBNLWSHKh2a30DoXe8/edit?usp=sharing"",""ปัตตานี!J471"")"),329)</f>
        <v>329</v>
      </c>
      <c r="K576" s="169">
        <f t="shared" ca="1" si="123"/>
        <v>0</v>
      </c>
      <c r="L576" s="189"/>
      <c r="M576" s="189"/>
      <c r="N576" s="189"/>
      <c r="O576" s="189"/>
      <c r="P576" s="189"/>
    </row>
    <row r="577" spans="1:16" ht="21.75" customHeight="1" x14ac:dyDescent="0.35">
      <c r="A577" s="183"/>
      <c r="B577" s="184"/>
      <c r="C577" s="184"/>
      <c r="D577" s="203"/>
      <c r="E577" s="203"/>
      <c r="F577" s="202" t="s">
        <v>213</v>
      </c>
      <c r="G577" s="204"/>
      <c r="H577" s="481" t="s">
        <v>37</v>
      </c>
      <c r="I577" s="210">
        <f ca="1">IFERROR(__xludf.DUMMYFUNCTION("IMPORTRANGE(""https://docs.google.com/spreadsheets/d/1IYY_tgx_IHuhSq3AJ5eI5OnqOPBNLWSHKh2a30DoXe8/edit?usp=sharing"",""ปัตตานี!I472"")"),0)</f>
        <v>0</v>
      </c>
      <c r="J577" s="196">
        <f ca="1">IFERROR(__xludf.DUMMYFUNCTION("IMPORTRANGE(""https://docs.google.com/spreadsheets/d/1IYY_tgx_IHuhSq3AJ5eI5OnqOPBNLWSHKh2a30DoXe8/edit?usp=sharing"",""ปัตตานี!J472"")"),172)</f>
        <v>172</v>
      </c>
      <c r="K577" s="169">
        <f t="shared" ca="1" si="123"/>
        <v>0</v>
      </c>
      <c r="L577" s="189"/>
      <c r="M577" s="189"/>
      <c r="N577" s="189"/>
      <c r="O577" s="189"/>
      <c r="P577" s="189"/>
    </row>
    <row r="578" spans="1:16" ht="21.75" customHeight="1" x14ac:dyDescent="0.35">
      <c r="A578" s="183"/>
      <c r="B578" s="184"/>
      <c r="C578" s="184"/>
      <c r="D578" s="203"/>
      <c r="E578" s="203"/>
      <c r="F578" s="202" t="s">
        <v>214</v>
      </c>
      <c r="G578" s="427"/>
      <c r="H578" s="481" t="s">
        <v>37</v>
      </c>
      <c r="I578" s="210">
        <f ca="1">IFERROR(__xludf.DUMMYFUNCTION("IMPORTRANGE(""https://docs.google.com/spreadsheets/d/1IYY_tgx_IHuhSq3AJ5eI5OnqOPBNLWSHKh2a30DoXe8/edit?usp=sharing"",""ปัตตานี!I473"")"),0)</f>
        <v>0</v>
      </c>
      <c r="J578" s="205">
        <f ca="1">IFERROR(__xludf.DUMMYFUNCTION("IMPORTRANGE(""https://docs.google.com/spreadsheets/d/1IYY_tgx_IHuhSq3AJ5eI5OnqOPBNLWSHKh2a30DoXe8/edit?usp=sharing"",""ปัตตานี!J473"")"),0)</f>
        <v>0</v>
      </c>
      <c r="K578" s="169">
        <f t="shared" ca="1" si="123"/>
        <v>0</v>
      </c>
      <c r="L578" s="189"/>
      <c r="M578" s="189"/>
      <c r="N578" s="189"/>
      <c r="O578" s="189"/>
      <c r="P578" s="189"/>
    </row>
    <row r="579" spans="1:16" ht="21.75" customHeight="1" x14ac:dyDescent="0.35">
      <c r="A579" s="183"/>
      <c r="B579" s="184"/>
      <c r="C579" s="184"/>
      <c r="D579" s="203"/>
      <c r="E579" s="203"/>
      <c r="F579" s="202" t="s">
        <v>215</v>
      </c>
      <c r="G579" s="427"/>
      <c r="H579" s="481" t="s">
        <v>37</v>
      </c>
      <c r="I579" s="210">
        <f ca="1">IFERROR(__xludf.DUMMYFUNCTION("IMPORTRANGE(""https://docs.google.com/spreadsheets/d/1IYY_tgx_IHuhSq3AJ5eI5OnqOPBNLWSHKh2a30DoXe8/edit?usp=sharing"",""ปัตตานี!I474"")"),0)</f>
        <v>0</v>
      </c>
      <c r="J579" s="205">
        <f ca="1">IFERROR(__xludf.DUMMYFUNCTION("IMPORTRANGE(""https://docs.google.com/spreadsheets/d/1IYY_tgx_IHuhSq3AJ5eI5OnqOPBNLWSHKh2a30DoXe8/edit?usp=sharing"",""ปัตตานี!J474"")"),0)</f>
        <v>0</v>
      </c>
      <c r="K579" s="169">
        <f t="shared" ca="1" si="123"/>
        <v>0</v>
      </c>
      <c r="L579" s="189"/>
      <c r="M579" s="189"/>
      <c r="N579" s="189"/>
      <c r="O579" s="189"/>
      <c r="P579" s="189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IFERROR(__xludf.DUMMYFUNCTION("IMPORTRANGE(""https://docs.google.com/spreadsheets/d/1IYY_tgx_IHuhSq3AJ5eI5OnqOPBNLWSHKh2a30DoXe8/edit?usp=sharing"",""ปัตตานี!I475"")"),0)</f>
        <v>0</v>
      </c>
      <c r="J580" s="377">
        <f ca="1">IFERROR(__xludf.DUMMYFUNCTION("IMPORTRANGE(""https://docs.google.com/spreadsheets/d/1IYY_tgx_IHuhSq3AJ5eI5OnqOPBNLWSHKh2a30DoXe8/edit?usp=sharing"",""ปัตตานี!J475"")"),0)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IFERROR(__xludf.DUMMYFUNCTION("IMPORTRANGE(""https://docs.google.com/spreadsheets/d/1IYY_tgx_IHuhSq3AJ5eI5OnqOPBNLWSHKh2a30DoXe8/edit?usp=sharing"",""ปัตตานี!L475"")"),0)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IFERROR(__xludf.DUMMYFUNCTION("IMPORTRANGE(""https://docs.google.com/spreadsheets/d/1IYY_tgx_IHuhSq3AJ5eI5OnqOPBNLWSHKh2a30DoXe8/edit?usp=sharing"",""ปัตตานี!M475"")"),0)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164" t="s">
        <v>38</v>
      </c>
      <c r="E581" s="165"/>
      <c r="F581" s="165"/>
      <c r="G581" s="166" t="s">
        <v>39</v>
      </c>
      <c r="H581" s="167" t="s">
        <v>12</v>
      </c>
      <c r="I581" s="168" t="s">
        <v>40</v>
      </c>
      <c r="J581" s="168"/>
      <c r="K581" s="169"/>
      <c r="L581" s="170">
        <f ca="1">IFERROR(__xludf.DUMMYFUNCTION("IMPORTRANGE(""https://docs.google.com/spreadsheets/d/1IYY_tgx_IHuhSq3AJ5eI5OnqOPBNLWSHKh2a30DoXe8/edit?usp=sharing"",""ปัตตานี!L476"")"),0)</f>
        <v>0</v>
      </c>
      <c r="M581" s="170"/>
      <c r="N581" s="176">
        <f ca="1">IFERROR(__xludf.DUMMYFUNCTION("IMPORTRANGE(""https://docs.google.com/spreadsheets/d/1IYY_tgx_IHuhSq3AJ5eI5OnqOPBNLWSHKh2a30DoXe8/edit?usp=sharing"",""ปัตตานี!M476"")"),0)</f>
        <v>0</v>
      </c>
      <c r="O581" s="176">
        <f t="shared" ca="1" si="124"/>
        <v>0</v>
      </c>
      <c r="P581" s="176"/>
    </row>
    <row r="582" spans="1:16" ht="21.75" customHeight="1" x14ac:dyDescent="0.35">
      <c r="A582" s="162"/>
      <c r="B582" s="163"/>
      <c r="C582" s="163"/>
      <c r="D582" s="172"/>
      <c r="E582" s="165"/>
      <c r="F582" s="165" t="s">
        <v>40</v>
      </c>
      <c r="G582" s="166" t="s">
        <v>41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IFERROR(__xludf.DUMMYFUNCTION("IMPORTRANGE(""https://docs.google.com/spreadsheets/d/1IYY_tgx_IHuhSq3AJ5eI5OnqOPBNLWSHKh2a30DoXe8/edit?usp=sharing"",""ปัตตานี!L477"")"),0)</f>
        <v>0</v>
      </c>
      <c r="M582" s="171"/>
      <c r="N582" s="176">
        <f ca="1">IFERROR(__xludf.DUMMYFUNCTION("IMPORTRANGE(""https://docs.google.com/spreadsheets/d/1IYY_tgx_IHuhSq3AJ5eI5OnqOPBNLWSHKh2a30DoXe8/edit?usp=sharing"",""ปัตตานี!M477"")"),0)</f>
        <v>0</v>
      </c>
      <c r="O582" s="176">
        <f t="shared" ca="1" si="124"/>
        <v>0</v>
      </c>
      <c r="P582" s="176"/>
    </row>
    <row r="583" spans="1:16" ht="21.75" customHeight="1" x14ac:dyDescent="0.35">
      <c r="A583" s="162"/>
      <c r="B583" s="163"/>
      <c r="C583" s="163"/>
      <c r="D583" s="172"/>
      <c r="E583" s="165"/>
      <c r="F583" s="165"/>
      <c r="G583" s="380" t="s">
        <v>129</v>
      </c>
      <c r="H583" s="167" t="s">
        <v>12</v>
      </c>
      <c r="I583" s="168"/>
      <c r="J583" s="168"/>
      <c r="K583" s="169"/>
      <c r="L583" s="176">
        <f ca="1">IFERROR(__xludf.DUMMYFUNCTION("IMPORTRANGE(""https://docs.google.com/spreadsheets/d/1IYY_tgx_IHuhSq3AJ5eI5OnqOPBNLWSHKh2a30DoXe8/edit?usp=sharing"",""ปัตตานี!L478"")"),0)</f>
        <v>0</v>
      </c>
      <c r="M583" s="176"/>
      <c r="N583" s="176">
        <f ca="1">IFERROR(__xludf.DUMMYFUNCTION("IMPORTRANGE(""https://docs.google.com/spreadsheets/d/1IYY_tgx_IHuhSq3AJ5eI5OnqOPBNLWSHKh2a30DoXe8/edit?usp=sharing"",""ปัตตานี!M478"")"),0)</f>
        <v>0</v>
      </c>
      <c r="O583" s="176">
        <f t="shared" ca="1" si="124"/>
        <v>0</v>
      </c>
      <c r="P583" s="176"/>
    </row>
    <row r="584" spans="1:16" ht="21.75" customHeight="1" x14ac:dyDescent="0.35">
      <c r="A584" s="162"/>
      <c r="B584" s="163"/>
      <c r="C584" s="163"/>
      <c r="D584" s="172"/>
      <c r="E584" s="165"/>
      <c r="F584" s="165"/>
      <c r="G584" s="380" t="s">
        <v>130</v>
      </c>
      <c r="H584" s="167" t="s">
        <v>12</v>
      </c>
      <c r="I584" s="168"/>
      <c r="J584" s="168"/>
      <c r="K584" s="169"/>
      <c r="L584" s="176">
        <f ca="1">IFERROR(__xludf.DUMMYFUNCTION("IMPORTRANGE(""https://docs.google.com/spreadsheets/d/1IYY_tgx_IHuhSq3AJ5eI5OnqOPBNLWSHKh2a30DoXe8/edit?usp=sharing"",""ปัตตานี!L479"")"),0)</f>
        <v>0</v>
      </c>
      <c r="M584" s="176"/>
      <c r="N584" s="176">
        <f ca="1">IFERROR(__xludf.DUMMYFUNCTION("IMPORTRANGE(""https://docs.google.com/spreadsheets/d/1IYY_tgx_IHuhSq3AJ5eI5OnqOPBNLWSHKh2a30DoXe8/edit?usp=sharing"",""ปัตตานี!M479"")"),0)</f>
        <v>0</v>
      </c>
      <c r="O584" s="176">
        <f t="shared" ca="1" si="124"/>
        <v>0</v>
      </c>
      <c r="P584" s="176"/>
    </row>
    <row r="585" spans="1:16" ht="21.75" customHeight="1" x14ac:dyDescent="0.35">
      <c r="A585" s="381"/>
      <c r="B585" s="382"/>
      <c r="C585" s="163"/>
      <c r="D585" s="383"/>
      <c r="E585" s="165"/>
      <c r="F585" s="165"/>
      <c r="G585" s="384" t="s">
        <v>131</v>
      </c>
      <c r="H585" s="167" t="s">
        <v>12</v>
      </c>
      <c r="I585" s="195"/>
      <c r="J585" s="195"/>
      <c r="K585" s="231"/>
      <c r="L585" s="176"/>
      <c r="M585" s="176"/>
      <c r="N585" s="173">
        <f ca="1">IFERROR(__xludf.DUMMYFUNCTION("IMPORTRANGE(""https://docs.google.com/spreadsheets/d/1IYY_tgx_IHuhSq3AJ5eI5OnqOPBNLWSHKh2a30DoXe8/edit?usp=sharing"",""ปัตตานี!M480"")"),0)</f>
        <v>0</v>
      </c>
      <c r="O585" s="176"/>
      <c r="P585" s="176"/>
    </row>
    <row r="586" spans="1:16" ht="21.75" customHeight="1" x14ac:dyDescent="0.35">
      <c r="A586" s="381"/>
      <c r="B586" s="382"/>
      <c r="C586" s="163"/>
      <c r="D586" s="383"/>
      <c r="E586" s="165"/>
      <c r="F586" s="165"/>
      <c r="G586" s="384" t="s">
        <v>132</v>
      </c>
      <c r="H586" s="167" t="s">
        <v>12</v>
      </c>
      <c r="I586" s="195"/>
      <c r="J586" s="195"/>
      <c r="K586" s="231"/>
      <c r="L586" s="176"/>
      <c r="M586" s="176"/>
      <c r="N586" s="173">
        <f ca="1">IFERROR(__xludf.DUMMYFUNCTION("IMPORTRANGE(""https://docs.google.com/spreadsheets/d/1IYY_tgx_IHuhSq3AJ5eI5OnqOPBNLWSHKh2a30DoXe8/edit?usp=sharing"",""ปัตตานี!M481"")"),0)</f>
        <v>0</v>
      </c>
      <c r="O586" s="176"/>
      <c r="P586" s="176"/>
    </row>
    <row r="587" spans="1:16" ht="21.75" customHeight="1" x14ac:dyDescent="0.35">
      <c r="A587" s="381"/>
      <c r="B587" s="382"/>
      <c r="C587" s="163"/>
      <c r="D587" s="383"/>
      <c r="E587" s="165"/>
      <c r="F587" s="165"/>
      <c r="G587" s="384" t="s">
        <v>133</v>
      </c>
      <c r="H587" s="167" t="s">
        <v>12</v>
      </c>
      <c r="I587" s="195"/>
      <c r="J587" s="195"/>
      <c r="K587" s="231"/>
      <c r="L587" s="176"/>
      <c r="M587" s="176"/>
      <c r="N587" s="173">
        <f ca="1">IFERROR(__xludf.DUMMYFUNCTION("IMPORTRANGE(""https://docs.google.com/spreadsheets/d/1IYY_tgx_IHuhSq3AJ5eI5OnqOPBNLWSHKh2a30DoXe8/edit?usp=sharing"",""ปัตตานี!M482"")"),0)</f>
        <v>0</v>
      </c>
      <c r="O587" s="176"/>
      <c r="P587" s="176"/>
    </row>
    <row r="588" spans="1:16" ht="21.75" customHeight="1" x14ac:dyDescent="0.35">
      <c r="A588" s="381"/>
      <c r="B588" s="382"/>
      <c r="C588" s="163"/>
      <c r="D588" s="383"/>
      <c r="E588" s="165"/>
      <c r="F588" s="165"/>
      <c r="G588" s="384" t="s">
        <v>134</v>
      </c>
      <c r="H588" s="167" t="s">
        <v>12</v>
      </c>
      <c r="I588" s="195"/>
      <c r="J588" s="195"/>
      <c r="K588" s="231"/>
      <c r="L588" s="176"/>
      <c r="M588" s="176"/>
      <c r="N588" s="173">
        <f ca="1">IFERROR(__xludf.DUMMYFUNCTION("IMPORTRANGE(""https://docs.google.com/spreadsheets/d/1IYY_tgx_IHuhSq3AJ5eI5OnqOPBNLWSHKh2a30DoXe8/edit?usp=sharing"",""ปัตตานี!M483"")"),0)</f>
        <v>0</v>
      </c>
      <c r="O588" s="176"/>
      <c r="P588" s="176"/>
    </row>
    <row r="589" spans="1:16" ht="21.75" customHeight="1" x14ac:dyDescent="0.35">
      <c r="A589" s="484"/>
      <c r="B589" s="172"/>
      <c r="C589" s="163"/>
      <c r="D589" s="297"/>
      <c r="E589" s="202" t="s">
        <v>217</v>
      </c>
      <c r="F589" s="203"/>
      <c r="G589" s="204"/>
      <c r="H589" s="188" t="s">
        <v>36</v>
      </c>
      <c r="I589" s="347">
        <f ca="1">IFERROR(__xludf.DUMMYFUNCTION("IMPORTRANGE(""https://docs.google.com/spreadsheets/d/1IYY_tgx_IHuhSq3AJ5eI5OnqOPBNLWSHKh2a30DoXe8/edit?usp=sharing"",""ปัตตานี!I484"")"),0)</f>
        <v>0</v>
      </c>
      <c r="J589" s="195">
        <f ca="1">IFERROR(__xludf.DUMMYFUNCTION("IMPORTRANGE(""https://docs.google.com/spreadsheets/d/1IYY_tgx_IHuhSq3AJ5eI5OnqOPBNLWSHKh2a30DoXe8/edit?usp=sharing"",""ปัตตานี!J484"")"),0)</f>
        <v>0</v>
      </c>
      <c r="K589" s="169">
        <f t="shared" ref="K589:K596" ca="1" si="125">IF(I589&gt;0,J589*100/I589,0)</f>
        <v>0</v>
      </c>
      <c r="L589" s="189"/>
      <c r="M589" s="189"/>
      <c r="N589" s="176"/>
      <c r="O589" s="189"/>
      <c r="P589" s="189"/>
    </row>
    <row r="590" spans="1:16" ht="21.75" customHeight="1" x14ac:dyDescent="0.35">
      <c r="A590" s="484"/>
      <c r="B590" s="172"/>
      <c r="C590" s="163"/>
      <c r="D590" s="297"/>
      <c r="E590" s="203"/>
      <c r="F590" s="203"/>
      <c r="G590" s="204"/>
      <c r="H590" s="188" t="s">
        <v>122</v>
      </c>
      <c r="I590" s="351">
        <f ca="1">IFERROR(__xludf.DUMMYFUNCTION("IMPORTRANGE(""https://docs.google.com/spreadsheets/d/1IYY_tgx_IHuhSq3AJ5eI5OnqOPBNLWSHKh2a30DoXe8/edit?usp=sharing"",""ปัตตานี!I485"")"),0)</f>
        <v>0</v>
      </c>
      <c r="J590" s="195">
        <f ca="1">IFERROR(__xludf.DUMMYFUNCTION("IMPORTRANGE(""https://docs.google.com/spreadsheets/d/1IYY_tgx_IHuhSq3AJ5eI5OnqOPBNLWSHKh2a30DoXe8/edit?usp=sharing"",""ปัตตานี!J485"")"),0)</f>
        <v>0</v>
      </c>
      <c r="K590" s="485">
        <f t="shared" ca="1" si="125"/>
        <v>0</v>
      </c>
      <c r="L590" s="189"/>
      <c r="M590" s="189"/>
      <c r="N590" s="176"/>
      <c r="O590" s="189"/>
      <c r="P590" s="189"/>
    </row>
    <row r="591" spans="1:16" ht="21.75" customHeight="1" x14ac:dyDescent="0.35">
      <c r="A591" s="484"/>
      <c r="B591" s="172"/>
      <c r="C591" s="163"/>
      <c r="D591" s="297"/>
      <c r="E591" s="202" t="s">
        <v>123</v>
      </c>
      <c r="F591" s="203"/>
      <c r="G591" s="204"/>
      <c r="H591" s="188" t="s">
        <v>37</v>
      </c>
      <c r="I591" s="347">
        <f ca="1">IFERROR(__xludf.DUMMYFUNCTION("IMPORTRANGE(""https://docs.google.com/spreadsheets/d/1IYY_tgx_IHuhSq3AJ5eI5OnqOPBNLWSHKh2a30DoXe8/edit?usp=sharing"",""ปัตตานี!I486"")"),0)</f>
        <v>0</v>
      </c>
      <c r="J591" s="195">
        <f ca="1">IFERROR(__xludf.DUMMYFUNCTION("IMPORTRANGE(""https://docs.google.com/spreadsheets/d/1IYY_tgx_IHuhSq3AJ5eI5OnqOPBNLWSHKh2a30DoXe8/edit?usp=sharing"",""ปัตตานี!J486"")"),0)</f>
        <v>0</v>
      </c>
      <c r="K591" s="169">
        <f t="shared" ca="1" si="125"/>
        <v>0</v>
      </c>
      <c r="L591" s="189"/>
      <c r="M591" s="189"/>
      <c r="N591" s="189"/>
      <c r="O591" s="189"/>
      <c r="P591" s="189"/>
    </row>
    <row r="592" spans="1:16" ht="21.75" customHeight="1" x14ac:dyDescent="0.35">
      <c r="A592" s="484"/>
      <c r="B592" s="172"/>
      <c r="C592" s="163"/>
      <c r="D592" s="297"/>
      <c r="E592" s="203"/>
      <c r="F592" s="203"/>
      <c r="G592" s="204"/>
      <c r="H592" s="188" t="s">
        <v>122</v>
      </c>
      <c r="I592" s="351">
        <f ca="1">IFERROR(__xludf.DUMMYFUNCTION("IMPORTRANGE(""https://docs.google.com/spreadsheets/d/1IYY_tgx_IHuhSq3AJ5eI5OnqOPBNLWSHKh2a30DoXe8/edit?usp=sharing"",""ปัตตานี!I487"")"),0)</f>
        <v>0</v>
      </c>
      <c r="J592" s="195">
        <f ca="1">IFERROR(__xludf.DUMMYFUNCTION("IMPORTRANGE(""https://docs.google.com/spreadsheets/d/1IYY_tgx_IHuhSq3AJ5eI5OnqOPBNLWSHKh2a30DoXe8/edit?usp=sharing"",""ปัตตานี!J487"")"),0)</f>
        <v>0</v>
      </c>
      <c r="K592" s="348">
        <f t="shared" ca="1" si="125"/>
        <v>0</v>
      </c>
      <c r="L592" s="189"/>
      <c r="M592" s="189"/>
      <c r="N592" s="189"/>
      <c r="O592" s="189"/>
      <c r="P592" s="189"/>
    </row>
    <row r="593" spans="1:16" ht="21.75" customHeight="1" x14ac:dyDescent="0.35">
      <c r="A593" s="484"/>
      <c r="B593" s="172"/>
      <c r="C593" s="163"/>
      <c r="D593" s="297"/>
      <c r="E593" s="202" t="s">
        <v>124</v>
      </c>
      <c r="F593" s="203"/>
      <c r="G593" s="204"/>
      <c r="H593" s="188" t="s">
        <v>37</v>
      </c>
      <c r="I593" s="347">
        <f ca="1">IFERROR(__xludf.DUMMYFUNCTION("IMPORTRANGE(""https://docs.google.com/spreadsheets/d/1IYY_tgx_IHuhSq3AJ5eI5OnqOPBNLWSHKh2a30DoXe8/edit?usp=sharing"",""ปัตตานี!I488"")"),0)</f>
        <v>0</v>
      </c>
      <c r="J593" s="195">
        <f ca="1">IFERROR(__xludf.DUMMYFUNCTION("IMPORTRANGE(""https://docs.google.com/spreadsheets/d/1IYY_tgx_IHuhSq3AJ5eI5OnqOPBNLWSHKh2a30DoXe8/edit?usp=sharing"",""ปัตตานี!J488"")"),0)</f>
        <v>0</v>
      </c>
      <c r="K593" s="169">
        <f t="shared" ca="1" si="125"/>
        <v>0</v>
      </c>
      <c r="L593" s="189"/>
      <c r="M593" s="189"/>
      <c r="N593" s="189"/>
      <c r="O593" s="189"/>
      <c r="P593" s="189"/>
    </row>
    <row r="594" spans="1:16" ht="21.75" customHeight="1" x14ac:dyDescent="0.35">
      <c r="A594" s="484"/>
      <c r="B594" s="172"/>
      <c r="C594" s="163"/>
      <c r="D594" s="297"/>
      <c r="E594" s="203"/>
      <c r="F594" s="203"/>
      <c r="G594" s="204"/>
      <c r="H594" s="188" t="s">
        <v>122</v>
      </c>
      <c r="I594" s="351">
        <f ca="1">IFERROR(__xludf.DUMMYFUNCTION("IMPORTRANGE(""https://docs.google.com/spreadsheets/d/1IYY_tgx_IHuhSq3AJ5eI5OnqOPBNLWSHKh2a30DoXe8/edit?usp=sharing"",""ปัตตานี!I489"")"),0)</f>
        <v>0</v>
      </c>
      <c r="J594" s="195">
        <f ca="1">IFERROR(__xludf.DUMMYFUNCTION("IMPORTRANGE(""https://docs.google.com/spreadsheets/d/1IYY_tgx_IHuhSq3AJ5eI5OnqOPBNLWSHKh2a30DoXe8/edit?usp=sharing"",""ปัตตานี!J489"")"),0)</f>
        <v>0</v>
      </c>
      <c r="K594" s="348">
        <f t="shared" ca="1" si="125"/>
        <v>0</v>
      </c>
      <c r="L594" s="189"/>
      <c r="M594" s="189"/>
      <c r="N594" s="189"/>
      <c r="O594" s="189"/>
      <c r="P594" s="189"/>
    </row>
    <row r="595" spans="1:16" ht="21.75" customHeight="1" x14ac:dyDescent="0.35">
      <c r="A595" s="484"/>
      <c r="B595" s="172"/>
      <c r="C595" s="163"/>
      <c r="D595" s="297"/>
      <c r="E595" s="202" t="s">
        <v>125</v>
      </c>
      <c r="F595" s="203"/>
      <c r="G595" s="204"/>
      <c r="H595" s="188" t="s">
        <v>37</v>
      </c>
      <c r="I595" s="347">
        <f ca="1">IFERROR(__xludf.DUMMYFUNCTION("IMPORTRANGE(""https://docs.google.com/spreadsheets/d/1IYY_tgx_IHuhSq3AJ5eI5OnqOPBNLWSHKh2a30DoXe8/edit?usp=sharing"",""ปัตตานี!I490"")"),0)</f>
        <v>0</v>
      </c>
      <c r="J595" s="195">
        <f ca="1">IFERROR(__xludf.DUMMYFUNCTION("IMPORTRANGE(""https://docs.google.com/spreadsheets/d/1IYY_tgx_IHuhSq3AJ5eI5OnqOPBNLWSHKh2a30DoXe8/edit?usp=sharing"",""ปัตตานี!J490"")"),0)</f>
        <v>0</v>
      </c>
      <c r="K595" s="169">
        <f t="shared" ca="1" si="125"/>
        <v>0</v>
      </c>
      <c r="L595" s="189"/>
      <c r="M595" s="189"/>
      <c r="N595" s="189"/>
      <c r="O595" s="189"/>
      <c r="P595" s="189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IFERROR(__xludf.DUMMYFUNCTION("IMPORTRANGE(""https://docs.google.com/spreadsheets/d/1IYY_tgx_IHuhSq3AJ5eI5OnqOPBNLWSHKh2a30DoXe8/edit?usp=sharing"",""ปัตตานี!I491"")"),0)</f>
        <v>0</v>
      </c>
      <c r="J596" s="248">
        <f ca="1">IFERROR(__xludf.DUMMYFUNCTION("IMPORTRANGE(""https://docs.google.com/spreadsheets/d/1IYY_tgx_IHuhSq3AJ5eI5OnqOPBNLWSHKh2a30DoXe8/edit?usp=sharing"",""ปัตตานี!J491"")"),0)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IFERROR(__xludf.DUMMYFUNCTION("IMPORTRANGE(""https://docs.google.com/spreadsheets/d/1IYY_tgx_IHuhSq3AJ5eI5OnqOPBNLWSHKh2a30DoXe8/edit?usp=sharing"",""ปัตตานี!I492"")"),100)</f>
        <v>100</v>
      </c>
      <c r="J597" s="493">
        <f ca="1">IFERROR(__xludf.DUMMYFUNCTION("IMPORTRANGE(""https://docs.google.com/spreadsheets/d/1IYY_tgx_IHuhSq3AJ5eI5OnqOPBNLWSHKh2a30DoXe8/edit?usp=sharing"",""ปัตตานี!J492"")"),0)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IFERROR(__xludf.DUMMYFUNCTION("IMPORTRANGE(""https://docs.google.com/spreadsheets/d/1IYY_tgx_IHuhSq3AJ5eI5OnqOPBNLWSHKh2a30DoXe8/edit?usp=sharing"",""ปัตตานี!L492"")"),7300)</f>
        <v>7300</v>
      </c>
      <c r="M597" s="418"/>
      <c r="N597" s="418">
        <f ca="1">IFERROR(__xludf.DUMMYFUNCTION("IMPORTRANGE(""https://docs.google.com/spreadsheets/d/1IYY_tgx_IHuhSq3AJ5eI5OnqOPBNLWSHKh2a30DoXe8/edit?usp=sharing"",""ปัตตานี!M492"")"),0)</f>
        <v>0</v>
      </c>
      <c r="O597" s="418">
        <f t="shared" ref="O597:O601" ca="1" si="126">+IF(L597&gt;0,N597*100/L597,0)</f>
        <v>0</v>
      </c>
      <c r="P597" s="418"/>
    </row>
    <row r="598" spans="1:16" ht="21.75" customHeight="1" x14ac:dyDescent="0.35">
      <c r="A598" s="162"/>
      <c r="B598" s="163"/>
      <c r="C598" s="163" t="s">
        <v>16</v>
      </c>
      <c r="D598" s="164" t="s">
        <v>38</v>
      </c>
      <c r="E598" s="165"/>
      <c r="F598" s="165"/>
      <c r="G598" s="166" t="s">
        <v>39</v>
      </c>
      <c r="H598" s="167" t="s">
        <v>12</v>
      </c>
      <c r="I598" s="168" t="s">
        <v>40</v>
      </c>
      <c r="J598" s="168"/>
      <c r="K598" s="169"/>
      <c r="L598" s="170">
        <f ca="1">IFERROR(__xludf.DUMMYFUNCTION("IMPORTRANGE(""https://docs.google.com/spreadsheets/d/1IYY_tgx_IHuhSq3AJ5eI5OnqOPBNLWSHKh2a30DoXe8/edit?usp=sharing"",""ปัตตานี!L493"")"),0)</f>
        <v>0</v>
      </c>
      <c r="M598" s="170"/>
      <c r="N598" s="176">
        <f ca="1">IFERROR(__xludf.DUMMYFUNCTION("IMPORTRANGE(""https://docs.google.com/spreadsheets/d/1IYY_tgx_IHuhSq3AJ5eI5OnqOPBNLWSHKh2a30DoXe8/edit?usp=sharing"",""ปัตตานี!M493"")"),0)</f>
        <v>0</v>
      </c>
      <c r="O598" s="176">
        <f t="shared" ca="1" si="126"/>
        <v>0</v>
      </c>
      <c r="P598" s="176"/>
    </row>
    <row r="599" spans="1:16" ht="21.75" customHeight="1" x14ac:dyDescent="0.35">
      <c r="A599" s="162"/>
      <c r="B599" s="163"/>
      <c r="C599" s="163"/>
      <c r="D599" s="172"/>
      <c r="E599" s="165"/>
      <c r="F599" s="165" t="s">
        <v>40</v>
      </c>
      <c r="G599" s="166" t="s">
        <v>41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IFERROR(__xludf.DUMMYFUNCTION("IMPORTRANGE(""https://docs.google.com/spreadsheets/d/1IYY_tgx_IHuhSq3AJ5eI5OnqOPBNLWSHKh2a30DoXe8/edit?usp=sharing"",""ปัตตานี!L494"")"),7300)</f>
        <v>7300</v>
      </c>
      <c r="M599" s="171"/>
      <c r="N599" s="176">
        <f ca="1">IFERROR(__xludf.DUMMYFUNCTION("IMPORTRANGE(""https://docs.google.com/spreadsheets/d/1IYY_tgx_IHuhSq3AJ5eI5OnqOPBNLWSHKh2a30DoXe8/edit?usp=sharing"",""ปัตตานี!M494"")"),0)</f>
        <v>0</v>
      </c>
      <c r="O599" s="176">
        <f t="shared" ca="1" si="126"/>
        <v>0</v>
      </c>
      <c r="P599" s="176"/>
    </row>
    <row r="600" spans="1:16" ht="21.75" customHeight="1" x14ac:dyDescent="0.35">
      <c r="A600" s="162"/>
      <c r="B600" s="163"/>
      <c r="C600" s="163"/>
      <c r="D600" s="172"/>
      <c r="E600" s="165"/>
      <c r="F600" s="165"/>
      <c r="G600" s="380" t="s">
        <v>129</v>
      </c>
      <c r="H600" s="167" t="s">
        <v>12</v>
      </c>
      <c r="I600" s="168"/>
      <c r="J600" s="168"/>
      <c r="K600" s="169"/>
      <c r="L600" s="176">
        <f ca="1">IFERROR(__xludf.DUMMYFUNCTION("IMPORTRANGE(""https://docs.google.com/spreadsheets/d/1IYY_tgx_IHuhSq3AJ5eI5OnqOPBNLWSHKh2a30DoXe8/edit?usp=sharing"",""ปัตตานี!L495"")"),0)</f>
        <v>0</v>
      </c>
      <c r="M600" s="176"/>
      <c r="N600" s="176">
        <f ca="1">IFERROR(__xludf.DUMMYFUNCTION("IMPORTRANGE(""https://docs.google.com/spreadsheets/d/1IYY_tgx_IHuhSq3AJ5eI5OnqOPBNLWSHKh2a30DoXe8/edit?usp=sharing"",""ปัตตานี!M495"")"),0)</f>
        <v>0</v>
      </c>
      <c r="O600" s="176">
        <f t="shared" ca="1" si="126"/>
        <v>0</v>
      </c>
      <c r="P600" s="176"/>
    </row>
    <row r="601" spans="1:16" ht="21.75" customHeight="1" x14ac:dyDescent="0.35">
      <c r="A601" s="162"/>
      <c r="B601" s="163"/>
      <c r="C601" s="163"/>
      <c r="D601" s="172"/>
      <c r="E601" s="165"/>
      <c r="F601" s="165"/>
      <c r="G601" s="380" t="s">
        <v>130</v>
      </c>
      <c r="H601" s="167" t="s">
        <v>12</v>
      </c>
      <c r="I601" s="168"/>
      <c r="J601" s="168"/>
      <c r="K601" s="169"/>
      <c r="L601" s="176">
        <f ca="1">IFERROR(__xludf.DUMMYFUNCTION("IMPORTRANGE(""https://docs.google.com/spreadsheets/d/1IYY_tgx_IHuhSq3AJ5eI5OnqOPBNLWSHKh2a30DoXe8/edit?usp=sharing"",""ปัตตานี!L496"")"),7300)</f>
        <v>7300</v>
      </c>
      <c r="M601" s="176"/>
      <c r="N601" s="176">
        <f ca="1">IFERROR(__xludf.DUMMYFUNCTION("IMPORTRANGE(""https://docs.google.com/spreadsheets/d/1IYY_tgx_IHuhSq3AJ5eI5OnqOPBNLWSHKh2a30DoXe8/edit?usp=sharing"",""ปัตตานี!M496"")"),0)</f>
        <v>0</v>
      </c>
      <c r="O601" s="176">
        <f t="shared" ca="1" si="126"/>
        <v>0</v>
      </c>
      <c r="P601" s="176"/>
    </row>
    <row r="602" spans="1:16" ht="21.75" customHeight="1" x14ac:dyDescent="0.35">
      <c r="A602" s="381"/>
      <c r="B602" s="382"/>
      <c r="C602" s="163"/>
      <c r="D602" s="383"/>
      <c r="E602" s="165"/>
      <c r="F602" s="165"/>
      <c r="G602" s="384" t="s">
        <v>131</v>
      </c>
      <c r="H602" s="167" t="s">
        <v>12</v>
      </c>
      <c r="I602" s="195"/>
      <c r="J602" s="195"/>
      <c r="K602" s="231"/>
      <c r="L602" s="176"/>
      <c r="M602" s="176"/>
      <c r="N602" s="173">
        <f ca="1">IFERROR(__xludf.DUMMYFUNCTION("IMPORTRANGE(""https://docs.google.com/spreadsheets/d/1IYY_tgx_IHuhSq3AJ5eI5OnqOPBNLWSHKh2a30DoXe8/edit?usp=sharing"",""ปัตตานี!M497"")"),0)</f>
        <v>0</v>
      </c>
      <c r="O602" s="176"/>
      <c r="P602" s="176"/>
    </row>
    <row r="603" spans="1:16" ht="21.75" customHeight="1" x14ac:dyDescent="0.35">
      <c r="A603" s="381"/>
      <c r="B603" s="382"/>
      <c r="C603" s="163"/>
      <c r="D603" s="383"/>
      <c r="E603" s="165"/>
      <c r="F603" s="165"/>
      <c r="G603" s="384" t="s">
        <v>132</v>
      </c>
      <c r="H603" s="167" t="s">
        <v>12</v>
      </c>
      <c r="I603" s="195"/>
      <c r="J603" s="195"/>
      <c r="K603" s="231"/>
      <c r="L603" s="176"/>
      <c r="M603" s="176"/>
      <c r="N603" s="173">
        <f ca="1">IFERROR(__xludf.DUMMYFUNCTION("IMPORTRANGE(""https://docs.google.com/spreadsheets/d/1IYY_tgx_IHuhSq3AJ5eI5OnqOPBNLWSHKh2a30DoXe8/edit?usp=sharing"",""ปัตตานี!M498"")"),0)</f>
        <v>0</v>
      </c>
      <c r="O603" s="176"/>
      <c r="P603" s="176"/>
    </row>
    <row r="604" spans="1:16" ht="21.75" customHeight="1" x14ac:dyDescent="0.35">
      <c r="A604" s="381"/>
      <c r="B604" s="382"/>
      <c r="C604" s="163"/>
      <c r="D604" s="383"/>
      <c r="E604" s="165"/>
      <c r="F604" s="165"/>
      <c r="G604" s="384" t="s">
        <v>133</v>
      </c>
      <c r="H604" s="167" t="s">
        <v>12</v>
      </c>
      <c r="I604" s="195"/>
      <c r="J604" s="195"/>
      <c r="K604" s="231"/>
      <c r="L604" s="176"/>
      <c r="M604" s="176"/>
      <c r="N604" s="385">
        <f ca="1">IFERROR(__xludf.DUMMYFUNCTION("IMPORTRANGE(""https://docs.google.com/spreadsheets/d/1IYY_tgx_IHuhSq3AJ5eI5OnqOPBNLWSHKh2a30DoXe8/edit?usp=sharing"",""ปัตตานี!M499"")"),0)</f>
        <v>0</v>
      </c>
      <c r="O604" s="176"/>
      <c r="P604" s="176"/>
    </row>
    <row r="605" spans="1:16" ht="21.75" customHeight="1" x14ac:dyDescent="0.35">
      <c r="A605" s="381"/>
      <c r="B605" s="382"/>
      <c r="C605" s="163"/>
      <c r="D605" s="383"/>
      <c r="E605" s="165"/>
      <c r="F605" s="165"/>
      <c r="G605" s="384" t="s">
        <v>134</v>
      </c>
      <c r="H605" s="167" t="s">
        <v>12</v>
      </c>
      <c r="I605" s="195"/>
      <c r="J605" s="195"/>
      <c r="K605" s="231"/>
      <c r="L605" s="176"/>
      <c r="M605" s="176"/>
      <c r="N605" s="385">
        <f ca="1">IFERROR(__xludf.DUMMYFUNCTION("IMPORTRANGE(""https://docs.google.com/spreadsheets/d/1IYY_tgx_IHuhSq3AJ5eI5OnqOPBNLWSHKh2a30DoXe8/edit?usp=sharing"",""ปัตตานี!M500"")"),0)</f>
        <v>0</v>
      </c>
      <c r="O605" s="176"/>
      <c r="P605" s="176"/>
    </row>
    <row r="606" spans="1:16" ht="21.75" customHeight="1" x14ac:dyDescent="0.35">
      <c r="A606" s="183"/>
      <c r="B606" s="184"/>
      <c r="C606" s="163" t="s">
        <v>16</v>
      </c>
      <c r="D606" s="185" t="s">
        <v>44</v>
      </c>
      <c r="E606" s="186"/>
      <c r="F606" s="186"/>
      <c r="G606" s="187"/>
      <c r="H606" s="188"/>
      <c r="I606" s="168"/>
      <c r="J606" s="168"/>
      <c r="K606" s="169"/>
      <c r="L606" s="189"/>
      <c r="M606" s="189"/>
      <c r="N606" s="189"/>
      <c r="O606" s="189"/>
      <c r="P606" s="189"/>
    </row>
    <row r="607" spans="1:16" ht="21.75" customHeight="1" x14ac:dyDescent="0.35">
      <c r="A607" s="183"/>
      <c r="B607" s="184"/>
      <c r="C607" s="184"/>
      <c r="D607" s="190">
        <v>1</v>
      </c>
      <c r="E607" s="191" t="s">
        <v>45</v>
      </c>
      <c r="F607" s="192"/>
      <c r="G607" s="193"/>
      <c r="H607" s="194"/>
      <c r="I607" s="195"/>
      <c r="J607" s="205">
        <f ca="1">IFERROR(__xludf.DUMMYFUNCTION("IMPORTRANGE(""https://docs.google.com/spreadsheets/d/1IYY_tgx_IHuhSq3AJ5eI5OnqOPBNLWSHKh2a30DoXe8/edit?usp=sharing"",""ปัตตานี!J502"")"),0)</f>
        <v>0</v>
      </c>
      <c r="K607" s="169"/>
      <c r="L607" s="189"/>
      <c r="M607" s="189"/>
      <c r="N607" s="189"/>
      <c r="O607" s="189"/>
      <c r="P607" s="189"/>
    </row>
    <row r="608" spans="1:16" ht="21.75" customHeight="1" x14ac:dyDescent="0.35">
      <c r="A608" s="183"/>
      <c r="B608" s="184"/>
      <c r="C608" s="184"/>
      <c r="D608" s="197">
        <v>2</v>
      </c>
      <c r="E608" s="198" t="s">
        <v>46</v>
      </c>
      <c r="F608" s="199"/>
      <c r="G608" s="200"/>
      <c r="H608" s="194"/>
      <c r="I608" s="195"/>
      <c r="J608" s="205">
        <f ca="1">IFERROR(__xludf.DUMMYFUNCTION("IMPORTRANGE(""https://docs.google.com/spreadsheets/d/1IYY_tgx_IHuhSq3AJ5eI5OnqOPBNLWSHKh2a30DoXe8/edit?usp=sharing"",""ปัตตานี!J503"")"),1)</f>
        <v>1</v>
      </c>
      <c r="K608" s="169"/>
      <c r="L608" s="189" t="s">
        <v>40</v>
      </c>
      <c r="M608" s="189"/>
      <c r="N608" s="189" t="s">
        <v>40</v>
      </c>
      <c r="O608" s="189"/>
      <c r="P608" s="189"/>
    </row>
    <row r="609" spans="1:16" ht="21.75" hidden="1" customHeight="1" x14ac:dyDescent="0.35">
      <c r="A609" s="494"/>
      <c r="B609" s="495"/>
      <c r="C609" s="495"/>
      <c r="D609" s="496"/>
      <c r="E609" s="497" t="s">
        <v>47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IFERROR(__xludf.DUMMYFUNCTION("IMPORTRANGE(""https://docs.google.com/spreadsheets/d/1IYY_tgx_IHuhSq3AJ5eI5OnqOPBNLWSHKh2a30DoXe8/edit?usp=sharing"",""ปัตตานี!J166"")"),0)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48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IFERROR(__xludf.DUMMYFUNCTION("IMPORTRANGE(""https://docs.google.com/spreadsheets/d/1IYY_tgx_IHuhSq3AJ5eI5OnqOPBNLWSHKh2a30DoXe8/edit?usp=sharing"",""ปัตตานี!J166"")"),0)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3"/>
      <c r="B611" s="184"/>
      <c r="C611" s="184"/>
      <c r="D611" s="201"/>
      <c r="E611" s="203"/>
      <c r="F611" s="203" t="s">
        <v>219</v>
      </c>
      <c r="G611" s="204"/>
      <c r="H611" s="188" t="s">
        <v>122</v>
      </c>
      <c r="I611" s="195">
        <f ca="1">IFERROR(__xludf.DUMMYFUNCTION("IMPORTRANGE(""https://docs.google.com/spreadsheets/d/1IYY_tgx_IHuhSq3AJ5eI5OnqOPBNLWSHKh2a30DoXe8/edit?usp=sharing"",""ปัตตานี!I506"")"),100)</f>
        <v>100</v>
      </c>
      <c r="J611" s="168">
        <f ca="1">IFERROR(__xludf.DUMMYFUNCTION("IMPORTRANGE(""https://docs.google.com/spreadsheets/d/1IYY_tgx_IHuhSq3AJ5eI5OnqOPBNLWSHKh2a30DoXe8/edit?usp=sharing"",""ปัตตานี!J506"")"),0)</f>
        <v>0</v>
      </c>
      <c r="K611" s="169">
        <f t="shared" ref="K611:K619" ca="1" si="127">IF(I$611&gt;0,J611*100/I$611,0)</f>
        <v>0</v>
      </c>
      <c r="L611" s="189"/>
      <c r="M611" s="189"/>
      <c r="N611" s="189"/>
      <c r="O611" s="189"/>
      <c r="P611" s="189"/>
    </row>
    <row r="612" spans="1:16" ht="21.75" customHeight="1" x14ac:dyDescent="0.35">
      <c r="A612" s="183"/>
      <c r="B612" s="184"/>
      <c r="C612" s="184"/>
      <c r="D612" s="201"/>
      <c r="E612" s="206"/>
      <c r="F612" s="203"/>
      <c r="G612" s="233" t="s">
        <v>220</v>
      </c>
      <c r="H612" s="188" t="s">
        <v>122</v>
      </c>
      <c r="I612" s="211">
        <f ca="1">IFERROR(__xludf.DUMMYFUNCTION("IMPORTRANGE(""https://docs.google.com/spreadsheets/d/1IYY_tgx_IHuhSq3AJ5eI5OnqOPBNLWSHKh2a30DoXe8/edit?usp=sharing"",""ปัตตานี!I507"")"),0)</f>
        <v>0</v>
      </c>
      <c r="J612" s="205">
        <f ca="1">IFERROR(__xludf.DUMMYFUNCTION("IMPORTRANGE(""https://docs.google.com/spreadsheets/d/1IYY_tgx_IHuhSq3AJ5eI5OnqOPBNLWSHKh2a30DoXe8/edit?usp=sharing"",""ปัตตานี!J507"")"),513.55)</f>
        <v>513.54999999999995</v>
      </c>
      <c r="K612" s="169">
        <f t="shared" ca="1" si="127"/>
        <v>513.54999999999995</v>
      </c>
      <c r="L612" s="189"/>
      <c r="M612" s="189"/>
      <c r="N612" s="189"/>
      <c r="O612" s="189"/>
      <c r="P612" s="189"/>
    </row>
    <row r="613" spans="1:16" ht="21.75" customHeight="1" x14ac:dyDescent="0.35">
      <c r="A613" s="183"/>
      <c r="B613" s="184"/>
      <c r="C613" s="184"/>
      <c r="D613" s="201"/>
      <c r="E613" s="206"/>
      <c r="F613" s="203"/>
      <c r="G613" s="233" t="s">
        <v>221</v>
      </c>
      <c r="H613" s="188" t="s">
        <v>122</v>
      </c>
      <c r="I613" s="211">
        <f ca="1">IFERROR(__xludf.DUMMYFUNCTION("IMPORTRANGE(""https://docs.google.com/spreadsheets/d/1IYY_tgx_IHuhSq3AJ5eI5OnqOPBNLWSHKh2a30DoXe8/edit?usp=sharing"",""ปัตตานี!I508"")"),0)</f>
        <v>0</v>
      </c>
      <c r="J613" s="205">
        <f ca="1">IFERROR(__xludf.DUMMYFUNCTION("IMPORTRANGE(""https://docs.google.com/spreadsheets/d/1IYY_tgx_IHuhSq3AJ5eI5OnqOPBNLWSHKh2a30DoXe8/edit?usp=sharing"",""ปัตตานี!J508"")"),0)</f>
        <v>0</v>
      </c>
      <c r="K613" s="169">
        <f t="shared" ca="1" si="127"/>
        <v>0</v>
      </c>
      <c r="L613" s="189"/>
      <c r="M613" s="189"/>
      <c r="N613" s="189"/>
      <c r="O613" s="189"/>
      <c r="P613" s="189"/>
    </row>
    <row r="614" spans="1:16" ht="21.75" customHeight="1" x14ac:dyDescent="0.35">
      <c r="A614" s="183"/>
      <c r="B614" s="184"/>
      <c r="C614" s="184"/>
      <c r="D614" s="201"/>
      <c r="E614" s="206"/>
      <c r="F614" s="203"/>
      <c r="G614" s="233" t="s">
        <v>222</v>
      </c>
      <c r="H614" s="188" t="s">
        <v>122</v>
      </c>
      <c r="I614" s="211">
        <f ca="1">IFERROR(__xludf.DUMMYFUNCTION("IMPORTRANGE(""https://docs.google.com/spreadsheets/d/1IYY_tgx_IHuhSq3AJ5eI5OnqOPBNLWSHKh2a30DoXe8/edit?usp=sharing"",""ปัตตานี!I509"")"),0)</f>
        <v>0</v>
      </c>
      <c r="J614" s="205">
        <f ca="1">IFERROR(__xludf.DUMMYFUNCTION("IMPORTRANGE(""https://docs.google.com/spreadsheets/d/1IYY_tgx_IHuhSq3AJ5eI5OnqOPBNLWSHKh2a30DoXe8/edit?usp=sharing"",""ปัตตานี!J509"")"),0)</f>
        <v>0</v>
      </c>
      <c r="K614" s="169">
        <f t="shared" ca="1" si="127"/>
        <v>0</v>
      </c>
      <c r="L614" s="189"/>
      <c r="M614" s="189"/>
      <c r="N614" s="189"/>
      <c r="O614" s="189"/>
      <c r="P614" s="189"/>
    </row>
    <row r="615" spans="1:16" ht="21.75" customHeight="1" x14ac:dyDescent="0.35">
      <c r="A615" s="183"/>
      <c r="B615" s="184"/>
      <c r="C615" s="184"/>
      <c r="D615" s="201"/>
      <c r="E615" s="206"/>
      <c r="F615" s="203"/>
      <c r="G615" s="233" t="s">
        <v>223</v>
      </c>
      <c r="H615" s="188" t="s">
        <v>122</v>
      </c>
      <c r="I615" s="211">
        <f ca="1">IFERROR(__xludf.DUMMYFUNCTION("IMPORTRANGE(""https://docs.google.com/spreadsheets/d/1IYY_tgx_IHuhSq3AJ5eI5OnqOPBNLWSHKh2a30DoXe8/edit?usp=sharing"",""ปัตตานี!I510"")"),0)</f>
        <v>0</v>
      </c>
      <c r="J615" s="205">
        <f ca="1">IFERROR(__xludf.DUMMYFUNCTION("IMPORTRANGE(""https://docs.google.com/spreadsheets/d/1IYY_tgx_IHuhSq3AJ5eI5OnqOPBNLWSHKh2a30DoXe8/edit?usp=sharing"",""ปัตตานี!J510"")"),0)</f>
        <v>0</v>
      </c>
      <c r="K615" s="169">
        <f t="shared" ca="1" si="127"/>
        <v>0</v>
      </c>
      <c r="L615" s="189"/>
      <c r="M615" s="189"/>
      <c r="N615" s="189"/>
      <c r="O615" s="189"/>
      <c r="P615" s="189"/>
    </row>
    <row r="616" spans="1:16" ht="21.75" customHeight="1" x14ac:dyDescent="0.35">
      <c r="A616" s="183"/>
      <c r="B616" s="184"/>
      <c r="C616" s="184"/>
      <c r="D616" s="201"/>
      <c r="E616" s="206"/>
      <c r="F616" s="203"/>
      <c r="G616" s="202" t="s">
        <v>224</v>
      </c>
      <c r="H616" s="188" t="s">
        <v>122</v>
      </c>
      <c r="I616" s="211">
        <f ca="1">IFERROR(__xludf.DUMMYFUNCTION("IMPORTRANGE(""https://docs.google.com/spreadsheets/d/1IYY_tgx_IHuhSq3AJ5eI5OnqOPBNLWSHKh2a30DoXe8/edit?usp=sharing"",""ปัตตานี!I511"")"),0)</f>
        <v>0</v>
      </c>
      <c r="J616" s="205">
        <f ca="1">IFERROR(__xludf.DUMMYFUNCTION("IMPORTRANGE(""https://docs.google.com/spreadsheets/d/1IYY_tgx_IHuhSq3AJ5eI5OnqOPBNLWSHKh2a30DoXe8/edit?usp=sharing"",""ปัตตานี!J511"")"),0)</f>
        <v>0</v>
      </c>
      <c r="K616" s="169">
        <f t="shared" ca="1" si="127"/>
        <v>0</v>
      </c>
      <c r="L616" s="189"/>
      <c r="M616" s="189"/>
      <c r="N616" s="189"/>
      <c r="O616" s="189"/>
      <c r="P616" s="189"/>
    </row>
    <row r="617" spans="1:16" ht="21.75" customHeight="1" x14ac:dyDescent="0.35">
      <c r="A617" s="183"/>
      <c r="B617" s="184"/>
      <c r="C617" s="184"/>
      <c r="D617" s="201"/>
      <c r="E617" s="206"/>
      <c r="F617" s="203"/>
      <c r="G617" s="202" t="s">
        <v>225</v>
      </c>
      <c r="H617" s="188" t="s">
        <v>122</v>
      </c>
      <c r="I617" s="195">
        <f ca="1">IFERROR(__xludf.DUMMYFUNCTION("IMPORTRANGE(""https://docs.google.com/spreadsheets/d/1IYY_tgx_IHuhSq3AJ5eI5OnqOPBNLWSHKh2a30DoXe8/edit?usp=sharing"",""ปัตตานี!I512"")"),0)</f>
        <v>0</v>
      </c>
      <c r="J617" s="195">
        <f ca="1">IFERROR(__xludf.DUMMYFUNCTION("IMPORTRANGE(""https://docs.google.com/spreadsheets/d/1IYY_tgx_IHuhSq3AJ5eI5OnqOPBNLWSHKh2a30DoXe8/edit?usp=sharing"",""ปัตตานี!J512"")"),0)</f>
        <v>0</v>
      </c>
      <c r="K617" s="169">
        <f t="shared" ca="1" si="127"/>
        <v>0</v>
      </c>
      <c r="L617" s="189"/>
      <c r="M617" s="189"/>
      <c r="N617" s="189"/>
      <c r="O617" s="189"/>
      <c r="P617" s="189"/>
    </row>
    <row r="618" spans="1:16" ht="21.75" customHeight="1" x14ac:dyDescent="0.35">
      <c r="A618" s="183"/>
      <c r="B618" s="184"/>
      <c r="C618" s="184"/>
      <c r="D618" s="201"/>
      <c r="E618" s="206"/>
      <c r="F618" s="203"/>
      <c r="G618" s="504" t="s">
        <v>226</v>
      </c>
      <c r="H618" s="188" t="s">
        <v>122</v>
      </c>
      <c r="I618" s="211">
        <f ca="1">IFERROR(__xludf.DUMMYFUNCTION("IMPORTRANGE(""https://docs.google.com/spreadsheets/d/1IYY_tgx_IHuhSq3AJ5eI5OnqOPBNLWSHKh2a30DoXe8/edit?usp=sharing"",""ปัตตานี!I513"")"),0)</f>
        <v>0</v>
      </c>
      <c r="J618" s="196">
        <f ca="1">IFERROR(__xludf.DUMMYFUNCTION("IMPORTRANGE(""https://docs.google.com/spreadsheets/d/1IYY_tgx_IHuhSq3AJ5eI5OnqOPBNLWSHKh2a30DoXe8/edit?usp=sharing"",""ปัตตานี!J513"")"),0)</f>
        <v>0</v>
      </c>
      <c r="K618" s="169">
        <f t="shared" ca="1" si="127"/>
        <v>0</v>
      </c>
      <c r="L618" s="189"/>
      <c r="M618" s="189"/>
      <c r="N618" s="189"/>
      <c r="O618" s="189"/>
      <c r="P618" s="189"/>
    </row>
    <row r="619" spans="1:16" ht="21.75" customHeight="1" x14ac:dyDescent="0.35">
      <c r="A619" s="183"/>
      <c r="B619" s="184"/>
      <c r="C619" s="184"/>
      <c r="D619" s="201"/>
      <c r="E619" s="206"/>
      <c r="F619" s="203"/>
      <c r="G619" s="504" t="s">
        <v>227</v>
      </c>
      <c r="H619" s="188" t="s">
        <v>122</v>
      </c>
      <c r="I619" s="211">
        <f ca="1">IFERROR(__xludf.DUMMYFUNCTION("IMPORTRANGE(""https://docs.google.com/spreadsheets/d/1IYY_tgx_IHuhSq3AJ5eI5OnqOPBNLWSHKh2a30DoXe8/edit?usp=sharing"",""ปัตตานี!I514"")"),0)</f>
        <v>0</v>
      </c>
      <c r="J619" s="196">
        <f ca="1">IFERROR(__xludf.DUMMYFUNCTION("IMPORTRANGE(""https://docs.google.com/spreadsheets/d/1IYY_tgx_IHuhSq3AJ5eI5OnqOPBNLWSHKh2a30DoXe8/edit?usp=sharing"",""ปัตตานี!J514"")"),0)</f>
        <v>0</v>
      </c>
      <c r="K619" s="169">
        <f t="shared" ca="1" si="127"/>
        <v>0</v>
      </c>
      <c r="L619" s="189"/>
      <c r="M619" s="189"/>
      <c r="N619" s="189"/>
      <c r="O619" s="189"/>
      <c r="P619" s="189"/>
    </row>
    <row r="620" spans="1:16" ht="21.75" customHeight="1" x14ac:dyDescent="0.35">
      <c r="A620" s="183"/>
      <c r="B620" s="184"/>
      <c r="C620" s="184"/>
      <c r="D620" s="201"/>
      <c r="E620" s="203"/>
      <c r="F620" s="202" t="s">
        <v>228</v>
      </c>
      <c r="G620" s="204"/>
      <c r="H620" s="188" t="s">
        <v>122</v>
      </c>
      <c r="I620" s="195">
        <f ca="1">IFERROR(__xludf.DUMMYFUNCTION("IMPORTRANGE(""https://docs.google.com/spreadsheets/d/1IYY_tgx_IHuhSq3AJ5eI5OnqOPBNLWSHKh2a30DoXe8/edit?usp=sharing"",""ปัตตานี!I515"")"),0)</f>
        <v>0</v>
      </c>
      <c r="J620" s="210">
        <f ca="1">IFERROR(__xludf.DUMMYFUNCTION("IMPORTRANGE(""https://docs.google.com/spreadsheets/d/1IYY_tgx_IHuhSq3AJ5eI5OnqOPBNLWSHKh2a30DoXe8/edit?usp=sharing"",""ปัตตานี!J515"")"),0)</f>
        <v>0</v>
      </c>
      <c r="K620" s="169">
        <f t="shared" ref="K620:K626" ca="1" si="128">IF(I$620&gt;0,J620*100/I$620,0)</f>
        <v>0</v>
      </c>
      <c r="L620" s="189"/>
      <c r="M620" s="189"/>
      <c r="N620" s="189"/>
      <c r="O620" s="189"/>
      <c r="P620" s="189"/>
    </row>
    <row r="621" spans="1:16" ht="21.75" customHeight="1" x14ac:dyDescent="0.35">
      <c r="A621" s="183"/>
      <c r="B621" s="184"/>
      <c r="C621" s="184"/>
      <c r="D621" s="201"/>
      <c r="E621" s="206"/>
      <c r="F621" s="203"/>
      <c r="G621" s="233" t="s">
        <v>225</v>
      </c>
      <c r="H621" s="188" t="s">
        <v>122</v>
      </c>
      <c r="I621" s="210">
        <f ca="1">IFERROR(__xludf.DUMMYFUNCTION("IMPORTRANGE(""https://docs.google.com/spreadsheets/d/1IYY_tgx_IHuhSq3AJ5eI5OnqOPBNLWSHKh2a30DoXe8/edit?usp=sharing"",""ปัตตานี!I516"")"),0)</f>
        <v>0</v>
      </c>
      <c r="J621" s="210">
        <f ca="1">IFERROR(__xludf.DUMMYFUNCTION("IMPORTRANGE(""https://docs.google.com/spreadsheets/d/1IYY_tgx_IHuhSq3AJ5eI5OnqOPBNLWSHKh2a30DoXe8/edit?usp=sharing"",""ปัตตานี!J516"")"),0)</f>
        <v>0</v>
      </c>
      <c r="K621" s="169">
        <f t="shared" ca="1" si="128"/>
        <v>0</v>
      </c>
      <c r="L621" s="189"/>
      <c r="M621" s="189"/>
      <c r="N621" s="189"/>
      <c r="O621" s="189"/>
      <c r="P621" s="189"/>
    </row>
    <row r="622" spans="1:16" ht="21.75" customHeight="1" x14ac:dyDescent="0.35">
      <c r="A622" s="183"/>
      <c r="B622" s="184"/>
      <c r="C622" s="184"/>
      <c r="D622" s="201"/>
      <c r="E622" s="206"/>
      <c r="F622" s="203"/>
      <c r="G622" s="504" t="s">
        <v>226</v>
      </c>
      <c r="H622" s="188" t="s">
        <v>122</v>
      </c>
      <c r="I622" s="211">
        <f ca="1">IFERROR(__xludf.DUMMYFUNCTION("IMPORTRANGE(""https://docs.google.com/spreadsheets/d/1IYY_tgx_IHuhSq3AJ5eI5OnqOPBNLWSHKh2a30DoXe8/edit?usp=sharing"",""ปัตตานี!I517"")"),0)</f>
        <v>0</v>
      </c>
      <c r="J622" s="196">
        <f ca="1">IFERROR(__xludf.DUMMYFUNCTION("IMPORTRANGE(""https://docs.google.com/spreadsheets/d/1IYY_tgx_IHuhSq3AJ5eI5OnqOPBNLWSHKh2a30DoXe8/edit?usp=sharing"",""ปัตตานี!J517"")"),0)</f>
        <v>0</v>
      </c>
      <c r="K622" s="169">
        <f t="shared" ca="1" si="128"/>
        <v>0</v>
      </c>
      <c r="L622" s="189"/>
      <c r="M622" s="189"/>
      <c r="N622" s="189"/>
      <c r="O622" s="189"/>
      <c r="P622" s="189"/>
    </row>
    <row r="623" spans="1:16" ht="21.75" customHeight="1" x14ac:dyDescent="0.35">
      <c r="A623" s="183"/>
      <c r="B623" s="184"/>
      <c r="C623" s="184"/>
      <c r="D623" s="201"/>
      <c r="E623" s="206"/>
      <c r="F623" s="203"/>
      <c r="G623" s="504" t="s">
        <v>227</v>
      </c>
      <c r="H623" s="188" t="s">
        <v>122</v>
      </c>
      <c r="I623" s="211">
        <f ca="1">IFERROR(__xludf.DUMMYFUNCTION("IMPORTRANGE(""https://docs.google.com/spreadsheets/d/1IYY_tgx_IHuhSq3AJ5eI5OnqOPBNLWSHKh2a30DoXe8/edit?usp=sharing"",""ปัตตานี!I518"")"),0)</f>
        <v>0</v>
      </c>
      <c r="J623" s="196">
        <f ca="1">IFERROR(__xludf.DUMMYFUNCTION("IMPORTRANGE(""https://docs.google.com/spreadsheets/d/1IYY_tgx_IHuhSq3AJ5eI5OnqOPBNLWSHKh2a30DoXe8/edit?usp=sharing"",""ปัตตานี!J518"")"),0)</f>
        <v>0</v>
      </c>
      <c r="K623" s="169">
        <f t="shared" ca="1" si="128"/>
        <v>0</v>
      </c>
      <c r="L623" s="189"/>
      <c r="M623" s="189"/>
      <c r="N623" s="189"/>
      <c r="O623" s="189"/>
      <c r="P623" s="189"/>
    </row>
    <row r="624" spans="1:16" ht="21.75" customHeight="1" x14ac:dyDescent="0.35">
      <c r="A624" s="183"/>
      <c r="B624" s="184"/>
      <c r="C624" s="184"/>
      <c r="D624" s="201"/>
      <c r="E624" s="206"/>
      <c r="F624" s="203"/>
      <c r="G624" s="233" t="s">
        <v>229</v>
      </c>
      <c r="H624" s="188" t="s">
        <v>122</v>
      </c>
      <c r="I624" s="195">
        <f ca="1">IFERROR(__xludf.DUMMYFUNCTION("IMPORTRANGE(""https://docs.google.com/spreadsheets/d/1IYY_tgx_IHuhSq3AJ5eI5OnqOPBNLWSHKh2a30DoXe8/edit?usp=sharing"",""ปัตตานี!I519"")"),0)</f>
        <v>0</v>
      </c>
      <c r="J624" s="195">
        <f ca="1">IFERROR(__xludf.DUMMYFUNCTION("IMPORTRANGE(""https://docs.google.com/spreadsheets/d/1IYY_tgx_IHuhSq3AJ5eI5OnqOPBNLWSHKh2a30DoXe8/edit?usp=sharing"",""ปัตตานี!J519"")"),0)</f>
        <v>0</v>
      </c>
      <c r="K624" s="169">
        <f t="shared" ca="1" si="128"/>
        <v>0</v>
      </c>
      <c r="L624" s="189"/>
      <c r="M624" s="189"/>
      <c r="N624" s="189"/>
      <c r="O624" s="189"/>
      <c r="P624" s="189"/>
    </row>
    <row r="625" spans="1:16" ht="21.75" customHeight="1" x14ac:dyDescent="0.35">
      <c r="A625" s="183"/>
      <c r="B625" s="184"/>
      <c r="C625" s="184"/>
      <c r="D625" s="201"/>
      <c r="E625" s="206"/>
      <c r="F625" s="203"/>
      <c r="G625" s="504" t="s">
        <v>230</v>
      </c>
      <c r="H625" s="188" t="s">
        <v>122</v>
      </c>
      <c r="I625" s="211">
        <f ca="1">IFERROR(__xludf.DUMMYFUNCTION("IMPORTRANGE(""https://docs.google.com/spreadsheets/d/1IYY_tgx_IHuhSq3AJ5eI5OnqOPBNLWSHKh2a30DoXe8/edit?usp=sharing"",""ปัตตานี!I520"")"),0)</f>
        <v>0</v>
      </c>
      <c r="J625" s="196">
        <f ca="1">IFERROR(__xludf.DUMMYFUNCTION("IMPORTRANGE(""https://docs.google.com/spreadsheets/d/1IYY_tgx_IHuhSq3AJ5eI5OnqOPBNLWSHKh2a30DoXe8/edit?usp=sharing"",""ปัตตานี!J520"")"),0)</f>
        <v>0</v>
      </c>
      <c r="K625" s="169">
        <f t="shared" ca="1" si="128"/>
        <v>0</v>
      </c>
      <c r="L625" s="189"/>
      <c r="M625" s="189"/>
      <c r="N625" s="189"/>
      <c r="O625" s="189"/>
      <c r="P625" s="189"/>
    </row>
    <row r="626" spans="1:16" ht="21.75" customHeight="1" x14ac:dyDescent="0.35">
      <c r="A626" s="183"/>
      <c r="B626" s="184"/>
      <c r="C626" s="184"/>
      <c r="D626" s="201"/>
      <c r="E626" s="206"/>
      <c r="F626" s="203"/>
      <c r="G626" s="504" t="s">
        <v>231</v>
      </c>
      <c r="H626" s="188" t="s">
        <v>122</v>
      </c>
      <c r="I626" s="211">
        <f ca="1">IFERROR(__xludf.DUMMYFUNCTION("IMPORTRANGE(""https://docs.google.com/spreadsheets/d/1IYY_tgx_IHuhSq3AJ5eI5OnqOPBNLWSHKh2a30DoXe8/edit?usp=sharing"",""ปัตตานี!I521"")"),0)</f>
        <v>0</v>
      </c>
      <c r="J626" s="196">
        <f ca="1">IFERROR(__xludf.DUMMYFUNCTION("IMPORTRANGE(""https://docs.google.com/spreadsheets/d/1IYY_tgx_IHuhSq3AJ5eI5OnqOPBNLWSHKh2a30DoXe8/edit?usp=sharing"",""ปัตตานี!J521"")"),0)</f>
        <v>0</v>
      </c>
      <c r="K626" s="169">
        <f t="shared" ca="1" si="128"/>
        <v>0</v>
      </c>
      <c r="L626" s="189"/>
      <c r="M626" s="189"/>
      <c r="N626" s="189"/>
      <c r="O626" s="189"/>
      <c r="P626" s="189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2"/>
      <c r="E628" s="165"/>
      <c r="F628" s="165"/>
      <c r="G628" s="166"/>
      <c r="H628" s="513" t="s">
        <v>12</v>
      </c>
      <c r="I628" s="347">
        <f ca="1">IFERROR(__xludf.DUMMYFUNCTION("IMPORTRANGE(""https://docs.google.com/spreadsheets/d/1IYY_tgx_IHuhSq3AJ5eI5OnqOPBNLWSHKh2a30DoXe8/edit?usp=sharing"",""ปัตตานี!I523"")"),239401.33)</f>
        <v>239401.33</v>
      </c>
      <c r="J628" s="347">
        <f ca="1">IFERROR(__xludf.DUMMYFUNCTION("IMPORTRANGE(""https://docs.google.com/spreadsheets/d/1IYY_tgx_IHuhSq3AJ5eI5OnqOPBNLWSHKh2a30DoXe8/edit?usp=sharing"",""ปัตตานี!J523"")"),0)</f>
        <v>0</v>
      </c>
      <c r="K628" s="348">
        <f t="shared" ref="K628:K635" ca="1" si="129">IF(I628&gt;0,J628*100/I628,0)</f>
        <v>0</v>
      </c>
      <c r="L628" s="348"/>
      <c r="M628" s="348"/>
      <c r="N628" s="348"/>
      <c r="O628" s="176"/>
      <c r="P628" s="176"/>
    </row>
    <row r="629" spans="1:16" ht="21.75" customHeight="1" x14ac:dyDescent="0.35">
      <c r="A629" s="484"/>
      <c r="B629" s="163"/>
      <c r="C629" s="163"/>
      <c r="D629" s="172"/>
      <c r="E629" s="165"/>
      <c r="F629" s="165"/>
      <c r="G629" s="166"/>
      <c r="H629" s="513" t="s">
        <v>37</v>
      </c>
      <c r="I629" s="347">
        <f ca="1">IFERROR(__xludf.DUMMYFUNCTION("IMPORTRANGE(""https://docs.google.com/spreadsheets/d/1IYY_tgx_IHuhSq3AJ5eI5OnqOPBNLWSHKh2a30DoXe8/edit?usp=sharing"",""ปัตตานี!I524"")"),20)</f>
        <v>20</v>
      </c>
      <c r="J629" s="347">
        <f ca="1">IFERROR(__xludf.DUMMYFUNCTION("IMPORTRANGE(""https://docs.google.com/spreadsheets/d/1IYY_tgx_IHuhSq3AJ5eI5OnqOPBNLWSHKh2a30DoXe8/edit?usp=sharing"",""ปัตตานี!J524"")"),0)</f>
        <v>0</v>
      </c>
      <c r="K629" s="348">
        <f t="shared" ca="1" si="129"/>
        <v>0</v>
      </c>
      <c r="L629" s="348"/>
      <c r="M629" s="348"/>
      <c r="N629" s="348"/>
      <c r="O629" s="176"/>
      <c r="P629" s="176"/>
    </row>
    <row r="630" spans="1:16" ht="21.75" customHeight="1" x14ac:dyDescent="0.35">
      <c r="A630" s="484"/>
      <c r="B630" s="512" t="s">
        <v>234</v>
      </c>
      <c r="C630" s="163"/>
      <c r="D630" s="172"/>
      <c r="E630" s="165"/>
      <c r="F630" s="165"/>
      <c r="G630" s="166"/>
      <c r="H630" s="513" t="s">
        <v>12</v>
      </c>
      <c r="I630" s="347">
        <f ca="1">IFERROR(__xludf.DUMMYFUNCTION("IMPORTRANGE(""https://docs.google.com/spreadsheets/d/1IYY_tgx_IHuhSq3AJ5eI5OnqOPBNLWSHKh2a30DoXe8/edit?usp=sharing"",""ปัตตานี!I525"")"),2242432.42)</f>
        <v>2242432.42</v>
      </c>
      <c r="J630" s="347">
        <f ca="1">IFERROR(__xludf.DUMMYFUNCTION("IMPORTRANGE(""https://docs.google.com/spreadsheets/d/1IYY_tgx_IHuhSq3AJ5eI5OnqOPBNLWSHKh2a30DoXe8/edit?usp=sharing"",""ปัตตานี!J525"")"),105889.83)</f>
        <v>105889.83</v>
      </c>
      <c r="K630" s="348">
        <f t="shared" ca="1" si="129"/>
        <v>4.7220968202020552</v>
      </c>
      <c r="L630" s="348"/>
      <c r="M630" s="348"/>
      <c r="N630" s="348"/>
      <c r="O630" s="176"/>
      <c r="P630" s="176"/>
    </row>
    <row r="631" spans="1:16" ht="21.75" customHeight="1" x14ac:dyDescent="0.35">
      <c r="A631" s="484"/>
      <c r="B631" s="163"/>
      <c r="C631" s="163"/>
      <c r="D631" s="172"/>
      <c r="E631" s="165"/>
      <c r="F631" s="165"/>
      <c r="G631" s="166"/>
      <c r="H631" s="513" t="s">
        <v>37</v>
      </c>
      <c r="I631" s="347">
        <f ca="1">IFERROR(__xludf.DUMMYFUNCTION("IMPORTRANGE(""https://docs.google.com/spreadsheets/d/1IYY_tgx_IHuhSq3AJ5eI5OnqOPBNLWSHKh2a30DoXe8/edit?usp=sharing"",""ปัตตานี!I526"")"),149)</f>
        <v>149</v>
      </c>
      <c r="J631" s="347">
        <f ca="1">IFERROR(__xludf.DUMMYFUNCTION("IMPORTRANGE(""https://docs.google.com/spreadsheets/d/1IYY_tgx_IHuhSq3AJ5eI5OnqOPBNLWSHKh2a30DoXe8/edit?usp=sharing"",""ปัตตานี!J526"")"),91)</f>
        <v>91</v>
      </c>
      <c r="K631" s="348">
        <f t="shared" ca="1" si="129"/>
        <v>61.073825503355707</v>
      </c>
      <c r="L631" s="348"/>
      <c r="M631" s="348"/>
      <c r="N631" s="348"/>
      <c r="O631" s="176"/>
      <c r="P631" s="176"/>
    </row>
    <row r="632" spans="1:16" ht="21.75" customHeight="1" x14ac:dyDescent="0.35">
      <c r="A632" s="484"/>
      <c r="B632" s="512" t="s">
        <v>235</v>
      </c>
      <c r="C632" s="163"/>
      <c r="D632" s="172"/>
      <c r="E632" s="165"/>
      <c r="F632" s="165"/>
      <c r="G632" s="166"/>
      <c r="H632" s="513" t="s">
        <v>12</v>
      </c>
      <c r="I632" s="347">
        <f ca="1">IFERROR(__xludf.DUMMYFUNCTION("IMPORTRANGE(""https://docs.google.com/spreadsheets/d/1IYY_tgx_IHuhSq3AJ5eI5OnqOPBNLWSHKh2a30DoXe8/edit?usp=sharing"",""ปัตตานี!I527"")"),45520.74)</f>
        <v>45520.74</v>
      </c>
      <c r="J632" s="347">
        <f ca="1">IFERROR(__xludf.DUMMYFUNCTION("IMPORTRANGE(""https://docs.google.com/spreadsheets/d/1IYY_tgx_IHuhSq3AJ5eI5OnqOPBNLWSHKh2a30DoXe8/edit?usp=sharing"",""ปัตตานี!J527"")"),54009.22)</f>
        <v>54009.22</v>
      </c>
      <c r="K632" s="348">
        <f t="shared" ca="1" si="129"/>
        <v>118.64750001867282</v>
      </c>
      <c r="L632" s="348"/>
      <c r="M632" s="348"/>
      <c r="N632" s="348"/>
      <c r="O632" s="176"/>
      <c r="P632" s="176"/>
    </row>
    <row r="633" spans="1:16" ht="21.75" customHeight="1" x14ac:dyDescent="0.35">
      <c r="A633" s="484"/>
      <c r="B633" s="512"/>
      <c r="C633" s="163"/>
      <c r="D633" s="172"/>
      <c r="E633" s="165"/>
      <c r="F633" s="165"/>
      <c r="G633" s="166"/>
      <c r="H633" s="513" t="s">
        <v>37</v>
      </c>
      <c r="I633" s="347">
        <f ca="1">IFERROR(__xludf.DUMMYFUNCTION("IMPORTRANGE(""https://docs.google.com/spreadsheets/d/1IYY_tgx_IHuhSq3AJ5eI5OnqOPBNLWSHKh2a30DoXe8/edit?usp=sharing"",""ปัตตานี!I528"")"),86)</f>
        <v>86</v>
      </c>
      <c r="J633" s="347">
        <f ca="1">IFERROR(__xludf.DUMMYFUNCTION("IMPORTRANGE(""https://docs.google.com/spreadsheets/d/1IYY_tgx_IHuhSq3AJ5eI5OnqOPBNLWSHKh2a30DoXe8/edit?usp=sharing"",""ปัตตานี!J528"")"),33)</f>
        <v>33</v>
      </c>
      <c r="K633" s="348">
        <f t="shared" ca="1" si="129"/>
        <v>38.372093023255815</v>
      </c>
      <c r="L633" s="348"/>
      <c r="M633" s="348"/>
      <c r="N633" s="348"/>
      <c r="O633" s="176"/>
      <c r="P633" s="176"/>
    </row>
    <row r="634" spans="1:16" ht="21.75" customHeight="1" x14ac:dyDescent="0.35">
      <c r="A634" s="484"/>
      <c r="B634" s="512" t="s">
        <v>236</v>
      </c>
      <c r="C634" s="163"/>
      <c r="D634" s="172"/>
      <c r="E634" s="165"/>
      <c r="F634" s="165"/>
      <c r="G634" s="166"/>
      <c r="H634" s="513" t="s">
        <v>12</v>
      </c>
      <c r="I634" s="347">
        <f ca="1">IFERROR(__xludf.DUMMYFUNCTION("IMPORTRANGE(""https://docs.google.com/spreadsheets/d/1IYY_tgx_IHuhSq3AJ5eI5OnqOPBNLWSHKh2a30DoXe8/edit?usp=sharing"",""ปัตตานี!I529"")"),144000)</f>
        <v>144000</v>
      </c>
      <c r="J634" s="347">
        <f ca="1">IFERROR(__xludf.DUMMYFUNCTION("IMPORTRANGE(""https://docs.google.com/spreadsheets/d/1IYY_tgx_IHuhSq3AJ5eI5OnqOPBNLWSHKh2a30DoXe8/edit?usp=sharing"",""ปัตตานี!J529"")"),0)</f>
        <v>0</v>
      </c>
      <c r="K634" s="348">
        <f t="shared" ca="1" si="129"/>
        <v>0</v>
      </c>
      <c r="L634" s="348"/>
      <c r="M634" s="348"/>
      <c r="N634" s="348"/>
      <c r="O634" s="176"/>
      <c r="P634" s="176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IFERROR(__xludf.DUMMYFUNCTION("IMPORTRANGE(""https://docs.google.com/spreadsheets/d/1IYY_tgx_IHuhSq3AJ5eI5OnqOPBNLWSHKh2a30DoXe8/edit?usp=sharing"",""ปัตตานี!I530"")"),4)</f>
        <v>4</v>
      </c>
      <c r="J635" s="517">
        <f ca="1">IFERROR(__xludf.DUMMYFUNCTION("IMPORTRANGE(""https://docs.google.com/spreadsheets/d/1IYY_tgx_IHuhSq3AJ5eI5OnqOPBNLWSHKh2a30DoXe8/edit?usp=sharing"",""ปัตตานี!J530"")"),0)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3" sqref="G23"/>
      <selection pane="bottomLeft" activeCell="J16" sqref="J16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4" width="17.81640625" bestFit="1" customWidth="1"/>
    <col min="15" max="15" width="18.81640625" customWidth="1"/>
    <col min="16" max="16" width="20.54296875" customWidth="1"/>
  </cols>
  <sheetData>
    <row r="1" spans="1:16" ht="18" customHeight="1" x14ac:dyDescent="0.35">
      <c r="A1" s="527" t="s">
        <v>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</row>
    <row r="2" spans="1:16" ht="18" customHeight="1" x14ac:dyDescent="0.35">
      <c r="A2" s="527" t="s">
        <v>251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</row>
    <row r="3" spans="1:16" ht="18" customHeight="1" x14ac:dyDescent="0.35">
      <c r="A3" s="527" t="s">
        <v>268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5" t="s">
        <v>2</v>
      </c>
      <c r="B5" s="536"/>
      <c r="C5" s="536"/>
      <c r="D5" s="536"/>
      <c r="E5" s="536"/>
      <c r="F5" s="536"/>
      <c r="G5" s="537"/>
      <c r="H5" s="528" t="s">
        <v>3</v>
      </c>
      <c r="I5" s="530" t="s">
        <v>4</v>
      </c>
      <c r="J5" s="531"/>
      <c r="K5" s="532"/>
      <c r="L5" s="533" t="s">
        <v>5</v>
      </c>
      <c r="M5" s="532"/>
      <c r="N5" s="534" t="s">
        <v>6</v>
      </c>
      <c r="O5" s="531"/>
      <c r="P5" s="532"/>
    </row>
    <row r="6" spans="1:16" ht="21.75" customHeight="1" x14ac:dyDescent="0.35">
      <c r="A6" s="538"/>
      <c r="B6" s="539"/>
      <c r="C6" s="539"/>
      <c r="D6" s="539"/>
      <c r="E6" s="539"/>
      <c r="F6" s="539"/>
      <c r="G6" s="540"/>
      <c r="H6" s="52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1" t="s">
        <v>15</v>
      </c>
      <c r="B7" s="531"/>
      <c r="C7" s="531"/>
      <c r="D7" s="531"/>
      <c r="E7" s="531"/>
      <c r="F7" s="531"/>
      <c r="G7" s="53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2" t="s">
        <v>17</v>
      </c>
      <c r="E8" s="543"/>
      <c r="F8" s="543"/>
      <c r="G8" s="543"/>
      <c r="H8" s="20" t="s">
        <v>12</v>
      </c>
      <c r="I8" s="21"/>
      <c r="J8" s="21"/>
      <c r="K8" s="22"/>
      <c r="L8" s="23">
        <f t="shared" ref="L8:N8" ca="1" si="0">L9+L10</f>
        <v>3448897</v>
      </c>
      <c r="M8" s="23">
        <f t="shared" ca="1" si="0"/>
        <v>1396695</v>
      </c>
      <c r="N8" s="23">
        <f t="shared" ca="1" si="0"/>
        <v>1133576</v>
      </c>
      <c r="O8" s="22">
        <f t="shared" ref="O8:O16" ca="1" si="1">IF(L8&gt;0,N8*100/L8,0)</f>
        <v>32.867783526153431</v>
      </c>
      <c r="P8" s="22">
        <f t="shared" ref="P8:P16" ca="1" si="2">IF(M8&gt;0,N8*100/M8,0)</f>
        <v>81.161312956658392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3448897</v>
      </c>
      <c r="M10" s="30">
        <f t="shared" ca="1" si="4"/>
        <v>1396695</v>
      </c>
      <c r="N10" s="30">
        <f t="shared" ca="1" si="4"/>
        <v>1133576</v>
      </c>
      <c r="O10" s="29">
        <f t="shared" ca="1" si="1"/>
        <v>32.867783526153431</v>
      </c>
      <c r="P10" s="29">
        <f t="shared" ca="1" si="2"/>
        <v>81.161312956658392</v>
      </c>
    </row>
    <row r="11" spans="1:16" ht="21.75" customHeight="1" x14ac:dyDescent="0.45">
      <c r="A11" s="31"/>
      <c r="B11" s="32"/>
      <c r="C11" s="33" t="s">
        <v>16</v>
      </c>
      <c r="D11" s="544" t="s">
        <v>20</v>
      </c>
      <c r="E11" s="545"/>
      <c r="F11" s="54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3274697</v>
      </c>
      <c r="M12" s="38">
        <f t="shared" ca="1" si="6"/>
        <v>1222495</v>
      </c>
      <c r="N12" s="38">
        <f t="shared" ca="1" si="6"/>
        <v>959376</v>
      </c>
      <c r="O12" s="38">
        <f t="shared" ca="1" si="1"/>
        <v>29.296634161878185</v>
      </c>
      <c r="P12" s="38">
        <f t="shared" ca="1" si="2"/>
        <v>78.476885386034297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1741200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1533497</v>
      </c>
      <c r="M14" s="38">
        <f t="shared" si="8"/>
        <v>0</v>
      </c>
      <c r="N14" s="38">
        <f t="shared" ca="1" si="8"/>
        <v>127900</v>
      </c>
      <c r="O14" s="41">
        <f t="shared" ca="1" si="1"/>
        <v>8.3404140992776643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44" t="s">
        <v>23</v>
      </c>
      <c r="E15" s="54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174200</v>
      </c>
      <c r="M16" s="38">
        <f t="shared" ca="1" si="10"/>
        <v>174200</v>
      </c>
      <c r="N16" s="38">
        <f t="shared" ca="1" si="10"/>
        <v>174200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1" t="s">
        <v>24</v>
      </c>
      <c r="B17" s="531"/>
      <c r="C17" s="531"/>
      <c r="D17" s="531"/>
      <c r="E17" s="531"/>
      <c r="F17" s="531"/>
      <c r="G17" s="53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2" t="s">
        <v>17</v>
      </c>
      <c r="E18" s="543"/>
      <c r="F18" s="543"/>
      <c r="G18" s="543"/>
      <c r="H18" s="20" t="s">
        <v>12</v>
      </c>
      <c r="I18" s="21"/>
      <c r="J18" s="21"/>
      <c r="K18" s="22"/>
      <c r="L18" s="23">
        <f t="shared" ref="L18:N18" ca="1" si="11">L19+L20</f>
        <v>2380125</v>
      </c>
      <c r="M18" s="23">
        <f t="shared" ca="1" si="11"/>
        <v>1396695</v>
      </c>
      <c r="N18" s="23">
        <f t="shared" ca="1" si="11"/>
        <v>1005676</v>
      </c>
      <c r="O18" s="22">
        <f t="shared" ref="O18:O20" ca="1" si="12">IF(L18&gt;0,N18*100/L18,0)</f>
        <v>42.253074943542885</v>
      </c>
      <c r="P18" s="22">
        <f t="shared" ref="P18:P26" ca="1" si="13">IF(M18&gt;0,N18*100/M18,0)</f>
        <v>72.003980826164621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2380125</v>
      </c>
      <c r="M20" s="30">
        <f t="shared" ca="1" si="15"/>
        <v>1396695</v>
      </c>
      <c r="N20" s="30">
        <f t="shared" ca="1" si="15"/>
        <v>1005676</v>
      </c>
      <c r="O20" s="29">
        <f t="shared" ca="1" si="12"/>
        <v>42.253074943542885</v>
      </c>
      <c r="P20" s="29">
        <f t="shared" ca="1" si="13"/>
        <v>72.003980826164621</v>
      </c>
    </row>
    <row r="21" spans="1:16" ht="21.75" customHeight="1" x14ac:dyDescent="0.45">
      <c r="A21" s="31"/>
      <c r="B21" s="32"/>
      <c r="C21" s="33" t="s">
        <v>16</v>
      </c>
      <c r="D21" s="544" t="s">
        <v>20</v>
      </c>
      <c r="E21" s="545"/>
      <c r="F21" s="54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2205925</v>
      </c>
      <c r="M22" s="42">
        <f t="shared" ca="1" si="18"/>
        <v>1222495</v>
      </c>
      <c r="N22" s="41">
        <f t="shared" ca="1" si="18"/>
        <v>831476</v>
      </c>
      <c r="O22" s="41">
        <f t="shared" ca="1" si="17"/>
        <v>37.692849938234531</v>
      </c>
      <c r="P22" s="41">
        <f t="shared" ca="1" si="13"/>
        <v>68.014674906645837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1741200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464725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44" t="s">
        <v>23</v>
      </c>
      <c r="E25" s="54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174200</v>
      </c>
      <c r="M26" s="50">
        <f t="shared" ca="1" si="22"/>
        <v>174200</v>
      </c>
      <c r="N26" s="50">
        <f t="shared" ca="1" si="22"/>
        <v>174200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1" t="s">
        <v>25</v>
      </c>
      <c r="B27" s="531"/>
      <c r="C27" s="531"/>
      <c r="D27" s="531"/>
      <c r="E27" s="531"/>
      <c r="F27" s="531"/>
      <c r="G27" s="53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2" t="s">
        <v>17</v>
      </c>
      <c r="E28" s="543"/>
      <c r="F28" s="543"/>
      <c r="G28" s="543"/>
      <c r="H28" s="20" t="s">
        <v>12</v>
      </c>
      <c r="I28" s="21"/>
      <c r="J28" s="21"/>
      <c r="K28" s="22"/>
      <c r="L28" s="23">
        <f t="shared" ref="L28:N28" ca="1" si="23">L29+L30</f>
        <v>1068772</v>
      </c>
      <c r="M28" s="23">
        <f t="shared" si="23"/>
        <v>0</v>
      </c>
      <c r="N28" s="23">
        <f t="shared" ca="1" si="23"/>
        <v>127900</v>
      </c>
      <c r="O28" s="22">
        <f t="shared" ref="O28:O30" ca="1" si="24">IF(L28&gt;0,N28*100/L28,0)</f>
        <v>11.967005123637222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1068772</v>
      </c>
      <c r="M30" s="30">
        <f t="shared" si="27"/>
        <v>0</v>
      </c>
      <c r="N30" s="30">
        <f t="shared" ca="1" si="27"/>
        <v>127900</v>
      </c>
      <c r="O30" s="29">
        <f t="shared" ca="1" si="24"/>
        <v>11.967005123637222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44" t="s">
        <v>20</v>
      </c>
      <c r="E31" s="545"/>
      <c r="F31" s="54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1068772</v>
      </c>
      <c r="M32" s="41">
        <f t="shared" si="30"/>
        <v>0</v>
      </c>
      <c r="N32" s="41">
        <f t="shared" ca="1" si="30"/>
        <v>127900</v>
      </c>
      <c r="O32" s="41">
        <f t="shared" ca="1" si="29"/>
        <v>11.967005123637222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1068772</v>
      </c>
      <c r="M34" s="41">
        <f t="shared" si="32"/>
        <v>0</v>
      </c>
      <c r="N34" s="41">
        <f t="shared" ca="1" si="32"/>
        <v>127900</v>
      </c>
      <c r="O34" s="41">
        <f t="shared" ca="1" si="29"/>
        <v>11.967005123637222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44" t="s">
        <v>23</v>
      </c>
      <c r="E35" s="54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2380125</v>
      </c>
      <c r="M37" s="55">
        <f t="shared" ca="1" si="33"/>
        <v>1396695</v>
      </c>
      <c r="N37" s="55">
        <f t="shared" ca="1" si="33"/>
        <v>1005676</v>
      </c>
      <c r="O37" s="56">
        <f t="shared" ca="1" si="29"/>
        <v>42.253074943542885</v>
      </c>
      <c r="P37" s="56">
        <f t="shared" ca="1" si="25"/>
        <v>72.003980826164621</v>
      </c>
    </row>
    <row r="38" spans="1:16" ht="21.75" customHeight="1" x14ac:dyDescent="0.45">
      <c r="A38" s="546" t="s">
        <v>27</v>
      </c>
      <c r="B38" s="531"/>
      <c r="C38" s="531"/>
      <c r="D38" s="531"/>
      <c r="E38" s="531"/>
      <c r="F38" s="531"/>
      <c r="G38" s="53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7" t="s">
        <v>28</v>
      </c>
      <c r="C39" s="543"/>
      <c r="D39" s="543"/>
      <c r="E39" s="543"/>
      <c r="F39" s="543"/>
      <c r="G39" s="54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48" t="s">
        <v>17</v>
      </c>
      <c r="E41" s="545"/>
      <c r="F41" s="545"/>
      <c r="G41" s="545"/>
      <c r="H41" s="76" t="s">
        <v>12</v>
      </c>
      <c r="I41" s="77"/>
      <c r="J41" s="77"/>
      <c r="K41" s="78"/>
      <c r="L41" s="79">
        <f t="shared" ref="L41:N41" ca="1" si="34">L42+L43</f>
        <v>915600</v>
      </c>
      <c r="M41" s="79">
        <f t="shared" ca="1" si="34"/>
        <v>484800</v>
      </c>
      <c r="N41" s="79">
        <f t="shared" ca="1" si="34"/>
        <v>436928</v>
      </c>
      <c r="O41" s="78">
        <f t="shared" ref="O41:O43" ca="1" si="35">IF(L41&gt;0,N41*100/L41,0)</f>
        <v>47.720401922236782</v>
      </c>
      <c r="P41" s="78">
        <f t="shared" ref="P41:P43" ca="1" si="36">IF(M41&gt;0,N41*100/M41,0)</f>
        <v>90.125412541254121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915600</v>
      </c>
      <c r="M43" s="79">
        <f t="shared" ca="1" si="38"/>
        <v>484800</v>
      </c>
      <c r="N43" s="79">
        <f t="shared" ca="1" si="38"/>
        <v>436928</v>
      </c>
      <c r="O43" s="78">
        <f t="shared" ca="1" si="35"/>
        <v>47.720401922236782</v>
      </c>
      <c r="P43" s="78">
        <f t="shared" ca="1" si="36"/>
        <v>90.125412541254121</v>
      </c>
    </row>
    <row r="44" spans="1:16" ht="21.75" customHeight="1" x14ac:dyDescent="0.45">
      <c r="A44" s="80"/>
      <c r="B44" s="81"/>
      <c r="C44" s="82" t="s">
        <v>16</v>
      </c>
      <c r="D44" s="549" t="s">
        <v>20</v>
      </c>
      <c r="E44" s="545"/>
      <c r="F44" s="54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915600</v>
      </c>
      <c r="M45" s="91">
        <f ca="1">IFERROR(__xludf.DUMMYFUNCTION("IMPORTRANGE(""https://docs.google.com/spreadsheets/d/1Yj_ptqi66GCucihVvJfMjLAmec39IyEx_6qawtMGysU/edit?usp=sharing"",""สบก!Q87"")"),484800)</f>
        <v>484800</v>
      </c>
      <c r="N45" s="91">
        <f ca="1">IFERROR(__xludf.DUMMYFUNCTION("IMPORTRANGE(""https://docs.google.com/spreadsheets/d/1Yj_ptqi66GCucihVvJfMjLAmec39IyEx_6qawtMGysU/edit?usp=sharing"",""สบก!R87"")"),436928)</f>
        <v>436928</v>
      </c>
      <c r="O45" s="92">
        <f ca="1">IF(L45&gt;0,N45*100/L45,0)</f>
        <v>47.720401922236782</v>
      </c>
      <c r="P45" s="92">
        <f ca="1">IF(M45&gt;0,N45*100/M45,0)</f>
        <v>90.125412541254121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IFERROR(__xludf.DUMMYFUNCTION("IMPORTRANGE(""https://docs.google.com/spreadsheets/d/1Yj_ptqi66GCucihVvJfMjLAmec39IyEx_6qawtMGysU/edit?usp=sharing"",""สบก!M87"")"),915600)</f>
        <v>915600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IFERROR(__xludf.DUMMYFUNCTION("IMPORTRANGE(""https://docs.google.com/spreadsheets/d/1Yj_ptqi66GCucihVvJfMjLAmec39IyEx_6qawtMGysU/edit?usp=sharing"",""สบก!N87"")"),0)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49" t="s">
        <v>23</v>
      </c>
      <c r="E48" s="54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IFERROR(__xludf.DUMMYFUNCTION("IMPORTRANGE(""https://docs.google.com/spreadsheets/d/1Yj_ptqi66GCucihVvJfMjLAmec39IyEx_6qawtMGysU/edit?usp=sharing"",""สบก!O87"")"),0)</f>
        <v>0</v>
      </c>
      <c r="M49" s="101"/>
      <c r="N49" s="91">
        <f ca="1">IFERROR(__xludf.DUMMYFUNCTION("IMPORTRANGE(""https://docs.google.com/spreadsheets/d/1Yj_ptqi66GCucihVvJfMjLAmec39IyEx_6qawtMGysU/edit?usp=sharing"",""สบก!S87"")"),0)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0" t="s">
        <v>32</v>
      </c>
      <c r="C52" s="545"/>
      <c r="D52" s="545"/>
      <c r="E52" s="545"/>
      <c r="F52" s="545"/>
      <c r="G52" s="54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1" t="s">
        <v>17</v>
      </c>
      <c r="E53" s="545"/>
      <c r="F53" s="545"/>
      <c r="G53" s="545"/>
      <c r="H53" s="122" t="s">
        <v>12</v>
      </c>
      <c r="I53" s="123"/>
      <c r="J53" s="123"/>
      <c r="K53" s="124"/>
      <c r="L53" s="125">
        <f t="shared" ref="L53:N53" ca="1" si="39">L54+L55</f>
        <v>201600</v>
      </c>
      <c r="M53" s="125">
        <f t="shared" ca="1" si="39"/>
        <v>114660</v>
      </c>
      <c r="N53" s="125">
        <f t="shared" ca="1" si="39"/>
        <v>95916</v>
      </c>
      <c r="O53" s="124">
        <f t="shared" ref="O53:O55" ca="1" si="40">IF(L53&gt;0,N53*100/L53,0)</f>
        <v>47.577380952380949</v>
      </c>
      <c r="P53" s="124">
        <f t="shared" ref="P53:P55" ca="1" si="41">IF(M53&gt;0,N53*100/M53,0)</f>
        <v>83.652537938252223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201600</v>
      </c>
      <c r="M55" s="125">
        <f t="shared" ca="1" si="43"/>
        <v>114660</v>
      </c>
      <c r="N55" s="125">
        <f t="shared" ca="1" si="43"/>
        <v>95916</v>
      </c>
      <c r="O55" s="124">
        <f t="shared" ca="1" si="40"/>
        <v>47.577380952380949</v>
      </c>
      <c r="P55" s="124">
        <f t="shared" ca="1" si="41"/>
        <v>83.652537938252223</v>
      </c>
    </row>
    <row r="56" spans="1:16" ht="21.75" customHeight="1" x14ac:dyDescent="0.45">
      <c r="A56" s="80"/>
      <c r="B56" s="81"/>
      <c r="C56" s="82" t="s">
        <v>16</v>
      </c>
      <c r="D56" s="549" t="s">
        <v>20</v>
      </c>
      <c r="E56" s="545"/>
      <c r="F56" s="54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201600</v>
      </c>
      <c r="M57" s="91">
        <f ca="1">IFERROR(__xludf.DUMMYFUNCTION("IMPORTRANGE(""https://docs.google.com/spreadsheets/d/1Yj_ptqi66GCucihVvJfMjLAmec39IyEx_6qawtMGysU/edit?usp=sharing"",""สบก!Z87"")"),114660)</f>
        <v>114660</v>
      </c>
      <c r="N57" s="91">
        <f ca="1">IFERROR(__xludf.DUMMYFUNCTION("IMPORTRANGE(""https://docs.google.com/spreadsheets/d/1Yj_ptqi66GCucihVvJfMjLAmec39IyEx_6qawtMGysU/edit?usp=sharing"",""สบก!AA87"")"),95916)</f>
        <v>95916</v>
      </c>
      <c r="O57" s="92">
        <f ca="1">IF(L57&gt;0,N57*100/L57,0)</f>
        <v>47.577380952380949</v>
      </c>
      <c r="P57" s="92">
        <f ca="1">IF(M57&gt;0,N57*100/M57,0)</f>
        <v>83.652537938252223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IFERROR(__xludf.DUMMYFUNCTION("IMPORTRANGE(""https://docs.google.com/spreadsheets/d/1Yj_ptqi66GCucihVvJfMjLAmec39IyEx_6qawtMGysU/edit?usp=sharing"",""สบก!V87"")"),201600)</f>
        <v>201600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IFERROR(__xludf.DUMMYFUNCTION("IMPORTRANGE(""https://docs.google.com/spreadsheets/d/1Yj_ptqi66GCucihVvJfMjLAmec39IyEx_6qawtMGysU/edit?usp=sharing"",""สบก!W87"")"),0)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49" t="s">
        <v>23</v>
      </c>
      <c r="E60" s="54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IFERROR(__xludf.DUMMYFUNCTION("IMPORTRANGE(""https://docs.google.com/spreadsheets/d/1Yj_ptqi66GCucihVvJfMjLAmec39IyEx_6qawtMGysU/edit?usp=sharing"",""สบก!X87"")"),0)</f>
        <v>0</v>
      </c>
      <c r="M61" s="101"/>
      <c r="N61" s="91">
        <f ca="1">IFERROR(__xludf.DUMMYFUNCTION("IMPORTRANGE(""https://docs.google.com/spreadsheets/d/1Yj_ptqi66GCucihVvJfMjLAmec39IyEx_6qawtMGysU/edit?usp=sharing"",""สบก!AB87"")"),0)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IFERROR(__xludf.DUMMYFUNCTION("IMPORTRANGE(""https://docs.google.com/spreadsheets/d/1IYY_tgx_IHuhSq3AJ5eI5OnqOPBNLWSHKh2a30DoXe8/edit?usp=sharing"",""พังงา!I9"")"),0)</f>
        <v>0</v>
      </c>
      <c r="J64" s="146">
        <f ca="1">IFERROR(__xludf.DUMMYFUNCTION("IMPORTRANGE(""https://docs.google.com/spreadsheets/d/1IYY_tgx_IHuhSq3AJ5eI5OnqOPBNLWSHKh2a30DoXe8/edit?usp=sharing"",""พังงา!J9"")"),0)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IFERROR(__xludf.DUMMYFUNCTION("IMPORTRANGE(""https://docs.google.com/spreadsheets/d/1IYY_tgx_IHuhSq3AJ5eI5OnqOPBNLWSHKh2a30DoXe8/edit?usp=sharing"",""พังงา!I10"")"),0)</f>
        <v>0</v>
      </c>
      <c r="J65" s="146">
        <f ca="1">IFERROR(__xludf.DUMMYFUNCTION("IMPORTRANGE(""https://docs.google.com/spreadsheets/d/1IYY_tgx_IHuhSq3AJ5eI5OnqOPBNLWSHKh2a30DoXe8/edit?usp=sharing"",""พังงา!J10"")"),0)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52" t="s">
        <v>17</v>
      </c>
      <c r="E66" s="543"/>
      <c r="F66" s="543"/>
      <c r="G66" s="54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5">
      <c r="A69" s="162"/>
      <c r="B69" s="163"/>
      <c r="C69" s="163" t="s">
        <v>16</v>
      </c>
      <c r="D69" s="164" t="s">
        <v>38</v>
      </c>
      <c r="E69" s="165"/>
      <c r="F69" s="165"/>
      <c r="G69" s="166" t="s">
        <v>39</v>
      </c>
      <c r="H69" s="167" t="s">
        <v>12</v>
      </c>
      <c r="I69" s="168" t="s">
        <v>40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 x14ac:dyDescent="0.35">
      <c r="A70" s="162"/>
      <c r="B70" s="163"/>
      <c r="C70" s="163"/>
      <c r="D70" s="172"/>
      <c r="E70" s="165"/>
      <c r="F70" s="165" t="s">
        <v>40</v>
      </c>
      <c r="G70" s="166" t="s">
        <v>41</v>
      </c>
      <c r="H70" s="167" t="s">
        <v>12</v>
      </c>
      <c r="I70" s="168"/>
      <c r="J70" s="168"/>
      <c r="K70" s="169"/>
      <c r="L70" s="173">
        <f ca="1">L71+L72</f>
        <v>0</v>
      </c>
      <c r="M70" s="174">
        <f ca="1">IFERROR(__xludf.DUMMYFUNCTION("IMPORTRANGE(""https://docs.google.com/spreadsheets/d/1Yj_ptqi66GCucihVvJfMjLAmec39IyEx_6qawtMGysU/edit?usp=sharing"",""สบก!AI87"")"),0)</f>
        <v>0</v>
      </c>
      <c r="N70" s="175">
        <f ca="1">IFERROR(__xludf.DUMMYFUNCTION("IMPORTRANGE(""https://docs.google.com/spreadsheets/d/1Yj_ptqi66GCucihVvJfMjLAmec39IyEx_6qawtMGysU/edit?usp=sharing"",""สบก!AJ87"")"),0)</f>
        <v>0</v>
      </c>
      <c r="O70" s="176">
        <f ca="1">IF(L70&gt;0,N70*100/L70,0)</f>
        <v>0</v>
      </c>
      <c r="P70" s="176">
        <f ca="1">IF(M70&gt;0,N70*100/M70,0)</f>
        <v>0</v>
      </c>
    </row>
    <row r="71" spans="1:16" ht="21.75" customHeight="1" x14ac:dyDescent="0.35">
      <c r="A71" s="162"/>
      <c r="B71" s="163"/>
      <c r="C71" s="163"/>
      <c r="D71" s="172"/>
      <c r="E71" s="165"/>
      <c r="F71" s="165"/>
      <c r="G71" s="177" t="s">
        <v>42</v>
      </c>
      <c r="H71" s="167" t="s">
        <v>12</v>
      </c>
      <c r="I71" s="168"/>
      <c r="J71" s="168"/>
      <c r="K71" s="169"/>
      <c r="L71" s="174">
        <f ca="1">IFERROR(__xludf.DUMMYFUNCTION("IMPORTRANGE(""https://docs.google.com/spreadsheets/d/1Yj_ptqi66GCucihVvJfMjLAmec39IyEx_6qawtMGysU/edit?usp=sharing"",""สบก!AE87"")"),0)</f>
        <v>0</v>
      </c>
      <c r="M71" s="173"/>
      <c r="N71" s="173"/>
      <c r="O71" s="176"/>
      <c r="P71" s="176"/>
    </row>
    <row r="72" spans="1:16" ht="21.75" customHeight="1" x14ac:dyDescent="0.35">
      <c r="A72" s="162"/>
      <c r="B72" s="163"/>
      <c r="C72" s="163"/>
      <c r="D72" s="172"/>
      <c r="E72" s="165"/>
      <c r="F72" s="165"/>
      <c r="G72" s="177" t="s">
        <v>43</v>
      </c>
      <c r="H72" s="167" t="s">
        <v>12</v>
      </c>
      <c r="I72" s="168"/>
      <c r="J72" s="168"/>
      <c r="K72" s="169"/>
      <c r="L72" s="174">
        <f ca="1">IFERROR(__xludf.DUMMYFUNCTION("IMPORTRANGE(""https://docs.google.com/spreadsheets/d/1Yj_ptqi66GCucihVvJfMjLAmec39IyEx_6qawtMGysU/edit?usp=sharing"",""สบก!AF87"")"),0)</f>
        <v>0</v>
      </c>
      <c r="M72" s="173"/>
      <c r="N72" s="173"/>
      <c r="O72" s="176"/>
      <c r="P72" s="176"/>
    </row>
    <row r="73" spans="1:16" ht="21.75" customHeight="1" x14ac:dyDescent="0.45">
      <c r="A73" s="178"/>
      <c r="B73" s="81"/>
      <c r="C73" s="82" t="s">
        <v>16</v>
      </c>
      <c r="D73" s="549" t="s">
        <v>23</v>
      </c>
      <c r="E73" s="545"/>
      <c r="F73" s="89"/>
      <c r="G73" s="83" t="s">
        <v>18</v>
      </c>
      <c r="H73" s="179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80"/>
      <c r="B74" s="95"/>
      <c r="C74" s="95"/>
      <c r="D74" s="181"/>
      <c r="E74" s="96"/>
      <c r="F74" s="96"/>
      <c r="G74" s="97" t="s">
        <v>19</v>
      </c>
      <c r="H74" s="182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IFERROR(__xludf.DUMMYFUNCTION("IMPORTRANGE(""https://docs.google.com/spreadsheets/d/1Yj_ptqi66GCucihVvJfMjLAmec39IyEx_6qawtMGysU/edit?usp=sharing"",""สบก!AG87"")"),0)</f>
        <v>0</v>
      </c>
      <c r="M74" s="101"/>
      <c r="N74" s="91">
        <f ca="1">IFERROR(__xludf.DUMMYFUNCTION("IMPORTRANGE(""https://docs.google.com/spreadsheets/d/1Yj_ptqi66GCucihVvJfMjLAmec39IyEx_6qawtMGysU/edit?usp=sharing"",""สบก!AK87"")"),0)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3"/>
      <c r="B75" s="184"/>
      <c r="C75" s="163" t="s">
        <v>16</v>
      </c>
      <c r="D75" s="185" t="s">
        <v>44</v>
      </c>
      <c r="E75" s="186"/>
      <c r="F75" s="186"/>
      <c r="G75" s="187"/>
      <c r="H75" s="188"/>
      <c r="I75" s="168"/>
      <c r="J75" s="168"/>
      <c r="K75" s="169"/>
      <c r="L75" s="189"/>
      <c r="M75" s="189"/>
      <c r="N75" s="189"/>
      <c r="O75" s="189"/>
      <c r="P75" s="189"/>
    </row>
    <row r="76" spans="1:16" ht="21.75" customHeight="1" x14ac:dyDescent="0.35">
      <c r="A76" s="183"/>
      <c r="B76" s="184"/>
      <c r="C76" s="184"/>
      <c r="D76" s="190">
        <v>1</v>
      </c>
      <c r="E76" s="191" t="s">
        <v>45</v>
      </c>
      <c r="F76" s="192"/>
      <c r="G76" s="193"/>
      <c r="H76" s="194"/>
      <c r="I76" s="195"/>
      <c r="J76" s="196">
        <f ca="1">IFERROR(__xludf.DUMMYFUNCTION("IMPORTRANGE(""https://docs.google.com/spreadsheets/d/1IYY_tgx_IHuhSq3AJ5eI5OnqOPBNLWSHKh2a30DoXe8/edit?usp=sharing"",""พังงา!J16"")"),0)</f>
        <v>0</v>
      </c>
      <c r="K76" s="169"/>
      <c r="L76" s="189"/>
      <c r="M76" s="189"/>
      <c r="N76" s="189"/>
      <c r="O76" s="189"/>
      <c r="P76" s="189"/>
    </row>
    <row r="77" spans="1:16" ht="21.75" customHeight="1" x14ac:dyDescent="0.35">
      <c r="A77" s="183"/>
      <c r="B77" s="184"/>
      <c r="C77" s="184"/>
      <c r="D77" s="197">
        <v>2</v>
      </c>
      <c r="E77" s="198" t="s">
        <v>46</v>
      </c>
      <c r="F77" s="199"/>
      <c r="G77" s="200"/>
      <c r="H77" s="194"/>
      <c r="I77" s="195"/>
      <c r="J77" s="196">
        <f ca="1">IFERROR(__xludf.DUMMYFUNCTION("IMPORTRANGE(""https://docs.google.com/spreadsheets/d/1IYY_tgx_IHuhSq3AJ5eI5OnqOPBNLWSHKh2a30DoXe8/edit?usp=sharing"",""พังงา!J17"")"),0)</f>
        <v>0</v>
      </c>
      <c r="K77" s="169"/>
      <c r="L77" s="189" t="s">
        <v>40</v>
      </c>
      <c r="M77" s="189"/>
      <c r="N77" s="189" t="s">
        <v>40</v>
      </c>
      <c r="O77" s="189"/>
      <c r="P77" s="189"/>
    </row>
    <row r="78" spans="1:16" ht="21.75" customHeight="1" x14ac:dyDescent="0.35">
      <c r="A78" s="183"/>
      <c r="B78" s="184"/>
      <c r="C78" s="184"/>
      <c r="D78" s="201"/>
      <c r="E78" s="202" t="s">
        <v>47</v>
      </c>
      <c r="F78" s="203"/>
      <c r="G78" s="204"/>
      <c r="H78" s="194"/>
      <c r="I78" s="195"/>
      <c r="J78" s="196">
        <f ca="1">IFERROR(__xludf.DUMMYFUNCTION("IMPORTRANGE(""https://docs.google.com/spreadsheets/d/1IYY_tgx_IHuhSq3AJ5eI5OnqOPBNLWSHKh2a30DoXe8/edit?usp=sharing"",""พังงา!J18"")"),0)</f>
        <v>0</v>
      </c>
      <c r="K78" s="169"/>
      <c r="L78" s="189"/>
      <c r="M78" s="189"/>
      <c r="N78" s="189"/>
      <c r="O78" s="189"/>
      <c r="P78" s="189"/>
    </row>
    <row r="79" spans="1:16" ht="21.75" customHeight="1" x14ac:dyDescent="0.35">
      <c r="A79" s="183"/>
      <c r="B79" s="184"/>
      <c r="C79" s="184"/>
      <c r="D79" s="201"/>
      <c r="E79" s="202" t="s">
        <v>48</v>
      </c>
      <c r="F79" s="203"/>
      <c r="G79" s="204"/>
      <c r="H79" s="194"/>
      <c r="I79" s="195"/>
      <c r="J79" s="205">
        <f ca="1">IFERROR(__xludf.DUMMYFUNCTION("IMPORTRANGE(""https://docs.google.com/spreadsheets/d/1IYY_tgx_IHuhSq3AJ5eI5OnqOPBNLWSHKh2a30DoXe8/edit?usp=sharing"",""พังงา!J19"")"),0)</f>
        <v>0</v>
      </c>
      <c r="K79" s="169"/>
      <c r="L79" s="189"/>
      <c r="M79" s="189"/>
      <c r="N79" s="189"/>
      <c r="O79" s="189"/>
      <c r="P79" s="189"/>
    </row>
    <row r="80" spans="1:16" ht="21.75" customHeight="1" x14ac:dyDescent="0.35">
      <c r="A80" s="183"/>
      <c r="B80" s="184"/>
      <c r="C80" s="184"/>
      <c r="D80" s="201"/>
      <c r="E80" s="206"/>
      <c r="F80" s="202" t="s">
        <v>49</v>
      </c>
      <c r="G80" s="203"/>
      <c r="H80" s="207" t="s">
        <v>36</v>
      </c>
      <c r="I80" s="208">
        <f ca="1">IFERROR(__xludf.DUMMYFUNCTION("IMPORTRANGE(""https://docs.google.com/spreadsheets/d/1IYY_tgx_IHuhSq3AJ5eI5OnqOPBNLWSHKh2a30DoXe8/edit?usp=sharing"",""พังงา!I20"")"),0)</f>
        <v>0</v>
      </c>
      <c r="J80" s="208">
        <f ca="1">IFERROR(__xludf.DUMMYFUNCTION("IMPORTRANGE(""https://docs.google.com/spreadsheets/d/1IYY_tgx_IHuhSq3AJ5eI5OnqOPBNLWSHKh2a30DoXe8/edit?usp=sharing"",""พังงา!J20"")"),0)</f>
        <v>0</v>
      </c>
      <c r="K80" s="209">
        <f t="shared" ref="K80:K88" ca="1" si="50">IF(I80&gt;0,J80*100/I80,0)</f>
        <v>0</v>
      </c>
      <c r="L80" s="189"/>
      <c r="M80" s="189"/>
      <c r="N80" s="189"/>
      <c r="O80" s="189"/>
      <c r="P80" s="189"/>
    </row>
    <row r="81" spans="1:16" ht="21.75" customHeight="1" x14ac:dyDescent="0.35">
      <c r="A81" s="183"/>
      <c r="B81" s="184"/>
      <c r="C81" s="184"/>
      <c r="D81" s="201"/>
      <c r="E81" s="206"/>
      <c r="F81" s="203"/>
      <c r="G81" s="204"/>
      <c r="H81" s="207" t="s">
        <v>37</v>
      </c>
      <c r="I81" s="208">
        <f ca="1">IFERROR(__xludf.DUMMYFUNCTION("IMPORTRANGE(""https://docs.google.com/spreadsheets/d/1IYY_tgx_IHuhSq3AJ5eI5OnqOPBNLWSHKh2a30DoXe8/edit?usp=sharing"",""พังงา!I21"")"),0)</f>
        <v>0</v>
      </c>
      <c r="J81" s="208">
        <f ca="1">IFERROR(__xludf.DUMMYFUNCTION("IMPORTRANGE(""https://docs.google.com/spreadsheets/d/1IYY_tgx_IHuhSq3AJ5eI5OnqOPBNLWSHKh2a30DoXe8/edit?usp=sharing"",""พังงา!J21"")"),0)</f>
        <v>0</v>
      </c>
      <c r="K81" s="209">
        <f t="shared" ca="1" si="50"/>
        <v>0</v>
      </c>
      <c r="L81" s="189"/>
      <c r="M81" s="189"/>
      <c r="N81" s="189"/>
      <c r="O81" s="189"/>
      <c r="P81" s="189"/>
    </row>
    <row r="82" spans="1:16" ht="21.75" customHeight="1" x14ac:dyDescent="0.35">
      <c r="A82" s="183"/>
      <c r="B82" s="184"/>
      <c r="C82" s="184"/>
      <c r="D82" s="201"/>
      <c r="E82" s="206"/>
      <c r="F82" s="203"/>
      <c r="G82" s="203" t="s">
        <v>50</v>
      </c>
      <c r="H82" s="188" t="s">
        <v>36</v>
      </c>
      <c r="I82" s="210">
        <f ca="1">IFERROR(__xludf.DUMMYFUNCTION("IMPORTRANGE(""https://docs.google.com/spreadsheets/d/1IYY_tgx_IHuhSq3AJ5eI5OnqOPBNLWSHKh2a30DoXe8/edit?usp=sharing"",""พังงา!I22"")"),0)</f>
        <v>0</v>
      </c>
      <c r="J82" s="211">
        <f ca="1">IFERROR(__xludf.DUMMYFUNCTION("IMPORTRANGE(""https://docs.google.com/spreadsheets/d/1IYY_tgx_IHuhSq3AJ5eI5OnqOPBNLWSHKh2a30DoXe8/edit?usp=sharing"",""พังงา!J22"")"),0)</f>
        <v>0</v>
      </c>
      <c r="K82" s="169">
        <f t="shared" ca="1" si="50"/>
        <v>0</v>
      </c>
      <c r="L82" s="189"/>
      <c r="M82" s="189"/>
      <c r="N82" s="189"/>
      <c r="O82" s="189"/>
      <c r="P82" s="189"/>
    </row>
    <row r="83" spans="1:16" ht="21.75" customHeight="1" x14ac:dyDescent="0.35">
      <c r="A83" s="183"/>
      <c r="B83" s="184"/>
      <c r="C83" s="184"/>
      <c r="D83" s="201"/>
      <c r="E83" s="206"/>
      <c r="F83" s="203"/>
      <c r="G83" s="204"/>
      <c r="H83" s="188" t="s">
        <v>37</v>
      </c>
      <c r="I83" s="210">
        <f ca="1">IFERROR(__xludf.DUMMYFUNCTION("IMPORTRANGE(""https://docs.google.com/spreadsheets/d/1IYY_tgx_IHuhSq3AJ5eI5OnqOPBNLWSHKh2a30DoXe8/edit?usp=sharing"",""พังงา!I23"")"),0)</f>
        <v>0</v>
      </c>
      <c r="J83" s="211">
        <f ca="1">IFERROR(__xludf.DUMMYFUNCTION("IMPORTRANGE(""https://docs.google.com/spreadsheets/d/1IYY_tgx_IHuhSq3AJ5eI5OnqOPBNLWSHKh2a30DoXe8/edit?usp=sharing"",""พังงา!J23"")"),0)</f>
        <v>0</v>
      </c>
      <c r="K83" s="169">
        <f t="shared" ca="1" si="50"/>
        <v>0</v>
      </c>
      <c r="L83" s="189"/>
      <c r="M83" s="189"/>
      <c r="N83" s="189"/>
      <c r="O83" s="189"/>
      <c r="P83" s="189"/>
    </row>
    <row r="84" spans="1:16" ht="21.75" customHeight="1" x14ac:dyDescent="0.35">
      <c r="A84" s="183"/>
      <c r="B84" s="184"/>
      <c r="C84" s="184"/>
      <c r="D84" s="201"/>
      <c r="E84" s="206"/>
      <c r="F84" s="203"/>
      <c r="G84" s="203" t="s">
        <v>51</v>
      </c>
      <c r="H84" s="188" t="s">
        <v>36</v>
      </c>
      <c r="I84" s="210">
        <f ca="1">IFERROR(__xludf.DUMMYFUNCTION("IMPORTRANGE(""https://docs.google.com/spreadsheets/d/1IYY_tgx_IHuhSq3AJ5eI5OnqOPBNLWSHKh2a30DoXe8/edit?usp=sharing"",""พังงา!I24"")"),0)</f>
        <v>0</v>
      </c>
      <c r="J84" s="196">
        <f ca="1">IFERROR(__xludf.DUMMYFUNCTION("IMPORTRANGE(""https://docs.google.com/spreadsheets/d/1IYY_tgx_IHuhSq3AJ5eI5OnqOPBNLWSHKh2a30DoXe8/edit?usp=sharing"",""พังงา!J24"")"),0)</f>
        <v>0</v>
      </c>
      <c r="K84" s="169">
        <f t="shared" ca="1" si="50"/>
        <v>0</v>
      </c>
      <c r="L84" s="189"/>
      <c r="M84" s="189"/>
      <c r="N84" s="189"/>
      <c r="O84" s="189"/>
      <c r="P84" s="189"/>
    </row>
    <row r="85" spans="1:16" ht="21.75" customHeight="1" x14ac:dyDescent="0.35">
      <c r="A85" s="183"/>
      <c r="B85" s="184"/>
      <c r="C85" s="184"/>
      <c r="D85" s="201"/>
      <c r="E85" s="206"/>
      <c r="F85" s="203"/>
      <c r="G85" s="204"/>
      <c r="H85" s="188" t="s">
        <v>37</v>
      </c>
      <c r="I85" s="210">
        <f ca="1">IFERROR(__xludf.DUMMYFUNCTION("IMPORTRANGE(""https://docs.google.com/spreadsheets/d/1IYY_tgx_IHuhSq3AJ5eI5OnqOPBNLWSHKh2a30DoXe8/edit?usp=sharing"",""พังงา!I25"")"),0)</f>
        <v>0</v>
      </c>
      <c r="J85" s="196">
        <f ca="1">IFERROR(__xludf.DUMMYFUNCTION("IMPORTRANGE(""https://docs.google.com/spreadsheets/d/1IYY_tgx_IHuhSq3AJ5eI5OnqOPBNLWSHKh2a30DoXe8/edit?usp=sharing"",""พังงา!J25"")"),0)</f>
        <v>0</v>
      </c>
      <c r="K85" s="169">
        <f t="shared" ca="1" si="50"/>
        <v>0</v>
      </c>
      <c r="L85" s="189"/>
      <c r="M85" s="189"/>
      <c r="N85" s="189"/>
      <c r="O85" s="189"/>
      <c r="P85" s="189"/>
    </row>
    <row r="86" spans="1:16" ht="21.75" customHeight="1" x14ac:dyDescent="0.35">
      <c r="A86" s="183"/>
      <c r="B86" s="184"/>
      <c r="C86" s="184"/>
      <c r="D86" s="201"/>
      <c r="E86" s="206"/>
      <c r="F86" s="203"/>
      <c r="G86" s="203" t="s">
        <v>52</v>
      </c>
      <c r="H86" s="188" t="s">
        <v>36</v>
      </c>
      <c r="I86" s="210">
        <f ca="1">IFERROR(__xludf.DUMMYFUNCTION("IMPORTRANGE(""https://docs.google.com/spreadsheets/d/1IYY_tgx_IHuhSq3AJ5eI5OnqOPBNLWSHKh2a30DoXe8/edit?usp=sharing"",""พังงา!I26"")"),0)</f>
        <v>0</v>
      </c>
      <c r="J86" s="211">
        <f ca="1">IFERROR(__xludf.DUMMYFUNCTION("IMPORTRANGE(""https://docs.google.com/spreadsheets/d/1IYY_tgx_IHuhSq3AJ5eI5OnqOPBNLWSHKh2a30DoXe8/edit?usp=sharing"",""พังงา!J26"")"),0)</f>
        <v>0</v>
      </c>
      <c r="K86" s="169">
        <f t="shared" ca="1" si="50"/>
        <v>0</v>
      </c>
      <c r="L86" s="189"/>
      <c r="M86" s="189"/>
      <c r="N86" s="189"/>
      <c r="O86" s="189"/>
      <c r="P86" s="189"/>
    </row>
    <row r="87" spans="1:16" ht="21.75" customHeight="1" x14ac:dyDescent="0.35">
      <c r="A87" s="183"/>
      <c r="B87" s="184"/>
      <c r="C87" s="184"/>
      <c r="D87" s="201"/>
      <c r="E87" s="206"/>
      <c r="F87" s="203"/>
      <c r="G87" s="204"/>
      <c r="H87" s="188" t="s">
        <v>37</v>
      </c>
      <c r="I87" s="210">
        <f ca="1">IFERROR(__xludf.DUMMYFUNCTION("IMPORTRANGE(""https://docs.google.com/spreadsheets/d/1IYY_tgx_IHuhSq3AJ5eI5OnqOPBNLWSHKh2a30DoXe8/edit?usp=sharing"",""พังงา!I27"")"),0)</f>
        <v>0</v>
      </c>
      <c r="J87" s="211">
        <f ca="1">IFERROR(__xludf.DUMMYFUNCTION("IMPORTRANGE(""https://docs.google.com/spreadsheets/d/1IYY_tgx_IHuhSq3AJ5eI5OnqOPBNLWSHKh2a30DoXe8/edit?usp=sharing"",""พังงา!J27"")"),0)</f>
        <v>0</v>
      </c>
      <c r="K87" s="169">
        <f t="shared" ca="1" si="50"/>
        <v>0</v>
      </c>
      <c r="L87" s="189"/>
      <c r="M87" s="189"/>
      <c r="N87" s="189"/>
      <c r="O87" s="189"/>
      <c r="P87" s="189"/>
    </row>
    <row r="88" spans="1:16" ht="21.75" customHeight="1" x14ac:dyDescent="0.35">
      <c r="A88" s="183"/>
      <c r="B88" s="184"/>
      <c r="C88" s="184"/>
      <c r="D88" s="201"/>
      <c r="E88" s="206"/>
      <c r="F88" s="212" t="s">
        <v>53</v>
      </c>
      <c r="G88" s="203"/>
      <c r="H88" s="188" t="s">
        <v>37</v>
      </c>
      <c r="I88" s="210">
        <f ca="1">IFERROR(__xludf.DUMMYFUNCTION("IMPORTRANGE(""https://docs.google.com/spreadsheets/d/1IYY_tgx_IHuhSq3AJ5eI5OnqOPBNLWSHKh2a30DoXe8/edit?usp=sharing"",""พังงา!I28"")"),0)</f>
        <v>0</v>
      </c>
      <c r="J88" s="211">
        <f ca="1">IFERROR(__xludf.DUMMYFUNCTION("IMPORTRANGE(""https://docs.google.com/spreadsheets/d/1IYY_tgx_IHuhSq3AJ5eI5OnqOPBNLWSHKh2a30DoXe8/edit?usp=sharing"",""พังงา!J28"")"),0)</f>
        <v>0</v>
      </c>
      <c r="K88" s="169">
        <f t="shared" ca="1" si="50"/>
        <v>0</v>
      </c>
      <c r="L88" s="189"/>
      <c r="M88" s="189"/>
      <c r="N88" s="189"/>
      <c r="O88" s="189"/>
      <c r="P88" s="189"/>
    </row>
    <row r="89" spans="1:16" ht="21.75" customHeight="1" x14ac:dyDescent="0.35">
      <c r="A89" s="183"/>
      <c r="B89" s="184"/>
      <c r="C89" s="184"/>
      <c r="D89" s="201"/>
      <c r="E89" s="202" t="s">
        <v>54</v>
      </c>
      <c r="F89" s="203"/>
      <c r="G89" s="204"/>
      <c r="H89" s="194"/>
      <c r="I89" s="195"/>
      <c r="J89" s="205">
        <f ca="1">IFERROR(__xludf.DUMMYFUNCTION("IMPORTRANGE(""https://docs.google.com/spreadsheets/d/1IYY_tgx_IHuhSq3AJ5eI5OnqOPBNLWSHKh2a30DoXe8/edit?usp=sharing"",""พังงา!J29"")"),0)</f>
        <v>0</v>
      </c>
      <c r="K89" s="169"/>
      <c r="L89" s="189"/>
      <c r="M89" s="189"/>
      <c r="N89" s="189"/>
      <c r="O89" s="189"/>
      <c r="P89" s="189"/>
    </row>
    <row r="90" spans="1:16" ht="21.75" customHeight="1" x14ac:dyDescent="0.35">
      <c r="A90" s="183"/>
      <c r="B90" s="184"/>
      <c r="C90" s="184"/>
      <c r="D90" s="213">
        <v>3</v>
      </c>
      <c r="E90" s="214" t="s">
        <v>55</v>
      </c>
      <c r="F90" s="215"/>
      <c r="G90" s="216"/>
      <c r="H90" s="194"/>
      <c r="I90" s="195"/>
      <c r="J90" s="217">
        <f ca="1">IFERROR(__xludf.DUMMYFUNCTION("IMPORTRANGE(""https://docs.google.com/spreadsheets/d/1IYY_tgx_IHuhSq3AJ5eI5OnqOPBNLWSHKh2a30DoXe8/edit?usp=sharing"",""พังงา!J30"")"),0)</f>
        <v>0</v>
      </c>
      <c r="K90" s="169"/>
      <c r="L90" s="189"/>
      <c r="M90" s="189"/>
      <c r="N90" s="189"/>
      <c r="O90" s="189"/>
      <c r="P90" s="189"/>
    </row>
    <row r="91" spans="1:16" ht="21.75" customHeight="1" x14ac:dyDescent="0.35">
      <c r="A91" s="218" t="s">
        <v>56</v>
      </c>
      <c r="B91" s="219"/>
      <c r="C91" s="220"/>
      <c r="D91" s="219"/>
      <c r="E91" s="221"/>
      <c r="F91" s="221"/>
      <c r="G91" s="222"/>
      <c r="H91" s="223"/>
      <c r="I91" s="224"/>
      <c r="J91" s="224"/>
      <c r="K91" s="225"/>
      <c r="L91" s="226"/>
      <c r="M91" s="226"/>
      <c r="N91" s="226"/>
      <c r="O91" s="227"/>
      <c r="P91" s="227"/>
    </row>
    <row r="92" spans="1:16" ht="21.75" customHeight="1" x14ac:dyDescent="0.35">
      <c r="A92" s="142"/>
      <c r="B92" s="143" t="s">
        <v>57</v>
      </c>
      <c r="C92" s="143"/>
      <c r="D92" s="144"/>
      <c r="E92" s="143"/>
      <c r="F92" s="143"/>
      <c r="G92" s="228"/>
      <c r="H92" s="145" t="s">
        <v>37</v>
      </c>
      <c r="I92" s="146">
        <f ca="1">IFERROR(__xludf.DUMMYFUNCTION("IMPORTRANGE(""https://docs.google.com/spreadsheets/d/1IYY_tgx_IHuhSq3AJ5eI5OnqOPBNLWSHKh2a30DoXe8/edit?usp=sharing"",""พังงา!I32"")"),0)</f>
        <v>0</v>
      </c>
      <c r="J92" s="146">
        <f ca="1">IFERROR(__xludf.DUMMYFUNCTION("IMPORTRANGE(""https://docs.google.com/spreadsheets/d/1IYY_tgx_IHuhSq3AJ5eI5OnqOPBNLWSHKh2a30DoXe8/edit?usp=sharing"",""พังงา!J32"")"),0)</f>
        <v>0</v>
      </c>
      <c r="K92" s="147">
        <f t="shared" ref="K92:K93" ca="1" si="51">IF(I92&gt;0,J92*100/I92,0)</f>
        <v>0</v>
      </c>
      <c r="L92" s="229"/>
      <c r="M92" s="229"/>
      <c r="N92" s="230"/>
      <c r="O92" s="147"/>
      <c r="P92" s="147"/>
    </row>
    <row r="93" spans="1:16" ht="21.75" customHeight="1" x14ac:dyDescent="0.35">
      <c r="A93" s="142"/>
      <c r="B93" s="143"/>
      <c r="C93" s="143"/>
      <c r="D93" s="144" t="s">
        <v>58</v>
      </c>
      <c r="E93" s="143"/>
      <c r="F93" s="143"/>
      <c r="G93" s="228"/>
      <c r="H93" s="145" t="s">
        <v>59</v>
      </c>
      <c r="I93" s="146">
        <f ca="1">IFERROR(__xludf.DUMMYFUNCTION("IMPORTRANGE(""https://docs.google.com/spreadsheets/d/1IYY_tgx_IHuhSq3AJ5eI5OnqOPBNLWSHKh2a30DoXe8/edit?usp=sharing"",""พังงา!I33"")"),0)</f>
        <v>0</v>
      </c>
      <c r="J93" s="146">
        <f ca="1">IFERROR(__xludf.DUMMYFUNCTION("IMPORTRANGE(""https://docs.google.com/spreadsheets/d/1IYY_tgx_IHuhSq3AJ5eI5OnqOPBNLWSHKh2a30DoXe8/edit?usp=sharing"",""พังงา!J33"")"),0)</f>
        <v>0</v>
      </c>
      <c r="K93" s="147">
        <f t="shared" ca="1" si="51"/>
        <v>0</v>
      </c>
      <c r="L93" s="230"/>
      <c r="M93" s="230"/>
      <c r="N93" s="230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52" t="s">
        <v>17</v>
      </c>
      <c r="E94" s="543"/>
      <c r="F94" s="543"/>
      <c r="G94" s="543"/>
      <c r="H94" s="153" t="s">
        <v>12</v>
      </c>
      <c r="I94" s="168"/>
      <c r="J94" s="168"/>
      <c r="K94" s="169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8"/>
      <c r="J95" s="168"/>
      <c r="K95" s="169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8"/>
      <c r="J96" s="168"/>
      <c r="K96" s="169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5">
      <c r="A97" s="162"/>
      <c r="B97" s="163"/>
      <c r="C97" s="163" t="s">
        <v>16</v>
      </c>
      <c r="D97" s="164" t="s">
        <v>38</v>
      </c>
      <c r="E97" s="165"/>
      <c r="F97" s="165"/>
      <c r="G97" s="166" t="s">
        <v>39</v>
      </c>
      <c r="H97" s="167" t="s">
        <v>12</v>
      </c>
      <c r="I97" s="168" t="s">
        <v>40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 x14ac:dyDescent="0.35">
      <c r="A98" s="162"/>
      <c r="B98" s="163"/>
      <c r="C98" s="163"/>
      <c r="D98" s="172"/>
      <c r="E98" s="165"/>
      <c r="F98" s="165" t="s">
        <v>40</v>
      </c>
      <c r="G98" s="166" t="s">
        <v>41</v>
      </c>
      <c r="H98" s="167" t="s">
        <v>12</v>
      </c>
      <c r="I98" s="168"/>
      <c r="J98" s="168"/>
      <c r="K98" s="169"/>
      <c r="L98" s="173">
        <f ca="1">L99+L100</f>
        <v>0</v>
      </c>
      <c r="M98" s="174">
        <f ca="1">IFERROR(__xludf.DUMMYFUNCTION("IMPORTRANGE(""https://docs.google.com/spreadsheets/d/1Yj_ptqi66GCucihVvJfMjLAmec39IyEx_6qawtMGysU/edit?usp=sharing"",""สบก!AR87"")"),0)</f>
        <v>0</v>
      </c>
      <c r="N98" s="175">
        <f ca="1">IFERROR(__xludf.DUMMYFUNCTION("IMPORTRANGE(""https://docs.google.com/spreadsheets/d/1Yj_ptqi66GCucihVvJfMjLAmec39IyEx_6qawtMGysU/edit?usp=sharing"",""สบก!AS87"")"),0)</f>
        <v>0</v>
      </c>
      <c r="O98" s="176">
        <f ca="1">IF(L98&gt;0,N98*100/L98,0)</f>
        <v>0</v>
      </c>
      <c r="P98" s="176">
        <f ca="1">IF(M98&gt;0,N98*100/M98,0)</f>
        <v>0</v>
      </c>
    </row>
    <row r="99" spans="1:16" ht="21.75" customHeight="1" x14ac:dyDescent="0.35">
      <c r="A99" s="162"/>
      <c r="B99" s="163"/>
      <c r="C99" s="163"/>
      <c r="D99" s="172"/>
      <c r="E99" s="165"/>
      <c r="F99" s="165"/>
      <c r="G99" s="177" t="s">
        <v>42</v>
      </c>
      <c r="H99" s="167" t="s">
        <v>12</v>
      </c>
      <c r="I99" s="168"/>
      <c r="J99" s="168"/>
      <c r="K99" s="169"/>
      <c r="L99" s="174">
        <f ca="1">IFERROR(__xludf.DUMMYFUNCTION("IMPORTRANGE(""https://docs.google.com/spreadsheets/d/1Yj_ptqi66GCucihVvJfMjLAmec39IyEx_6qawtMGysU/edit?usp=sharing"",""สบก!AN87"")"),0)</f>
        <v>0</v>
      </c>
      <c r="M99" s="173"/>
      <c r="N99" s="173"/>
      <c r="O99" s="176"/>
      <c r="P99" s="176"/>
    </row>
    <row r="100" spans="1:16" ht="21.75" customHeight="1" x14ac:dyDescent="0.35">
      <c r="A100" s="162"/>
      <c r="B100" s="163"/>
      <c r="C100" s="163"/>
      <c r="D100" s="172"/>
      <c r="E100" s="165"/>
      <c r="F100" s="165"/>
      <c r="G100" s="177" t="s">
        <v>43</v>
      </c>
      <c r="H100" s="167" t="s">
        <v>12</v>
      </c>
      <c r="I100" s="168"/>
      <c r="J100" s="195"/>
      <c r="K100" s="231"/>
      <c r="L100" s="174">
        <f ca="1">IFERROR(__xludf.DUMMYFUNCTION("IMPORTRANGE(""https://docs.google.com/spreadsheets/d/1Yj_ptqi66GCucihVvJfMjLAmec39IyEx_6qawtMGysU/edit?usp=sharing"",""สบก!AO87"")"),0)</f>
        <v>0</v>
      </c>
      <c r="M100" s="173"/>
      <c r="N100" s="173"/>
      <c r="O100" s="176"/>
      <c r="P100" s="176"/>
    </row>
    <row r="101" spans="1:16" ht="21.75" customHeight="1" x14ac:dyDescent="0.45">
      <c r="A101" s="178"/>
      <c r="B101" s="81"/>
      <c r="C101" s="82" t="s">
        <v>16</v>
      </c>
      <c r="D101" s="549" t="s">
        <v>23</v>
      </c>
      <c r="E101" s="545"/>
      <c r="F101" s="89"/>
      <c r="G101" s="83" t="s">
        <v>18</v>
      </c>
      <c r="H101" s="179" t="s">
        <v>12</v>
      </c>
      <c r="I101" s="195"/>
      <c r="J101" s="195"/>
      <c r="K101" s="231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80"/>
      <c r="B102" s="95"/>
      <c r="C102" s="95"/>
      <c r="D102" s="181"/>
      <c r="E102" s="96"/>
      <c r="F102" s="96"/>
      <c r="G102" s="97" t="s">
        <v>19</v>
      </c>
      <c r="H102" s="182" t="s">
        <v>12</v>
      </c>
      <c r="I102" s="195"/>
      <c r="J102" s="195"/>
      <c r="K102" s="231"/>
      <c r="L102" s="91">
        <f ca="1">IFERROR(__xludf.DUMMYFUNCTION("IMPORTRANGE(""https://docs.google.com/spreadsheets/d/1Yj_ptqi66GCucihVvJfMjLAmec39IyEx_6qawtMGysU/edit?usp=sharing"",""สบก!AP87"")"),0)</f>
        <v>0</v>
      </c>
      <c r="M102" s="101"/>
      <c r="N102" s="91">
        <f ca="1">IFERROR(__xludf.DUMMYFUNCTION("IMPORTRANGE(""https://docs.google.com/spreadsheets/d/1Yj_ptqi66GCucihVvJfMjLAmec39IyEx_6qawtMGysU/edit?usp=sharing"",""สบก!AT87"")"),0)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3"/>
      <c r="B103" s="184"/>
      <c r="C103" s="163" t="s">
        <v>16</v>
      </c>
      <c r="D103" s="185" t="s">
        <v>44</v>
      </c>
      <c r="E103" s="186"/>
      <c r="F103" s="186"/>
      <c r="G103" s="187"/>
      <c r="H103" s="188"/>
      <c r="I103" s="168"/>
      <c r="J103" s="195"/>
      <c r="K103" s="231"/>
      <c r="L103" s="176"/>
      <c r="M103" s="176"/>
      <c r="N103" s="176"/>
      <c r="O103" s="189"/>
      <c r="P103" s="189"/>
    </row>
    <row r="104" spans="1:16" ht="21.75" customHeight="1" x14ac:dyDescent="0.35">
      <c r="A104" s="183"/>
      <c r="B104" s="184"/>
      <c r="C104" s="184"/>
      <c r="D104" s="190">
        <v>1</v>
      </c>
      <c r="E104" s="191" t="s">
        <v>45</v>
      </c>
      <c r="F104" s="192"/>
      <c r="G104" s="193"/>
      <c r="H104" s="194"/>
      <c r="I104" s="195"/>
      <c r="J104" s="195">
        <f ca="1">IFERROR(__xludf.DUMMYFUNCTION("IMPORTRANGE(""https://docs.google.com/spreadsheets/d/1IYY_tgx_IHuhSq3AJ5eI5OnqOPBNLWSHKh2a30DoXe8/edit?usp=sharing"",""พังงา!J39"")"),0)</f>
        <v>0</v>
      </c>
      <c r="K104" s="231"/>
      <c r="L104" s="176"/>
      <c r="M104" s="176"/>
      <c r="N104" s="176"/>
      <c r="O104" s="189"/>
      <c r="P104" s="189"/>
    </row>
    <row r="105" spans="1:16" ht="21.75" customHeight="1" x14ac:dyDescent="0.35">
      <c r="A105" s="183"/>
      <c r="B105" s="184"/>
      <c r="C105" s="184"/>
      <c r="D105" s="197">
        <v>2</v>
      </c>
      <c r="E105" s="198" t="s">
        <v>46</v>
      </c>
      <c r="F105" s="199"/>
      <c r="G105" s="200"/>
      <c r="H105" s="194"/>
      <c r="I105" s="195"/>
      <c r="J105" s="195">
        <f ca="1">IFERROR(__xludf.DUMMYFUNCTION("IMPORTRANGE(""https://docs.google.com/spreadsheets/d/1IYY_tgx_IHuhSq3AJ5eI5OnqOPBNLWSHKh2a30DoXe8/edit?usp=sharing"",""พังงา!J40"")"),0)</f>
        <v>0</v>
      </c>
      <c r="K105" s="231"/>
      <c r="L105" s="176" t="s">
        <v>40</v>
      </c>
      <c r="M105" s="176"/>
      <c r="N105" s="176" t="s">
        <v>40</v>
      </c>
      <c r="O105" s="189"/>
      <c r="P105" s="189"/>
    </row>
    <row r="106" spans="1:16" ht="21.75" customHeight="1" x14ac:dyDescent="0.35">
      <c r="A106" s="183"/>
      <c r="B106" s="184"/>
      <c r="C106" s="184"/>
      <c r="D106" s="201"/>
      <c r="E106" s="202" t="s">
        <v>47</v>
      </c>
      <c r="F106" s="203"/>
      <c r="G106" s="204"/>
      <c r="H106" s="194"/>
      <c r="I106" s="195"/>
      <c r="J106" s="195">
        <f ca="1">IFERROR(__xludf.DUMMYFUNCTION("IMPORTRANGE(""https://docs.google.com/spreadsheets/d/1IYY_tgx_IHuhSq3AJ5eI5OnqOPBNLWSHKh2a30DoXe8/edit?usp=sharing"",""พังงา!J41"")"),0)</f>
        <v>0</v>
      </c>
      <c r="K106" s="231"/>
      <c r="L106" s="176"/>
      <c r="M106" s="176"/>
      <c r="N106" s="176"/>
      <c r="O106" s="189"/>
      <c r="P106" s="189"/>
    </row>
    <row r="107" spans="1:16" ht="21.75" customHeight="1" x14ac:dyDescent="0.35">
      <c r="A107" s="183"/>
      <c r="B107" s="184"/>
      <c r="C107" s="184"/>
      <c r="D107" s="201"/>
      <c r="E107" s="202" t="s">
        <v>48</v>
      </c>
      <c r="F107" s="203"/>
      <c r="G107" s="204"/>
      <c r="H107" s="194"/>
      <c r="I107" s="195"/>
      <c r="J107" s="195">
        <f ca="1">IFERROR(__xludf.DUMMYFUNCTION("IMPORTRANGE(""https://docs.google.com/spreadsheets/d/1IYY_tgx_IHuhSq3AJ5eI5OnqOPBNLWSHKh2a30DoXe8/edit?usp=sharing"",""พังงา!J42"")"),0)</f>
        <v>0</v>
      </c>
      <c r="K107" s="231"/>
      <c r="L107" s="176"/>
      <c r="M107" s="176"/>
      <c r="N107" s="176"/>
      <c r="O107" s="189"/>
      <c r="P107" s="189"/>
    </row>
    <row r="108" spans="1:16" ht="21.75" customHeight="1" x14ac:dyDescent="0.35">
      <c r="A108" s="183"/>
      <c r="B108" s="184"/>
      <c r="C108" s="184"/>
      <c r="D108" s="201"/>
      <c r="E108" s="203"/>
      <c r="F108" s="203" t="s">
        <v>60</v>
      </c>
      <c r="G108" s="203"/>
      <c r="H108" s="188" t="s">
        <v>61</v>
      </c>
      <c r="I108" s="210">
        <f ca="1">IFERROR(__xludf.DUMMYFUNCTION("IMPORTRANGE(""https://docs.google.com/spreadsheets/d/1IYY_tgx_IHuhSq3AJ5eI5OnqOPBNLWSHKh2a30DoXe8/edit?usp=sharing"",""พังงา!I43"")"),0)</f>
        <v>0</v>
      </c>
      <c r="J108" s="211">
        <f ca="1">IFERROR(__xludf.DUMMYFUNCTION("IMPORTRANGE(""https://docs.google.com/spreadsheets/d/1IYY_tgx_IHuhSq3AJ5eI5OnqOPBNLWSHKh2a30DoXe8/edit?usp=sharing"",""พังงา!J43"")"),0)</f>
        <v>0</v>
      </c>
      <c r="K108" s="231">
        <f t="shared" ref="K108:K113" ca="1" si="57">IF(I108&gt;0,J108*100/I108,0)</f>
        <v>0</v>
      </c>
      <c r="L108" s="176"/>
      <c r="M108" s="176"/>
      <c r="N108" s="176"/>
      <c r="O108" s="189"/>
      <c r="P108" s="189"/>
    </row>
    <row r="109" spans="1:16" ht="21.75" customHeight="1" x14ac:dyDescent="0.35">
      <c r="A109" s="183"/>
      <c r="B109" s="184"/>
      <c r="C109" s="184"/>
      <c r="D109" s="201"/>
      <c r="E109" s="206"/>
      <c r="F109" s="202" t="s">
        <v>62</v>
      </c>
      <c r="G109" s="203"/>
      <c r="H109" s="188" t="s">
        <v>37</v>
      </c>
      <c r="I109" s="210">
        <f ca="1">IFERROR(__xludf.DUMMYFUNCTION("IMPORTRANGE(""https://docs.google.com/spreadsheets/d/1IYY_tgx_IHuhSq3AJ5eI5OnqOPBNLWSHKh2a30DoXe8/edit?usp=sharing"",""พังงา!I44"")"),0)</f>
        <v>0</v>
      </c>
      <c r="J109" s="211">
        <f ca="1">IFERROR(__xludf.DUMMYFUNCTION("IMPORTRANGE(""https://docs.google.com/spreadsheets/d/1IYY_tgx_IHuhSq3AJ5eI5OnqOPBNLWSHKh2a30DoXe8/edit?usp=sharing"",""พังงา!J44"")"),0)</f>
        <v>0</v>
      </c>
      <c r="K109" s="231">
        <f t="shared" ca="1" si="57"/>
        <v>0</v>
      </c>
      <c r="L109" s="176"/>
      <c r="M109" s="176"/>
      <c r="N109" s="176"/>
      <c r="O109" s="189"/>
      <c r="P109" s="189"/>
    </row>
    <row r="110" spans="1:16" ht="21.75" customHeight="1" x14ac:dyDescent="0.35">
      <c r="A110" s="183"/>
      <c r="B110" s="184"/>
      <c r="C110" s="184"/>
      <c r="D110" s="201"/>
      <c r="E110" s="206"/>
      <c r="F110" s="203"/>
      <c r="G110" s="232" t="s">
        <v>63</v>
      </c>
      <c r="H110" s="188" t="s">
        <v>37</v>
      </c>
      <c r="I110" s="210">
        <f ca="1">IFERROR(__xludf.DUMMYFUNCTION("IMPORTRANGE(""https://docs.google.com/spreadsheets/d/1IYY_tgx_IHuhSq3AJ5eI5OnqOPBNLWSHKh2a30DoXe8/edit?usp=sharing"",""พังงา!I45"")"),0)</f>
        <v>0</v>
      </c>
      <c r="J110" s="211">
        <f ca="1">IFERROR(__xludf.DUMMYFUNCTION("IMPORTRANGE(""https://docs.google.com/spreadsheets/d/1IYY_tgx_IHuhSq3AJ5eI5OnqOPBNLWSHKh2a30DoXe8/edit?usp=sharing"",""พังงา!J45"")"),0)</f>
        <v>0</v>
      </c>
      <c r="K110" s="231">
        <f t="shared" ca="1" si="57"/>
        <v>0</v>
      </c>
      <c r="L110" s="176"/>
      <c r="M110" s="176"/>
      <c r="N110" s="176"/>
      <c r="O110" s="189"/>
      <c r="P110" s="189"/>
    </row>
    <row r="111" spans="1:16" ht="21.75" customHeight="1" x14ac:dyDescent="0.35">
      <c r="A111" s="183"/>
      <c r="B111" s="184"/>
      <c r="C111" s="184"/>
      <c r="D111" s="201"/>
      <c r="E111" s="206"/>
      <c r="F111" s="203"/>
      <c r="G111" s="232" t="s">
        <v>64</v>
      </c>
      <c r="H111" s="188" t="s">
        <v>37</v>
      </c>
      <c r="I111" s="210">
        <f ca="1">IFERROR(__xludf.DUMMYFUNCTION("IMPORTRANGE(""https://docs.google.com/spreadsheets/d/1IYY_tgx_IHuhSq3AJ5eI5OnqOPBNLWSHKh2a30DoXe8/edit?usp=sharing"",""พังงา!I46"")"),0)</f>
        <v>0</v>
      </c>
      <c r="J111" s="211">
        <f ca="1">IFERROR(__xludf.DUMMYFUNCTION("IMPORTRANGE(""https://docs.google.com/spreadsheets/d/1IYY_tgx_IHuhSq3AJ5eI5OnqOPBNLWSHKh2a30DoXe8/edit?usp=sharing"",""พังงา!J46"")"),0)</f>
        <v>0</v>
      </c>
      <c r="K111" s="231">
        <f t="shared" ca="1" si="57"/>
        <v>0</v>
      </c>
      <c r="L111" s="176"/>
      <c r="M111" s="176"/>
      <c r="N111" s="176"/>
      <c r="O111" s="189"/>
      <c r="P111" s="189"/>
    </row>
    <row r="112" spans="1:16" ht="21.75" customHeight="1" x14ac:dyDescent="0.35">
      <c r="A112" s="183"/>
      <c r="B112" s="184"/>
      <c r="C112" s="184"/>
      <c r="D112" s="201"/>
      <c r="E112" s="206"/>
      <c r="F112" s="203"/>
      <c r="G112" s="233" t="s">
        <v>65</v>
      </c>
      <c r="H112" s="188" t="s">
        <v>37</v>
      </c>
      <c r="I112" s="210">
        <f ca="1">IFERROR(__xludf.DUMMYFUNCTION("IMPORTRANGE(""https://docs.google.com/spreadsheets/d/1IYY_tgx_IHuhSq3AJ5eI5OnqOPBNLWSHKh2a30DoXe8/edit?usp=sharing"",""พังงา!I47"")"),0)</f>
        <v>0</v>
      </c>
      <c r="J112" s="211">
        <f ca="1">IFERROR(__xludf.DUMMYFUNCTION("IMPORTRANGE(""https://docs.google.com/spreadsheets/d/1IYY_tgx_IHuhSq3AJ5eI5OnqOPBNLWSHKh2a30DoXe8/edit?usp=sharing"",""พังงา!J47"")"),0)</f>
        <v>0</v>
      </c>
      <c r="K112" s="231">
        <f t="shared" ca="1" si="57"/>
        <v>0</v>
      </c>
      <c r="L112" s="176"/>
      <c r="M112" s="176"/>
      <c r="N112" s="176"/>
      <c r="O112" s="189"/>
      <c r="P112" s="189"/>
    </row>
    <row r="113" spans="1:16" ht="21.75" customHeight="1" x14ac:dyDescent="0.35">
      <c r="A113" s="183"/>
      <c r="B113" s="184"/>
      <c r="C113" s="184"/>
      <c r="D113" s="201"/>
      <c r="E113" s="206"/>
      <c r="F113" s="203" t="s">
        <v>66</v>
      </c>
      <c r="G113" s="203"/>
      <c r="H113" s="188" t="s">
        <v>59</v>
      </c>
      <c r="I113" s="210">
        <f ca="1">IFERROR(__xludf.DUMMYFUNCTION("IMPORTRANGE(""https://docs.google.com/spreadsheets/d/1IYY_tgx_IHuhSq3AJ5eI5OnqOPBNLWSHKh2a30DoXe8/edit?usp=sharing"",""พังงา!I48"")"),0)</f>
        <v>0</v>
      </c>
      <c r="J113" s="211">
        <f ca="1">IFERROR(__xludf.DUMMYFUNCTION("IMPORTRANGE(""https://docs.google.com/spreadsheets/d/1IYY_tgx_IHuhSq3AJ5eI5OnqOPBNLWSHKh2a30DoXe8/edit?usp=sharing"",""พังงา!J48"")"),0)</f>
        <v>0</v>
      </c>
      <c r="K113" s="231">
        <f t="shared" ca="1" si="57"/>
        <v>0</v>
      </c>
      <c r="L113" s="176"/>
      <c r="M113" s="176"/>
      <c r="N113" s="176"/>
      <c r="O113" s="189"/>
      <c r="P113" s="189"/>
    </row>
    <row r="114" spans="1:16" ht="21.75" customHeight="1" x14ac:dyDescent="0.35">
      <c r="A114" s="183"/>
      <c r="B114" s="184"/>
      <c r="C114" s="184"/>
      <c r="D114" s="201"/>
      <c r="E114" s="202" t="s">
        <v>54</v>
      </c>
      <c r="F114" s="203"/>
      <c r="G114" s="204"/>
      <c r="H114" s="194"/>
      <c r="I114" s="195"/>
      <c r="J114" s="195">
        <f ca="1">IFERROR(__xludf.DUMMYFUNCTION("IMPORTRANGE(""https://docs.google.com/spreadsheets/d/1IYY_tgx_IHuhSq3AJ5eI5OnqOPBNLWSHKh2a30DoXe8/edit?usp=sharing"",""พังงา!J49"")"),0)</f>
        <v>0</v>
      </c>
      <c r="K114" s="231"/>
      <c r="L114" s="176"/>
      <c r="M114" s="176"/>
      <c r="N114" s="176"/>
      <c r="O114" s="189"/>
      <c r="P114" s="189"/>
    </row>
    <row r="115" spans="1:16" ht="21.75" customHeight="1" x14ac:dyDescent="0.35">
      <c r="A115" s="183"/>
      <c r="B115" s="184"/>
      <c r="C115" s="184"/>
      <c r="D115" s="213">
        <v>3</v>
      </c>
      <c r="E115" s="214" t="s">
        <v>55</v>
      </c>
      <c r="F115" s="215"/>
      <c r="G115" s="216"/>
      <c r="H115" s="194"/>
      <c r="I115" s="195"/>
      <c r="J115" s="234">
        <f ca="1">IFERROR(__xludf.DUMMYFUNCTION("IMPORTRANGE(""https://docs.google.com/spreadsheets/d/1IYY_tgx_IHuhSq3AJ5eI5OnqOPBNLWSHKh2a30DoXe8/edit?usp=sharing"",""พังงา!J50"")"),0)</f>
        <v>0</v>
      </c>
      <c r="K115" s="231"/>
      <c r="L115" s="176"/>
      <c r="M115" s="176"/>
      <c r="N115" s="176"/>
      <c r="O115" s="189"/>
      <c r="P115" s="189"/>
    </row>
    <row r="116" spans="1:16" ht="21.75" customHeight="1" x14ac:dyDescent="0.35">
      <c r="A116" s="218" t="s">
        <v>67</v>
      </c>
      <c r="B116" s="235"/>
      <c r="C116" s="236"/>
      <c r="D116" s="235"/>
      <c r="E116" s="237"/>
      <c r="F116" s="237"/>
      <c r="G116" s="238"/>
      <c r="H116" s="223"/>
      <c r="I116" s="224"/>
      <c r="J116" s="224"/>
      <c r="K116" s="225"/>
      <c r="L116" s="226"/>
      <c r="M116" s="226"/>
      <c r="N116" s="226"/>
      <c r="O116" s="227"/>
      <c r="P116" s="227"/>
    </row>
    <row r="117" spans="1:16" ht="21.75" customHeight="1" x14ac:dyDescent="0.35">
      <c r="A117" s="142"/>
      <c r="B117" s="143" t="s">
        <v>68</v>
      </c>
      <c r="C117" s="239"/>
      <c r="D117" s="144"/>
      <c r="E117" s="143"/>
      <c r="F117" s="143"/>
      <c r="G117" s="228"/>
      <c r="H117" s="145" t="s">
        <v>37</v>
      </c>
      <c r="I117" s="146">
        <f ca="1">IFERROR(__xludf.DUMMYFUNCTION("IMPORTRANGE(""https://docs.google.com/spreadsheets/d/1IYY_tgx_IHuhSq3AJ5eI5OnqOPBNLWSHKh2a30DoXe8/edit?usp=sharing"",""พังงา!I52"")"),15)</f>
        <v>15</v>
      </c>
      <c r="J117" s="146">
        <f ca="1">IFERROR(__xludf.DUMMYFUNCTION("IMPORTRANGE(""https://docs.google.com/spreadsheets/d/1IYY_tgx_IHuhSq3AJ5eI5OnqOPBNLWSHKh2a30DoXe8/edit?usp=sharing"",""พังงา!J52"")"),15)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52" t="s">
        <v>17</v>
      </c>
      <c r="E118" s="543"/>
      <c r="F118" s="543"/>
      <c r="G118" s="543"/>
      <c r="H118" s="153" t="s">
        <v>12</v>
      </c>
      <c r="I118" s="168"/>
      <c r="J118" s="168"/>
      <c r="K118" s="169"/>
      <c r="L118" s="156">
        <f t="shared" ref="L118:N118" ca="1" si="58">L119+L120</f>
        <v>64890</v>
      </c>
      <c r="M118" s="156">
        <f t="shared" ca="1" si="58"/>
        <v>52890</v>
      </c>
      <c r="N118" s="156">
        <f t="shared" ca="1" si="58"/>
        <v>29820</v>
      </c>
      <c r="O118" s="155">
        <f t="shared" ref="O118:O120" ca="1" si="59">IF(L118&gt;0,N118*100/L118,0)</f>
        <v>45.954692556634306</v>
      </c>
      <c r="P118" s="155">
        <f t="shared" ref="P118:P120" ca="1" si="60">IF(M118&gt;0,N118*100/M118,0)</f>
        <v>56.38116846284742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8"/>
      <c r="J119" s="168"/>
      <c r="K119" s="169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8"/>
      <c r="J120" s="168"/>
      <c r="K120" s="169"/>
      <c r="L120" s="161">
        <f t="shared" ref="L120:N120" ca="1" si="62">L122+L126</f>
        <v>64890</v>
      </c>
      <c r="M120" s="161">
        <f t="shared" ca="1" si="62"/>
        <v>52890</v>
      </c>
      <c r="N120" s="161">
        <f t="shared" ca="1" si="62"/>
        <v>29820</v>
      </c>
      <c r="O120" s="160">
        <f t="shared" ca="1" si="59"/>
        <v>45.954692556634306</v>
      </c>
      <c r="P120" s="160">
        <f t="shared" ca="1" si="60"/>
        <v>56.38116846284742</v>
      </c>
    </row>
    <row r="121" spans="1:16" ht="21.75" customHeight="1" x14ac:dyDescent="0.35">
      <c r="A121" s="162"/>
      <c r="B121" s="163"/>
      <c r="C121" s="163" t="s">
        <v>16</v>
      </c>
      <c r="D121" s="164" t="s">
        <v>38</v>
      </c>
      <c r="E121" s="165"/>
      <c r="F121" s="165"/>
      <c r="G121" s="166" t="s">
        <v>39</v>
      </c>
      <c r="H121" s="167" t="s">
        <v>12</v>
      </c>
      <c r="I121" s="168" t="s">
        <v>40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 x14ac:dyDescent="0.35">
      <c r="A122" s="162"/>
      <c r="B122" s="163"/>
      <c r="C122" s="163"/>
      <c r="D122" s="172"/>
      <c r="E122" s="165"/>
      <c r="F122" s="165" t="s">
        <v>40</v>
      </c>
      <c r="G122" s="166" t="s">
        <v>41</v>
      </c>
      <c r="H122" s="167" t="s">
        <v>12</v>
      </c>
      <c r="I122" s="168"/>
      <c r="J122" s="168"/>
      <c r="K122" s="169"/>
      <c r="L122" s="173">
        <f ca="1">L123+L124</f>
        <v>64890</v>
      </c>
      <c r="M122" s="174">
        <f ca="1">IFERROR(__xludf.DUMMYFUNCTION("IMPORTRANGE(""https://docs.google.com/spreadsheets/d/1Yj_ptqi66GCucihVvJfMjLAmec39IyEx_6qawtMGysU/edit?usp=sharing"",""สบก!BA87"")"),52890)</f>
        <v>52890</v>
      </c>
      <c r="N122" s="175">
        <f ca="1">IFERROR(__xludf.DUMMYFUNCTION("IMPORTRANGE(""https://docs.google.com/spreadsheets/d/1Yj_ptqi66GCucihVvJfMjLAmec39IyEx_6qawtMGysU/edit?usp=sharing"",""สบก!BB87"")"),29820)</f>
        <v>29820</v>
      </c>
      <c r="O122" s="176">
        <f ca="1">IF(L122&gt;0,N122*100/L122,0)</f>
        <v>45.954692556634306</v>
      </c>
      <c r="P122" s="176">
        <f ca="1">IF(M122&gt;0,N122*100/M122,0)</f>
        <v>56.38116846284742</v>
      </c>
    </row>
    <row r="123" spans="1:16" ht="21.75" customHeight="1" x14ac:dyDescent="0.35">
      <c r="A123" s="162"/>
      <c r="B123" s="163"/>
      <c r="C123" s="163"/>
      <c r="D123" s="172"/>
      <c r="E123" s="165"/>
      <c r="F123" s="165"/>
      <c r="G123" s="177" t="s">
        <v>42</v>
      </c>
      <c r="H123" s="167" t="s">
        <v>12</v>
      </c>
      <c r="I123" s="168"/>
      <c r="J123" s="168"/>
      <c r="K123" s="169"/>
      <c r="L123" s="174">
        <f ca="1">IFERROR(__xludf.DUMMYFUNCTION("IMPORTRANGE(""https://docs.google.com/spreadsheets/d/1Yj_ptqi66GCucihVvJfMjLAmec39IyEx_6qawtMGysU/edit?usp=sharing"",""สบก!AW87"")"),0)</f>
        <v>0</v>
      </c>
      <c r="M123" s="173"/>
      <c r="N123" s="173"/>
      <c r="O123" s="176"/>
      <c r="P123" s="176"/>
    </row>
    <row r="124" spans="1:16" ht="21.75" customHeight="1" x14ac:dyDescent="0.35">
      <c r="A124" s="162"/>
      <c r="B124" s="163"/>
      <c r="C124" s="163"/>
      <c r="D124" s="172"/>
      <c r="E124" s="165"/>
      <c r="F124" s="165"/>
      <c r="G124" s="177" t="s">
        <v>43</v>
      </c>
      <c r="H124" s="167" t="s">
        <v>12</v>
      </c>
      <c r="I124" s="168"/>
      <c r="J124" s="195"/>
      <c r="K124" s="231"/>
      <c r="L124" s="174">
        <f ca="1">IFERROR(__xludf.DUMMYFUNCTION("IMPORTRANGE(""https://docs.google.com/spreadsheets/d/1Yj_ptqi66GCucihVvJfMjLAmec39IyEx_6qawtMGysU/edit?usp=sharing"",""สบก!AX87"")"),64890)</f>
        <v>64890</v>
      </c>
      <c r="M124" s="173"/>
      <c r="N124" s="173"/>
      <c r="O124" s="176"/>
      <c r="P124" s="176"/>
    </row>
    <row r="125" spans="1:16" ht="21.75" customHeight="1" x14ac:dyDescent="0.45">
      <c r="A125" s="178"/>
      <c r="B125" s="81"/>
      <c r="C125" s="82" t="s">
        <v>16</v>
      </c>
      <c r="D125" s="549" t="s">
        <v>23</v>
      </c>
      <c r="E125" s="545"/>
      <c r="F125" s="89"/>
      <c r="G125" s="83" t="s">
        <v>18</v>
      </c>
      <c r="H125" s="179" t="s">
        <v>12</v>
      </c>
      <c r="I125" s="195"/>
      <c r="J125" s="195"/>
      <c r="K125" s="231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80"/>
      <c r="B126" s="95"/>
      <c r="C126" s="95"/>
      <c r="D126" s="181"/>
      <c r="E126" s="96"/>
      <c r="F126" s="96"/>
      <c r="G126" s="97" t="s">
        <v>19</v>
      </c>
      <c r="H126" s="182" t="s">
        <v>12</v>
      </c>
      <c r="I126" s="195"/>
      <c r="J126" s="195"/>
      <c r="K126" s="231"/>
      <c r="L126" s="91">
        <f ca="1">IFERROR(__xludf.DUMMYFUNCTION("IMPORTRANGE(""https://docs.google.com/spreadsheets/d/1Yj_ptqi66GCucihVvJfMjLAmec39IyEx_6qawtMGysU/edit?usp=sharing"",""สบก!AY87"")"),0)</f>
        <v>0</v>
      </c>
      <c r="M126" s="101"/>
      <c r="N126" s="91">
        <f ca="1">IFERROR(__xludf.DUMMYFUNCTION("IMPORTRANGE(""https://docs.google.com/spreadsheets/d/1Yj_ptqi66GCucihVvJfMjLAmec39IyEx_6qawtMGysU/edit?usp=sharing"",""สบก!BC87"")"),0)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3"/>
      <c r="B127" s="184"/>
      <c r="C127" s="163" t="s">
        <v>16</v>
      </c>
      <c r="D127" s="240" t="s">
        <v>252</v>
      </c>
      <c r="E127" s="186"/>
      <c r="F127" s="186"/>
      <c r="G127" s="187"/>
      <c r="H127" s="188"/>
      <c r="I127" s="168"/>
      <c r="J127" s="195"/>
      <c r="K127" s="231"/>
      <c r="L127" s="176"/>
      <c r="M127" s="176"/>
      <c r="N127" s="176"/>
      <c r="O127" s="189"/>
      <c r="P127" s="189"/>
    </row>
    <row r="128" spans="1:16" ht="21.75" customHeight="1" x14ac:dyDescent="0.35">
      <c r="A128" s="183"/>
      <c r="B128" s="184"/>
      <c r="C128" s="184"/>
      <c r="D128" s="190">
        <v>1</v>
      </c>
      <c r="E128" s="191" t="s">
        <v>45</v>
      </c>
      <c r="F128" s="192"/>
      <c r="G128" s="193"/>
      <c r="H128" s="194"/>
      <c r="I128" s="195"/>
      <c r="J128" s="211">
        <f ca="1">IFERROR(__xludf.DUMMYFUNCTION("IMPORTRANGE(""https://docs.google.com/spreadsheets/d/1IYY_tgx_IHuhSq3AJ5eI5OnqOPBNLWSHKh2a30DoXe8/edit?usp=sharing"",""พังงา!J58"")"),0)</f>
        <v>0</v>
      </c>
      <c r="K128" s="231"/>
      <c r="L128" s="176"/>
      <c r="M128" s="176"/>
      <c r="N128" s="176"/>
      <c r="O128" s="189"/>
      <c r="P128" s="189"/>
    </row>
    <row r="129" spans="1:16" ht="21.75" customHeight="1" x14ac:dyDescent="0.35">
      <c r="A129" s="183"/>
      <c r="B129" s="184"/>
      <c r="C129" s="184"/>
      <c r="D129" s="197">
        <v>2</v>
      </c>
      <c r="E129" s="198" t="s">
        <v>46</v>
      </c>
      <c r="F129" s="199"/>
      <c r="G129" s="200"/>
      <c r="H129" s="194"/>
      <c r="I129" s="195"/>
      <c r="J129" s="195">
        <f ca="1">IFERROR(__xludf.DUMMYFUNCTION("IMPORTRANGE(""https://docs.google.com/spreadsheets/d/1IYY_tgx_IHuhSq3AJ5eI5OnqOPBNLWSHKh2a30DoXe8/edit?usp=sharing"",""พังงา!J59"")"),1)</f>
        <v>1</v>
      </c>
      <c r="K129" s="231"/>
      <c r="L129" s="176" t="s">
        <v>40</v>
      </c>
      <c r="M129" s="176"/>
      <c r="N129" s="176" t="s">
        <v>40</v>
      </c>
      <c r="O129" s="189"/>
      <c r="P129" s="189"/>
    </row>
    <row r="130" spans="1:16" ht="21.75" customHeight="1" x14ac:dyDescent="0.35">
      <c r="A130" s="183"/>
      <c r="B130" s="184"/>
      <c r="C130" s="184"/>
      <c r="D130" s="201"/>
      <c r="E130" s="202" t="s">
        <v>47</v>
      </c>
      <c r="F130" s="203"/>
      <c r="G130" s="204"/>
      <c r="H130" s="194"/>
      <c r="I130" s="195"/>
      <c r="J130" s="195">
        <f ca="1">IFERROR(__xludf.DUMMYFUNCTION("IMPORTRANGE(""https://docs.google.com/spreadsheets/d/1IYY_tgx_IHuhSq3AJ5eI5OnqOPBNLWSHKh2a30DoXe8/edit?usp=sharing"",""พังงา!J60"")"),1)</f>
        <v>1</v>
      </c>
      <c r="K130" s="231"/>
      <c r="L130" s="176"/>
      <c r="M130" s="176"/>
      <c r="N130" s="176"/>
      <c r="O130" s="189"/>
      <c r="P130" s="189"/>
    </row>
    <row r="131" spans="1:16" ht="21.75" customHeight="1" x14ac:dyDescent="0.35">
      <c r="A131" s="183"/>
      <c r="B131" s="184"/>
      <c r="C131" s="184"/>
      <c r="D131" s="201"/>
      <c r="E131" s="202" t="s">
        <v>48</v>
      </c>
      <c r="F131" s="203"/>
      <c r="G131" s="204"/>
      <c r="H131" s="194"/>
      <c r="I131" s="195"/>
      <c r="J131" s="195">
        <f ca="1">IFERROR(__xludf.DUMMYFUNCTION("IMPORTRANGE(""https://docs.google.com/spreadsheets/d/1IYY_tgx_IHuhSq3AJ5eI5OnqOPBNLWSHKh2a30DoXe8/edit?usp=sharing"",""พังงา!J61"")"),1)</f>
        <v>1</v>
      </c>
      <c r="K131" s="231"/>
      <c r="L131" s="176"/>
      <c r="M131" s="176"/>
      <c r="N131" s="176"/>
      <c r="O131" s="189"/>
      <c r="P131" s="189"/>
    </row>
    <row r="132" spans="1:16" ht="21.75" customHeight="1" x14ac:dyDescent="0.35">
      <c r="A132" s="183"/>
      <c r="B132" s="184"/>
      <c r="C132" s="184"/>
      <c r="D132" s="201"/>
      <c r="E132" s="206"/>
      <c r="F132" s="202" t="s">
        <v>70</v>
      </c>
      <c r="G132" s="204"/>
      <c r="H132" s="188" t="s">
        <v>37</v>
      </c>
      <c r="I132" s="195">
        <f ca="1">IFERROR(__xludf.DUMMYFUNCTION("IMPORTRANGE(""https://docs.google.com/spreadsheets/d/1IYY_tgx_IHuhSq3AJ5eI5OnqOPBNLWSHKh2a30DoXe8/edit?usp=sharing"",""พังงา!I62"")"),15)</f>
        <v>15</v>
      </c>
      <c r="J132" s="211">
        <f ca="1">IFERROR(__xludf.DUMMYFUNCTION("IMPORTRANGE(""https://docs.google.com/spreadsheets/d/1IYY_tgx_IHuhSq3AJ5eI5OnqOPBNLWSHKh2a30DoXe8/edit?usp=sharing"",""พังงา!J62"")"),15)</f>
        <v>15</v>
      </c>
      <c r="K132" s="231">
        <f t="shared" ref="K132:K133" ca="1" si="63">IF(I132&gt;0,J132*100/I132,0)</f>
        <v>100</v>
      </c>
      <c r="L132" s="176"/>
      <c r="M132" s="176"/>
      <c r="N132" s="176"/>
      <c r="O132" s="189"/>
      <c r="P132" s="189"/>
    </row>
    <row r="133" spans="1:16" ht="21.75" customHeight="1" x14ac:dyDescent="0.35">
      <c r="A133" s="183"/>
      <c r="B133" s="184"/>
      <c r="C133" s="184"/>
      <c r="D133" s="201"/>
      <c r="E133" s="206"/>
      <c r="F133" s="202" t="s">
        <v>71</v>
      </c>
      <c r="G133" s="204"/>
      <c r="H133" s="188" t="s">
        <v>37</v>
      </c>
      <c r="I133" s="195">
        <f ca="1">IFERROR(__xludf.DUMMYFUNCTION("IMPORTRANGE(""https://docs.google.com/spreadsheets/d/1IYY_tgx_IHuhSq3AJ5eI5OnqOPBNLWSHKh2a30DoXe8/edit?usp=sharing"",""พังงา!I63"")"),15)</f>
        <v>15</v>
      </c>
      <c r="J133" s="211">
        <f ca="1">IFERROR(__xludf.DUMMYFUNCTION("IMPORTRANGE(""https://docs.google.com/spreadsheets/d/1IYY_tgx_IHuhSq3AJ5eI5OnqOPBNLWSHKh2a30DoXe8/edit?usp=sharing"",""พังงา!J63"")"),0)</f>
        <v>0</v>
      </c>
      <c r="K133" s="231">
        <f t="shared" ca="1" si="63"/>
        <v>0</v>
      </c>
      <c r="L133" s="176"/>
      <c r="M133" s="176"/>
      <c r="N133" s="176"/>
      <c r="O133" s="189"/>
      <c r="P133" s="189"/>
    </row>
    <row r="134" spans="1:16" ht="21.75" customHeight="1" x14ac:dyDescent="0.35">
      <c r="A134" s="183"/>
      <c r="B134" s="184"/>
      <c r="C134" s="184"/>
      <c r="D134" s="201"/>
      <c r="E134" s="202" t="s">
        <v>54</v>
      </c>
      <c r="F134" s="203"/>
      <c r="G134" s="204"/>
      <c r="H134" s="194"/>
      <c r="I134" s="195"/>
      <c r="J134" s="195">
        <f ca="1">IFERROR(__xludf.DUMMYFUNCTION("IMPORTRANGE(""https://docs.google.com/spreadsheets/d/1IYY_tgx_IHuhSq3AJ5eI5OnqOPBNLWSHKh2a30DoXe8/edit?usp=sharing"",""พังงา!J64"")"),0)</f>
        <v>0</v>
      </c>
      <c r="K134" s="231"/>
      <c r="L134" s="176"/>
      <c r="M134" s="176"/>
      <c r="N134" s="176"/>
      <c r="O134" s="189"/>
      <c r="P134" s="189"/>
    </row>
    <row r="135" spans="1:16" ht="21.75" customHeight="1" x14ac:dyDescent="0.35">
      <c r="A135" s="241"/>
      <c r="B135" s="242"/>
      <c r="C135" s="242"/>
      <c r="D135" s="243">
        <v>3</v>
      </c>
      <c r="E135" s="244" t="s">
        <v>55</v>
      </c>
      <c r="F135" s="245"/>
      <c r="G135" s="246"/>
      <c r="H135" s="247"/>
      <c r="I135" s="248"/>
      <c r="J135" s="249">
        <f ca="1">IFERROR(__xludf.DUMMYFUNCTION("IMPORTRANGE(""https://docs.google.com/spreadsheets/d/1IYY_tgx_IHuhSq3AJ5eI5OnqOPBNLWSHKh2a30DoXe8/edit?usp=sharing"",""พังงา!J65"")"),0)</f>
        <v>0</v>
      </c>
      <c r="K135" s="250"/>
      <c r="L135" s="251"/>
      <c r="M135" s="251"/>
      <c r="N135" s="251"/>
      <c r="O135" s="252"/>
      <c r="P135" s="252"/>
    </row>
    <row r="136" spans="1:16" ht="21.75" customHeight="1" x14ac:dyDescent="0.35">
      <c r="A136" s="253" t="s">
        <v>72</v>
      </c>
      <c r="B136" s="254"/>
      <c r="C136" s="254"/>
      <c r="D136" s="254"/>
      <c r="E136" s="255"/>
      <c r="F136" s="255"/>
      <c r="G136" s="256"/>
      <c r="H136" s="257"/>
      <c r="I136" s="258"/>
      <c r="J136" s="258"/>
      <c r="K136" s="259"/>
      <c r="L136" s="260"/>
      <c r="M136" s="260"/>
      <c r="N136" s="260"/>
      <c r="O136" s="260"/>
      <c r="P136" s="260"/>
    </row>
    <row r="137" spans="1:16" ht="21.75" customHeight="1" x14ac:dyDescent="0.35">
      <c r="A137" s="261" t="s">
        <v>73</v>
      </c>
      <c r="B137" s="262"/>
      <c r="C137" s="262"/>
      <c r="D137" s="263"/>
      <c r="E137" s="263"/>
      <c r="F137" s="263"/>
      <c r="G137" s="264"/>
      <c r="H137" s="265"/>
      <c r="I137" s="266"/>
      <c r="J137" s="266"/>
      <c r="K137" s="267"/>
      <c r="L137" s="267"/>
      <c r="M137" s="267"/>
      <c r="N137" s="267"/>
      <c r="O137" s="268"/>
      <c r="P137" s="268"/>
    </row>
    <row r="138" spans="1:16" ht="21.75" customHeight="1" x14ac:dyDescent="0.35">
      <c r="A138" s="269"/>
      <c r="B138" s="270" t="s">
        <v>74</v>
      </c>
      <c r="C138" s="271"/>
      <c r="D138" s="270"/>
      <c r="E138" s="270"/>
      <c r="F138" s="270"/>
      <c r="G138" s="272"/>
      <c r="H138" s="273" t="s">
        <v>37</v>
      </c>
      <c r="I138" s="274">
        <f ca="1">IFERROR(__xludf.DUMMYFUNCTION("IMPORTRANGE(""https://docs.google.com/spreadsheets/d/1IYY_tgx_IHuhSq3AJ5eI5OnqOPBNLWSHKh2a30DoXe8/edit?usp=sharing"",""พังงา!I68"")"),0)</f>
        <v>0</v>
      </c>
      <c r="J138" s="274">
        <f ca="1">IFERROR(__xludf.DUMMYFUNCTION("IMPORTRANGE(""https://docs.google.com/spreadsheets/d/1IYY_tgx_IHuhSq3AJ5eI5OnqOPBNLWSHKh2a30DoXe8/edit?usp=sharing"",""พังงา!J68"")"),0)</f>
        <v>0</v>
      </c>
      <c r="K138" s="275">
        <f ca="1">IF(I138&gt;0,J138*100/I138,0)</f>
        <v>0</v>
      </c>
      <c r="L138" s="276"/>
      <c r="M138" s="276"/>
      <c r="N138" s="276"/>
      <c r="O138" s="275"/>
      <c r="P138" s="275"/>
    </row>
    <row r="139" spans="1:16" ht="21.75" customHeight="1" x14ac:dyDescent="0.35">
      <c r="A139" s="269"/>
      <c r="B139" s="270" t="s">
        <v>75</v>
      </c>
      <c r="C139" s="271"/>
      <c r="D139" s="270"/>
      <c r="E139" s="270"/>
      <c r="F139" s="270"/>
      <c r="G139" s="272"/>
      <c r="H139" s="273"/>
      <c r="I139" s="274"/>
      <c r="J139" s="274"/>
      <c r="K139" s="275"/>
      <c r="L139" s="276"/>
      <c r="M139" s="276"/>
      <c r="N139" s="276"/>
      <c r="O139" s="275"/>
      <c r="P139" s="275"/>
    </row>
    <row r="140" spans="1:16" ht="21.75" customHeight="1" x14ac:dyDescent="0.45">
      <c r="A140" s="150"/>
      <c r="B140" s="151"/>
      <c r="C140" s="152" t="s">
        <v>16</v>
      </c>
      <c r="D140" s="552" t="s">
        <v>17</v>
      </c>
      <c r="E140" s="543"/>
      <c r="F140" s="543"/>
      <c r="G140" s="543"/>
      <c r="H140" s="153" t="s">
        <v>12</v>
      </c>
      <c r="I140" s="168"/>
      <c r="J140" s="168"/>
      <c r="K140" s="169"/>
      <c r="L140" s="156">
        <f t="shared" ref="L140:N140" ca="1" si="64">L141+L142</f>
        <v>72500</v>
      </c>
      <c r="M140" s="156">
        <f t="shared" ca="1" si="64"/>
        <v>67750</v>
      </c>
      <c r="N140" s="156">
        <f t="shared" ca="1" si="64"/>
        <v>36213</v>
      </c>
      <c r="O140" s="155">
        <f t="shared" ref="O140:O142" ca="1" si="65">IF(L140&gt;0,N140*100/L140,0)</f>
        <v>49.948965517241376</v>
      </c>
      <c r="P140" s="155">
        <f t="shared" ref="P140:P142" ca="1" si="66">IF(M140&gt;0,N140*100/M140,0)</f>
        <v>53.450922509225094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8"/>
      <c r="J141" s="168"/>
      <c r="K141" s="169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8"/>
      <c r="J142" s="168"/>
      <c r="K142" s="169"/>
      <c r="L142" s="161">
        <f t="shared" ref="L142:N142" ca="1" si="68">L144+L148</f>
        <v>72500</v>
      </c>
      <c r="M142" s="161">
        <f t="shared" ca="1" si="68"/>
        <v>67750</v>
      </c>
      <c r="N142" s="161">
        <f t="shared" ca="1" si="68"/>
        <v>36213</v>
      </c>
      <c r="O142" s="160">
        <f t="shared" ca="1" si="65"/>
        <v>49.948965517241376</v>
      </c>
      <c r="P142" s="160">
        <f t="shared" ca="1" si="66"/>
        <v>53.450922509225094</v>
      </c>
    </row>
    <row r="143" spans="1:16" ht="21.75" customHeight="1" x14ac:dyDescent="0.35">
      <c r="A143" s="162"/>
      <c r="B143" s="163"/>
      <c r="C143" s="163" t="s">
        <v>16</v>
      </c>
      <c r="D143" s="164" t="s">
        <v>38</v>
      </c>
      <c r="E143" s="165"/>
      <c r="F143" s="165"/>
      <c r="G143" s="166" t="s">
        <v>39</v>
      </c>
      <c r="H143" s="167" t="s">
        <v>12</v>
      </c>
      <c r="I143" s="168" t="s">
        <v>40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 x14ac:dyDescent="0.35">
      <c r="A144" s="162"/>
      <c r="B144" s="163"/>
      <c r="C144" s="163"/>
      <c r="D144" s="172"/>
      <c r="E144" s="165"/>
      <c r="F144" s="165" t="s">
        <v>40</v>
      </c>
      <c r="G144" s="166" t="s">
        <v>41</v>
      </c>
      <c r="H144" s="167" t="s">
        <v>12</v>
      </c>
      <c r="I144" s="168"/>
      <c r="J144" s="168"/>
      <c r="K144" s="169"/>
      <c r="L144" s="173">
        <f ca="1">L145+L146</f>
        <v>72500</v>
      </c>
      <c r="M144" s="174">
        <f ca="1">IFERROR(__xludf.DUMMYFUNCTION("IMPORTRANGE(""https://docs.google.com/spreadsheets/d/1Yj_ptqi66GCucihVvJfMjLAmec39IyEx_6qawtMGysU/edit?usp=sharing"",""สบก!BJ87"")"),67750)</f>
        <v>67750</v>
      </c>
      <c r="N144" s="175">
        <f ca="1">IFERROR(__xludf.DUMMYFUNCTION("IMPORTRANGE(""https://docs.google.com/spreadsheets/d/1Yj_ptqi66GCucihVvJfMjLAmec39IyEx_6qawtMGysU/edit?usp=sharing"",""สบก!BK87"")"),36213)</f>
        <v>36213</v>
      </c>
      <c r="O144" s="176">
        <f ca="1">IF(L144&gt;0,N144*100/L144,0)</f>
        <v>49.948965517241376</v>
      </c>
      <c r="P144" s="176">
        <f ca="1">IF(M144&gt;0,N144*100/M144,0)</f>
        <v>53.450922509225094</v>
      </c>
    </row>
    <row r="145" spans="1:16" ht="21.75" customHeight="1" x14ac:dyDescent="0.35">
      <c r="A145" s="162"/>
      <c r="B145" s="163"/>
      <c r="C145" s="163"/>
      <c r="D145" s="172"/>
      <c r="E145" s="165"/>
      <c r="F145" s="165"/>
      <c r="G145" s="177" t="s">
        <v>42</v>
      </c>
      <c r="H145" s="167" t="s">
        <v>12</v>
      </c>
      <c r="I145" s="168"/>
      <c r="J145" s="168"/>
      <c r="K145" s="169"/>
      <c r="L145" s="174">
        <f ca="1">IFERROR(__xludf.DUMMYFUNCTION("IMPORTRANGE(""https://docs.google.com/spreadsheets/d/1Yj_ptqi66GCucihVvJfMjLAmec39IyEx_6qawtMGysU/edit?usp=sharing"",""สบก!BF87"")"),0)</f>
        <v>0</v>
      </c>
      <c r="M145" s="173"/>
      <c r="N145" s="173"/>
      <c r="O145" s="176"/>
      <c r="P145" s="176"/>
    </row>
    <row r="146" spans="1:16" ht="21.75" customHeight="1" x14ac:dyDescent="0.35">
      <c r="A146" s="162"/>
      <c r="B146" s="163"/>
      <c r="C146" s="163"/>
      <c r="D146" s="172"/>
      <c r="E146" s="165"/>
      <c r="F146" s="165"/>
      <c r="G146" s="177" t="s">
        <v>43</v>
      </c>
      <c r="H146" s="167" t="s">
        <v>12</v>
      </c>
      <c r="I146" s="168"/>
      <c r="J146" s="168"/>
      <c r="K146" s="169"/>
      <c r="L146" s="174">
        <f ca="1">IFERROR(__xludf.DUMMYFUNCTION("IMPORTRANGE(""https://docs.google.com/spreadsheets/d/1Yj_ptqi66GCucihVvJfMjLAmec39IyEx_6qawtMGysU/edit?usp=sharing"",""สบก!BG87"")"),72500)</f>
        <v>72500</v>
      </c>
      <c r="M146" s="173"/>
      <c r="N146" s="173"/>
      <c r="O146" s="176"/>
      <c r="P146" s="176"/>
    </row>
    <row r="147" spans="1:16" ht="21.75" customHeight="1" x14ac:dyDescent="0.45">
      <c r="A147" s="178"/>
      <c r="B147" s="81"/>
      <c r="C147" s="82" t="s">
        <v>16</v>
      </c>
      <c r="D147" s="549" t="s">
        <v>23</v>
      </c>
      <c r="E147" s="545"/>
      <c r="F147" s="89"/>
      <c r="G147" s="83" t="s">
        <v>18</v>
      </c>
      <c r="H147" s="179" t="s">
        <v>12</v>
      </c>
      <c r="I147" s="195"/>
      <c r="J147" s="195"/>
      <c r="K147" s="231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80"/>
      <c r="B148" s="95"/>
      <c r="C148" s="95"/>
      <c r="D148" s="181"/>
      <c r="E148" s="96"/>
      <c r="F148" s="96"/>
      <c r="G148" s="97" t="s">
        <v>19</v>
      </c>
      <c r="H148" s="182" t="s">
        <v>12</v>
      </c>
      <c r="I148" s="195"/>
      <c r="J148" s="195"/>
      <c r="K148" s="231"/>
      <c r="L148" s="91">
        <f ca="1">IFERROR(__xludf.DUMMYFUNCTION("IMPORTRANGE(""https://docs.google.com/spreadsheets/d/1Yj_ptqi66GCucihVvJfMjLAmec39IyEx_6qawtMGysU/edit?usp=sharing"",""สบก!BH87"")"),0)</f>
        <v>0</v>
      </c>
      <c r="M148" s="101"/>
      <c r="N148" s="91">
        <f ca="1">IFERROR(__xludf.DUMMYFUNCTION("IMPORTRANGE(""https://docs.google.com/spreadsheets/d/1Yj_ptqi66GCucihVvJfMjLAmec39IyEx_6qawtMGysU/edit?usp=sharing"",""สบก!BL87"")"),0)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7"/>
      <c r="B149" s="278"/>
      <c r="C149" s="279" t="s">
        <v>76</v>
      </c>
      <c r="D149" s="279"/>
      <c r="E149" s="279"/>
      <c r="F149" s="279"/>
      <c r="G149" s="280"/>
      <c r="H149" s="281" t="s">
        <v>77</v>
      </c>
      <c r="I149" s="282">
        <f ca="1">IFERROR(__xludf.DUMMYFUNCTION("IMPORTRANGE(""https://docs.google.com/spreadsheets/d/1IYY_tgx_IHuhSq3AJ5eI5OnqOPBNLWSHKh2a30DoXe8/edit?usp=sharing"",""พังงา!I74"")"),4)</f>
        <v>4</v>
      </c>
      <c r="J149" s="282">
        <f ca="1">IFERROR(__xludf.DUMMYFUNCTION("IMPORTRANGE(""https://docs.google.com/spreadsheets/d/1IYY_tgx_IHuhSq3AJ5eI5OnqOPBNLWSHKh2a30DoXe8/edit?usp=sharing"",""พังงา!J74"")"),2)</f>
        <v>2</v>
      </c>
      <c r="K149" s="283">
        <f ca="1">IF(I149&gt;0,J149*100/I149,0)</f>
        <v>50</v>
      </c>
      <c r="L149" s="284"/>
      <c r="M149" s="284"/>
      <c r="N149" s="284"/>
      <c r="O149" s="284"/>
      <c r="P149" s="284"/>
    </row>
    <row r="150" spans="1:16" ht="21.75" customHeight="1" x14ac:dyDescent="0.35">
      <c r="A150" s="162"/>
      <c r="B150" s="163"/>
      <c r="C150" s="163" t="s">
        <v>16</v>
      </c>
      <c r="D150" s="164" t="s">
        <v>38</v>
      </c>
      <c r="E150" s="165"/>
      <c r="F150" s="165"/>
      <c r="G150" s="166" t="s">
        <v>39</v>
      </c>
      <c r="H150" s="167" t="s">
        <v>12</v>
      </c>
      <c r="I150" s="168" t="s">
        <v>40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 x14ac:dyDescent="0.35">
      <c r="A151" s="162"/>
      <c r="B151" s="163"/>
      <c r="C151" s="163"/>
      <c r="D151" s="172"/>
      <c r="E151" s="165"/>
      <c r="F151" s="165" t="s">
        <v>40</v>
      </c>
      <c r="G151" s="166" t="s">
        <v>41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 x14ac:dyDescent="0.35">
      <c r="A152" s="162"/>
      <c r="B152" s="163"/>
      <c r="C152" s="163"/>
      <c r="D152" s="172"/>
      <c r="E152" s="165"/>
      <c r="F152" s="165"/>
      <c r="G152" s="177" t="s">
        <v>43</v>
      </c>
      <c r="H152" s="167" t="s">
        <v>12</v>
      </c>
      <c r="I152" s="168"/>
      <c r="J152" s="168"/>
      <c r="K152" s="169"/>
      <c r="L152" s="176"/>
      <c r="M152" s="176"/>
      <c r="N152" s="173"/>
      <c r="O152" s="176"/>
      <c r="P152" s="176"/>
    </row>
    <row r="153" spans="1:16" ht="21.75" customHeight="1" x14ac:dyDescent="0.35">
      <c r="A153" s="183"/>
      <c r="B153" s="184"/>
      <c r="C153" s="163" t="s">
        <v>16</v>
      </c>
      <c r="D153" s="185" t="s">
        <v>44</v>
      </c>
      <c r="E153" s="186"/>
      <c r="F153" s="186"/>
      <c r="G153" s="187"/>
      <c r="H153" s="188"/>
      <c r="I153" s="168"/>
      <c r="J153" s="168"/>
      <c r="K153" s="169"/>
      <c r="L153" s="189"/>
      <c r="M153" s="189"/>
      <c r="N153" s="189"/>
      <c r="O153" s="189"/>
      <c r="P153" s="189"/>
    </row>
    <row r="154" spans="1:16" ht="21.75" customHeight="1" x14ac:dyDescent="0.35">
      <c r="A154" s="183"/>
      <c r="B154" s="184"/>
      <c r="C154" s="184"/>
      <c r="D154" s="190">
        <v>1</v>
      </c>
      <c r="E154" s="191" t="s">
        <v>45</v>
      </c>
      <c r="F154" s="192"/>
      <c r="G154" s="193"/>
      <c r="H154" s="194"/>
      <c r="I154" s="195"/>
      <c r="J154" s="196">
        <f ca="1">IFERROR(__xludf.DUMMYFUNCTION("IMPORTRANGE(""https://docs.google.com/spreadsheets/d/1IYY_tgx_IHuhSq3AJ5eI5OnqOPBNLWSHKh2a30DoXe8/edit?usp=sharing"",""พังงา!J79"")"),0)</f>
        <v>0</v>
      </c>
      <c r="K154" s="169"/>
      <c r="L154" s="189"/>
      <c r="M154" s="189"/>
      <c r="N154" s="189"/>
      <c r="O154" s="189"/>
      <c r="P154" s="189"/>
    </row>
    <row r="155" spans="1:16" ht="21.75" customHeight="1" x14ac:dyDescent="0.35">
      <c r="A155" s="183"/>
      <c r="B155" s="184"/>
      <c r="C155" s="184"/>
      <c r="D155" s="197">
        <v>2</v>
      </c>
      <c r="E155" s="198" t="s">
        <v>46</v>
      </c>
      <c r="F155" s="199"/>
      <c r="G155" s="200"/>
      <c r="H155" s="194"/>
      <c r="I155" s="195"/>
      <c r="J155" s="205">
        <f ca="1">IFERROR(__xludf.DUMMYFUNCTION("IMPORTRANGE(""https://docs.google.com/spreadsheets/d/1IYY_tgx_IHuhSq3AJ5eI5OnqOPBNLWSHKh2a30DoXe8/edit?usp=sharing"",""พังงา!J80"")"),1)</f>
        <v>1</v>
      </c>
      <c r="K155" s="169"/>
      <c r="L155" s="189"/>
      <c r="M155" s="189"/>
      <c r="N155" s="189"/>
      <c r="O155" s="189"/>
      <c r="P155" s="189"/>
    </row>
    <row r="156" spans="1:16" ht="21.75" customHeight="1" x14ac:dyDescent="0.35">
      <c r="A156" s="183"/>
      <c r="B156" s="184"/>
      <c r="C156" s="184"/>
      <c r="D156" s="201"/>
      <c r="E156" s="202" t="s">
        <v>47</v>
      </c>
      <c r="F156" s="203"/>
      <c r="G156" s="204"/>
      <c r="H156" s="194"/>
      <c r="I156" s="195"/>
      <c r="J156" s="205">
        <f ca="1">IFERROR(__xludf.DUMMYFUNCTION("IMPORTRANGE(""https://docs.google.com/spreadsheets/d/1IYY_tgx_IHuhSq3AJ5eI5OnqOPBNLWSHKh2a30DoXe8/edit?usp=sharing"",""พังงา!J81"")"),1)</f>
        <v>1</v>
      </c>
      <c r="K156" s="169"/>
      <c r="L156" s="189"/>
      <c r="M156" s="189"/>
      <c r="N156" s="189"/>
      <c r="O156" s="189"/>
      <c r="P156" s="189"/>
    </row>
    <row r="157" spans="1:16" ht="21.75" customHeight="1" x14ac:dyDescent="0.35">
      <c r="A157" s="183"/>
      <c r="B157" s="184"/>
      <c r="C157" s="184"/>
      <c r="D157" s="201"/>
      <c r="E157" s="202" t="s">
        <v>48</v>
      </c>
      <c r="F157" s="203"/>
      <c r="G157" s="204"/>
      <c r="H157" s="194"/>
      <c r="I157" s="195"/>
      <c r="J157" s="205">
        <f ca="1">IFERROR(__xludf.DUMMYFUNCTION("IMPORTRANGE(""https://docs.google.com/spreadsheets/d/1IYY_tgx_IHuhSq3AJ5eI5OnqOPBNLWSHKh2a30DoXe8/edit?usp=sharing"",""พังงา!J82"")"),1)</f>
        <v>1</v>
      </c>
      <c r="K157" s="169"/>
      <c r="L157" s="189"/>
      <c r="M157" s="189"/>
      <c r="N157" s="189"/>
      <c r="O157" s="189"/>
      <c r="P157" s="189"/>
    </row>
    <row r="158" spans="1:16" ht="21.75" customHeight="1" x14ac:dyDescent="0.35">
      <c r="A158" s="183"/>
      <c r="B158" s="184"/>
      <c r="C158" s="184"/>
      <c r="D158" s="201"/>
      <c r="E158" s="206"/>
      <c r="F158" s="202" t="s">
        <v>78</v>
      </c>
      <c r="G158" s="204"/>
      <c r="H158" s="188" t="s">
        <v>77</v>
      </c>
      <c r="I158" s="195">
        <f ca="1">IFERROR(__xludf.DUMMYFUNCTION("IMPORTRANGE(""https://docs.google.com/spreadsheets/d/1IYY_tgx_IHuhSq3AJ5eI5OnqOPBNLWSHKh2a30DoXe8/edit?usp=sharing"",""พังงา!I83"")"),4)</f>
        <v>4</v>
      </c>
      <c r="J158" s="196">
        <f ca="1">IFERROR(__xludf.DUMMYFUNCTION("IMPORTRANGE(""https://docs.google.com/spreadsheets/d/1IYY_tgx_IHuhSq3AJ5eI5OnqOPBNLWSHKh2a30DoXe8/edit?usp=sharing"",""พังงา!J83"")"),2)</f>
        <v>2</v>
      </c>
      <c r="K158" s="169">
        <f ca="1">IF(I158&gt;0,J158*100/I158,0)</f>
        <v>50</v>
      </c>
      <c r="L158" s="189"/>
      <c r="M158" s="189"/>
      <c r="N158" s="189"/>
      <c r="O158" s="189"/>
      <c r="P158" s="189"/>
    </row>
    <row r="159" spans="1:16" ht="21.75" customHeight="1" x14ac:dyDescent="0.35">
      <c r="A159" s="183"/>
      <c r="B159" s="184"/>
      <c r="C159" s="184"/>
      <c r="D159" s="201"/>
      <c r="E159" s="203"/>
      <c r="F159" s="285" t="s">
        <v>79</v>
      </c>
      <c r="G159" s="204"/>
      <c r="H159" s="286" t="s">
        <v>37</v>
      </c>
      <c r="I159" s="195"/>
      <c r="J159" s="211">
        <f ca="1">IFERROR(__xludf.DUMMYFUNCTION("IMPORTRANGE(""https://docs.google.com/spreadsheets/d/1IYY_tgx_IHuhSq3AJ5eI5OnqOPBNLWSHKh2a30DoXe8/edit?usp=sharing"",""พังงา!J84"")"),89)</f>
        <v>89</v>
      </c>
      <c r="K159" s="169"/>
      <c r="L159" s="189"/>
      <c r="M159" s="189"/>
      <c r="N159" s="189"/>
      <c r="O159" s="189"/>
      <c r="P159" s="189"/>
    </row>
    <row r="160" spans="1:16" ht="21.75" customHeight="1" x14ac:dyDescent="0.45">
      <c r="A160" s="183"/>
      <c r="B160" s="184"/>
      <c r="C160" s="184"/>
      <c r="D160" s="201"/>
      <c r="E160" s="203"/>
      <c r="F160" s="203"/>
      <c r="G160" s="287" t="s">
        <v>80</v>
      </c>
      <c r="H160" s="286" t="s">
        <v>37</v>
      </c>
      <c r="I160" s="195"/>
      <c r="J160" s="288">
        <f ca="1">IFERROR(__xludf.DUMMYFUNCTION("IMPORTRANGE(""https://docs.google.com/spreadsheets/d/1IYY_tgx_IHuhSq3AJ5eI5OnqOPBNLWSHKh2a30DoXe8/edit?usp=sharing"",""พังงา!J85"")"),89)</f>
        <v>89</v>
      </c>
      <c r="K160" s="169"/>
      <c r="L160" s="189"/>
      <c r="M160" s="189"/>
      <c r="N160" s="189"/>
      <c r="O160" s="189"/>
      <c r="P160" s="189"/>
    </row>
    <row r="161" spans="1:16" ht="21.75" customHeight="1" x14ac:dyDescent="0.45">
      <c r="A161" s="183"/>
      <c r="B161" s="184"/>
      <c r="C161" s="184"/>
      <c r="D161" s="201"/>
      <c r="E161" s="203"/>
      <c r="F161" s="203"/>
      <c r="G161" s="287" t="s">
        <v>81</v>
      </c>
      <c r="H161" s="286" t="s">
        <v>37</v>
      </c>
      <c r="I161" s="195"/>
      <c r="J161" s="288">
        <f ca="1">IFERROR(__xludf.DUMMYFUNCTION("IMPORTRANGE(""https://docs.google.com/spreadsheets/d/1IYY_tgx_IHuhSq3AJ5eI5OnqOPBNLWSHKh2a30DoXe8/edit?usp=sharing"",""พังงา!J86"")"),0)</f>
        <v>0</v>
      </c>
      <c r="K161" s="169"/>
      <c r="L161" s="189"/>
      <c r="M161" s="189"/>
      <c r="N161" s="189"/>
      <c r="O161" s="189"/>
      <c r="P161" s="189"/>
    </row>
    <row r="162" spans="1:16" ht="21.75" customHeight="1" x14ac:dyDescent="0.35">
      <c r="A162" s="183"/>
      <c r="B162" s="184"/>
      <c r="C162" s="184"/>
      <c r="D162" s="201"/>
      <c r="E162" s="202" t="s">
        <v>54</v>
      </c>
      <c r="F162" s="203"/>
      <c r="G162" s="204"/>
      <c r="H162" s="194"/>
      <c r="I162" s="195"/>
      <c r="J162" s="205">
        <f ca="1">IFERROR(__xludf.DUMMYFUNCTION("IMPORTRANGE(""https://docs.google.com/spreadsheets/d/1IYY_tgx_IHuhSq3AJ5eI5OnqOPBNLWSHKh2a30DoXe8/edit?usp=sharing"",""พังงา!J87"")"),0)</f>
        <v>0</v>
      </c>
      <c r="K162" s="169"/>
      <c r="L162" s="189"/>
      <c r="M162" s="189"/>
      <c r="N162" s="189"/>
      <c r="O162" s="189"/>
      <c r="P162" s="189"/>
    </row>
    <row r="163" spans="1:16" ht="21.75" customHeight="1" x14ac:dyDescent="0.35">
      <c r="A163" s="183"/>
      <c r="B163" s="184"/>
      <c r="C163" s="184"/>
      <c r="D163" s="213">
        <v>3</v>
      </c>
      <c r="E163" s="214" t="s">
        <v>55</v>
      </c>
      <c r="F163" s="215"/>
      <c r="G163" s="216"/>
      <c r="H163" s="194"/>
      <c r="I163" s="195"/>
      <c r="J163" s="217">
        <f ca="1">IFERROR(__xludf.DUMMYFUNCTION("IMPORTRANGE(""https://docs.google.com/spreadsheets/d/1IYY_tgx_IHuhSq3AJ5eI5OnqOPBNLWSHKh2a30DoXe8/edit?usp=sharing"",""พังงา!J88"")"),0)</f>
        <v>0</v>
      </c>
      <c r="K163" s="169"/>
      <c r="L163" s="189"/>
      <c r="M163" s="189"/>
      <c r="N163" s="189"/>
      <c r="O163" s="189"/>
      <c r="P163" s="189"/>
    </row>
    <row r="164" spans="1:16" ht="21.75" customHeight="1" x14ac:dyDescent="0.35">
      <c r="A164" s="277"/>
      <c r="B164" s="278"/>
      <c r="C164" s="279" t="s">
        <v>82</v>
      </c>
      <c r="D164" s="279"/>
      <c r="E164" s="279"/>
      <c r="F164" s="279"/>
      <c r="G164" s="280"/>
      <c r="H164" s="289" t="s">
        <v>83</v>
      </c>
      <c r="I164" s="290">
        <f ca="1">IFERROR(__xludf.DUMMYFUNCTION("IMPORTRANGE(""https://docs.google.com/spreadsheets/d/1IYY_tgx_IHuhSq3AJ5eI5OnqOPBNLWSHKh2a30DoXe8/edit?usp=sharing"",""พังงา!I89"")"),4)</f>
        <v>4</v>
      </c>
      <c r="J164" s="290">
        <f ca="1">IFERROR(__xludf.DUMMYFUNCTION("IMPORTRANGE(""https://docs.google.com/spreadsheets/d/1IYY_tgx_IHuhSq3AJ5eI5OnqOPBNLWSHKh2a30DoXe8/edit?usp=sharing"",""พังงา!J89"")"),2)</f>
        <v>2</v>
      </c>
      <c r="K164" s="291">
        <f ca="1">IF(I164&gt;0,J164*100/I164,0)</f>
        <v>50</v>
      </c>
      <c r="L164" s="284"/>
      <c r="M164" s="284"/>
      <c r="N164" s="284"/>
      <c r="O164" s="284"/>
      <c r="P164" s="284"/>
    </row>
    <row r="165" spans="1:16" ht="21.75" customHeight="1" x14ac:dyDescent="0.35">
      <c r="A165" s="162"/>
      <c r="B165" s="163"/>
      <c r="C165" s="163" t="s">
        <v>16</v>
      </c>
      <c r="D165" s="164" t="s">
        <v>38</v>
      </c>
      <c r="E165" s="165"/>
      <c r="F165" s="165"/>
      <c r="G165" s="166" t="s">
        <v>39</v>
      </c>
      <c r="H165" s="167" t="s">
        <v>12</v>
      </c>
      <c r="I165" s="168" t="s">
        <v>40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 x14ac:dyDescent="0.35">
      <c r="A166" s="162"/>
      <c r="B166" s="163"/>
      <c r="C166" s="163"/>
      <c r="D166" s="172"/>
      <c r="E166" s="165"/>
      <c r="F166" s="165" t="s">
        <v>40</v>
      </c>
      <c r="G166" s="166" t="s">
        <v>41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 x14ac:dyDescent="0.35">
      <c r="A167" s="162"/>
      <c r="B167" s="163"/>
      <c r="C167" s="163"/>
      <c r="D167" s="172"/>
      <c r="E167" s="165"/>
      <c r="F167" s="165"/>
      <c r="G167" s="177" t="s">
        <v>43</v>
      </c>
      <c r="H167" s="167" t="s">
        <v>12</v>
      </c>
      <c r="I167" s="168"/>
      <c r="J167" s="168"/>
      <c r="K167" s="169"/>
      <c r="L167" s="176"/>
      <c r="M167" s="176"/>
      <c r="N167" s="173"/>
      <c r="O167" s="176"/>
      <c r="P167" s="176"/>
    </row>
    <row r="168" spans="1:16" ht="21.75" customHeight="1" x14ac:dyDescent="0.35">
      <c r="A168" s="183"/>
      <c r="B168" s="184"/>
      <c r="C168" s="163" t="s">
        <v>16</v>
      </c>
      <c r="D168" s="185" t="s">
        <v>44</v>
      </c>
      <c r="E168" s="186"/>
      <c r="F168" s="186"/>
      <c r="G168" s="187"/>
      <c r="H168" s="188"/>
      <c r="I168" s="168"/>
      <c r="J168" s="168"/>
      <c r="K168" s="169"/>
      <c r="L168" s="189"/>
      <c r="M168" s="189"/>
      <c r="N168" s="189"/>
      <c r="O168" s="189"/>
      <c r="P168" s="189"/>
    </row>
    <row r="169" spans="1:16" ht="21.75" customHeight="1" x14ac:dyDescent="0.35">
      <c r="A169" s="183"/>
      <c r="B169" s="184"/>
      <c r="C169" s="184"/>
      <c r="D169" s="190">
        <v>1</v>
      </c>
      <c r="E169" s="191" t="s">
        <v>45</v>
      </c>
      <c r="F169" s="192"/>
      <c r="G169" s="193"/>
      <c r="H169" s="194"/>
      <c r="I169" s="195"/>
      <c r="J169" s="196">
        <f ca="1">IFERROR(__xludf.DUMMYFUNCTION("IMPORTRANGE(""https://docs.google.com/spreadsheets/d/1IYY_tgx_IHuhSq3AJ5eI5OnqOPBNLWSHKh2a30DoXe8/edit?usp=sharing"",""พังงา!J94"")"),0)</f>
        <v>0</v>
      </c>
      <c r="K169" s="169"/>
      <c r="L169" s="189"/>
      <c r="M169" s="189"/>
      <c r="N169" s="189"/>
      <c r="O169" s="189"/>
      <c r="P169" s="189"/>
    </row>
    <row r="170" spans="1:16" ht="21.75" customHeight="1" x14ac:dyDescent="0.35">
      <c r="A170" s="183"/>
      <c r="B170" s="184"/>
      <c r="C170" s="184"/>
      <c r="D170" s="197">
        <v>2</v>
      </c>
      <c r="E170" s="198" t="s">
        <v>46</v>
      </c>
      <c r="F170" s="199"/>
      <c r="G170" s="200"/>
      <c r="H170" s="194"/>
      <c r="I170" s="195"/>
      <c r="J170" s="205">
        <f ca="1">IFERROR(__xludf.DUMMYFUNCTION("IMPORTRANGE(""https://docs.google.com/spreadsheets/d/1IYY_tgx_IHuhSq3AJ5eI5OnqOPBNLWSHKh2a30DoXe8/edit?usp=sharing"",""พังงา!J95"")"),1)</f>
        <v>1</v>
      </c>
      <c r="K170" s="169"/>
      <c r="L170" s="189"/>
      <c r="M170" s="189"/>
      <c r="N170" s="189"/>
      <c r="O170" s="189"/>
      <c r="P170" s="189"/>
    </row>
    <row r="171" spans="1:16" ht="21.75" customHeight="1" x14ac:dyDescent="0.35">
      <c r="A171" s="183"/>
      <c r="B171" s="184"/>
      <c r="C171" s="184"/>
      <c r="D171" s="201"/>
      <c r="E171" s="202" t="s">
        <v>47</v>
      </c>
      <c r="F171" s="203"/>
      <c r="G171" s="204"/>
      <c r="H171" s="194"/>
      <c r="I171" s="195"/>
      <c r="J171" s="205">
        <f ca="1">IFERROR(__xludf.DUMMYFUNCTION("IMPORTRANGE(""https://docs.google.com/spreadsheets/d/1IYY_tgx_IHuhSq3AJ5eI5OnqOPBNLWSHKh2a30DoXe8/edit?usp=sharing"",""พังงา!J96"")"),1)</f>
        <v>1</v>
      </c>
      <c r="K171" s="169"/>
      <c r="L171" s="189"/>
      <c r="M171" s="189"/>
      <c r="N171" s="189"/>
      <c r="O171" s="189"/>
      <c r="P171" s="189"/>
    </row>
    <row r="172" spans="1:16" ht="21.75" customHeight="1" x14ac:dyDescent="0.35">
      <c r="A172" s="183"/>
      <c r="B172" s="184"/>
      <c r="C172" s="184"/>
      <c r="D172" s="201"/>
      <c r="E172" s="202" t="s">
        <v>48</v>
      </c>
      <c r="F172" s="203"/>
      <c r="G172" s="204"/>
      <c r="H172" s="194"/>
      <c r="I172" s="195"/>
      <c r="J172" s="205">
        <f ca="1">IFERROR(__xludf.DUMMYFUNCTION("IMPORTRANGE(""https://docs.google.com/spreadsheets/d/1IYY_tgx_IHuhSq3AJ5eI5OnqOPBNLWSHKh2a30DoXe8/edit?usp=sharing"",""พังงา!J97"")"),1)</f>
        <v>1</v>
      </c>
      <c r="K172" s="169"/>
      <c r="L172" s="189"/>
      <c r="M172" s="189"/>
      <c r="N172" s="189"/>
      <c r="O172" s="189"/>
      <c r="P172" s="189"/>
    </row>
    <row r="173" spans="1:16" ht="21.75" customHeight="1" x14ac:dyDescent="0.35">
      <c r="A173" s="183"/>
      <c r="B173" s="184"/>
      <c r="C173" s="184"/>
      <c r="D173" s="201"/>
      <c r="E173" s="206"/>
      <c r="F173" s="212" t="s">
        <v>84</v>
      </c>
      <c r="G173" s="204"/>
      <c r="H173" s="188" t="s">
        <v>83</v>
      </c>
      <c r="I173" s="195">
        <f ca="1">IFERROR(__xludf.DUMMYFUNCTION("IMPORTRANGE(""https://docs.google.com/spreadsheets/d/1IYY_tgx_IHuhSq3AJ5eI5OnqOPBNLWSHKh2a30DoXe8/edit?usp=sharing"",""พังงา!I98"")"),4)</f>
        <v>4</v>
      </c>
      <c r="J173" s="196">
        <f ca="1">IFERROR(__xludf.DUMMYFUNCTION("IMPORTRANGE(""https://docs.google.com/spreadsheets/d/1IYY_tgx_IHuhSq3AJ5eI5OnqOPBNLWSHKh2a30DoXe8/edit?usp=sharing"",""พังงา!J98"")"),2)</f>
        <v>2</v>
      </c>
      <c r="K173" s="169">
        <f ca="1">IF(I173&gt;0,J173*100/I173,0)</f>
        <v>50</v>
      </c>
      <c r="L173" s="176"/>
      <c r="M173" s="176"/>
      <c r="N173" s="173"/>
      <c r="O173" s="176"/>
      <c r="P173" s="176"/>
    </row>
    <row r="174" spans="1:16" ht="21.75" customHeight="1" x14ac:dyDescent="0.35">
      <c r="A174" s="183"/>
      <c r="B174" s="184"/>
      <c r="C174" s="184"/>
      <c r="D174" s="201"/>
      <c r="E174" s="202" t="s">
        <v>54</v>
      </c>
      <c r="F174" s="203"/>
      <c r="G174" s="204"/>
      <c r="H174" s="194"/>
      <c r="I174" s="195"/>
      <c r="J174" s="205">
        <f ca="1">IFERROR(__xludf.DUMMYFUNCTION("IMPORTRANGE(""https://docs.google.com/spreadsheets/d/1IYY_tgx_IHuhSq3AJ5eI5OnqOPBNLWSHKh2a30DoXe8/edit?usp=sharing"",""พังงา!J99"")"),0)</f>
        <v>0</v>
      </c>
      <c r="K174" s="169"/>
      <c r="L174" s="189"/>
      <c r="M174" s="189"/>
      <c r="N174" s="189"/>
      <c r="O174" s="189"/>
      <c r="P174" s="189"/>
    </row>
    <row r="175" spans="1:16" ht="21.75" customHeight="1" x14ac:dyDescent="0.35">
      <c r="A175" s="183"/>
      <c r="B175" s="184"/>
      <c r="C175" s="184"/>
      <c r="D175" s="213">
        <v>3</v>
      </c>
      <c r="E175" s="214" t="s">
        <v>55</v>
      </c>
      <c r="F175" s="215"/>
      <c r="G175" s="216"/>
      <c r="H175" s="194"/>
      <c r="I175" s="195"/>
      <c r="J175" s="217">
        <f ca="1">IFERROR(__xludf.DUMMYFUNCTION("IMPORTRANGE(""https://docs.google.com/spreadsheets/d/1IYY_tgx_IHuhSq3AJ5eI5OnqOPBNLWSHKh2a30DoXe8/edit?usp=sharing"",""พังงา!J100"")"),0)</f>
        <v>0</v>
      </c>
      <c r="K175" s="169"/>
      <c r="L175" s="189"/>
      <c r="M175" s="189"/>
      <c r="N175" s="189"/>
      <c r="O175" s="189"/>
      <c r="P175" s="189"/>
    </row>
    <row r="176" spans="1:16" ht="21.75" customHeight="1" x14ac:dyDescent="0.35">
      <c r="A176" s="277"/>
      <c r="B176" s="278"/>
      <c r="C176" s="279" t="s">
        <v>85</v>
      </c>
      <c r="D176" s="279"/>
      <c r="E176" s="279"/>
      <c r="F176" s="279"/>
      <c r="G176" s="280"/>
      <c r="H176" s="289" t="s">
        <v>83</v>
      </c>
      <c r="I176" s="290">
        <f ca="1">IFERROR(__xludf.DUMMYFUNCTION("IMPORTRANGE(""https://docs.google.com/spreadsheets/d/1IYY_tgx_IHuhSq3AJ5eI5OnqOPBNLWSHKh2a30DoXe8/edit?usp=sharing"",""พังงา!I101"")"),0)</f>
        <v>0</v>
      </c>
      <c r="J176" s="290">
        <f ca="1">IFERROR(__xludf.DUMMYFUNCTION("IMPORTRANGE(""https://docs.google.com/spreadsheets/d/1IYY_tgx_IHuhSq3AJ5eI5OnqOPBNLWSHKh2a30DoXe8/edit?usp=sharing"",""พังงา!J101"")"),0)</f>
        <v>0</v>
      </c>
      <c r="K176" s="291">
        <f ca="1">IF(I176&gt;0,J176*100/I176,0)</f>
        <v>0</v>
      </c>
      <c r="L176" s="284"/>
      <c r="M176" s="284"/>
      <c r="N176" s="284"/>
      <c r="O176" s="284"/>
      <c r="P176" s="284"/>
    </row>
    <row r="177" spans="1:16" ht="21.75" customHeight="1" x14ac:dyDescent="0.35">
      <c r="A177" s="162"/>
      <c r="B177" s="163"/>
      <c r="C177" s="163" t="s">
        <v>16</v>
      </c>
      <c r="D177" s="164" t="s">
        <v>38</v>
      </c>
      <c r="E177" s="165"/>
      <c r="F177" s="165"/>
      <c r="G177" s="166" t="s">
        <v>39</v>
      </c>
      <c r="H177" s="167" t="s">
        <v>12</v>
      </c>
      <c r="I177" s="168" t="s">
        <v>40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 x14ac:dyDescent="0.35">
      <c r="A178" s="162"/>
      <c r="B178" s="163"/>
      <c r="C178" s="163"/>
      <c r="D178" s="172"/>
      <c r="E178" s="165"/>
      <c r="F178" s="165" t="s">
        <v>40</v>
      </c>
      <c r="G178" s="166" t="s">
        <v>41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 x14ac:dyDescent="0.35">
      <c r="A179" s="162"/>
      <c r="B179" s="163"/>
      <c r="C179" s="163"/>
      <c r="D179" s="172"/>
      <c r="E179" s="165"/>
      <c r="F179" s="165"/>
      <c r="G179" s="177" t="s">
        <v>43</v>
      </c>
      <c r="H179" s="167" t="s">
        <v>12</v>
      </c>
      <c r="I179" s="168"/>
      <c r="J179" s="195"/>
      <c r="K179" s="231"/>
      <c r="L179" s="176"/>
      <c r="M179" s="176"/>
      <c r="N179" s="173"/>
      <c r="O179" s="176"/>
      <c r="P179" s="176"/>
    </row>
    <row r="180" spans="1:16" ht="21.75" customHeight="1" x14ac:dyDescent="0.35">
      <c r="A180" s="183"/>
      <c r="B180" s="184"/>
      <c r="C180" s="163" t="s">
        <v>16</v>
      </c>
      <c r="D180" s="185" t="s">
        <v>44</v>
      </c>
      <c r="E180" s="186"/>
      <c r="F180" s="186"/>
      <c r="G180" s="187"/>
      <c r="H180" s="188"/>
      <c r="I180" s="168"/>
      <c r="J180" s="195"/>
      <c r="K180" s="231"/>
      <c r="L180" s="176"/>
      <c r="M180" s="176"/>
      <c r="N180" s="176"/>
      <c r="O180" s="189"/>
      <c r="P180" s="189"/>
    </row>
    <row r="181" spans="1:16" ht="21.75" customHeight="1" x14ac:dyDescent="0.35">
      <c r="A181" s="183"/>
      <c r="B181" s="184"/>
      <c r="C181" s="184"/>
      <c r="D181" s="190">
        <v>1</v>
      </c>
      <c r="E181" s="191" t="s">
        <v>45</v>
      </c>
      <c r="F181" s="192"/>
      <c r="G181" s="193"/>
      <c r="H181" s="194"/>
      <c r="I181" s="195"/>
      <c r="J181" s="195">
        <f ca="1">IFERROR(__xludf.DUMMYFUNCTION("IMPORTRANGE(""https://docs.google.com/spreadsheets/d/1IYY_tgx_IHuhSq3AJ5eI5OnqOPBNLWSHKh2a30DoXe8/edit?usp=sharing"",""พังงา!J106"")"),0)</f>
        <v>0</v>
      </c>
      <c r="K181" s="231"/>
      <c r="L181" s="176"/>
      <c r="M181" s="176"/>
      <c r="N181" s="176"/>
      <c r="O181" s="189"/>
      <c r="P181" s="189"/>
    </row>
    <row r="182" spans="1:16" ht="21.75" customHeight="1" x14ac:dyDescent="0.35">
      <c r="A182" s="183"/>
      <c r="B182" s="184"/>
      <c r="C182" s="184"/>
      <c r="D182" s="197">
        <v>2</v>
      </c>
      <c r="E182" s="198" t="s">
        <v>46</v>
      </c>
      <c r="F182" s="199"/>
      <c r="G182" s="200"/>
      <c r="H182" s="194"/>
      <c r="I182" s="195"/>
      <c r="J182" s="195">
        <f ca="1">IFERROR(__xludf.DUMMYFUNCTION("IMPORTRANGE(""https://docs.google.com/spreadsheets/d/1IYY_tgx_IHuhSq3AJ5eI5OnqOPBNLWSHKh2a30DoXe8/edit?usp=sharing"",""พังงา!J107"")"),0)</f>
        <v>0</v>
      </c>
      <c r="K182" s="231"/>
      <c r="L182" s="176"/>
      <c r="M182" s="176"/>
      <c r="N182" s="176"/>
      <c r="O182" s="189"/>
      <c r="P182" s="189"/>
    </row>
    <row r="183" spans="1:16" ht="21.75" customHeight="1" x14ac:dyDescent="0.35">
      <c r="A183" s="183"/>
      <c r="B183" s="184"/>
      <c r="C183" s="184"/>
      <c r="D183" s="201"/>
      <c r="E183" s="202" t="s">
        <v>47</v>
      </c>
      <c r="F183" s="203"/>
      <c r="G183" s="204"/>
      <c r="H183" s="194"/>
      <c r="I183" s="195"/>
      <c r="J183" s="195">
        <f ca="1">IFERROR(__xludf.DUMMYFUNCTION("IMPORTRANGE(""https://docs.google.com/spreadsheets/d/1IYY_tgx_IHuhSq3AJ5eI5OnqOPBNLWSHKh2a30DoXe8/edit?usp=sharing"",""พังงา!J108"")"),0)</f>
        <v>0</v>
      </c>
      <c r="K183" s="231"/>
      <c r="L183" s="176"/>
      <c r="M183" s="176"/>
      <c r="N183" s="176"/>
      <c r="O183" s="189"/>
      <c r="P183" s="189"/>
    </row>
    <row r="184" spans="1:16" ht="21.75" customHeight="1" x14ac:dyDescent="0.35">
      <c r="A184" s="183"/>
      <c r="B184" s="184"/>
      <c r="C184" s="184"/>
      <c r="D184" s="201"/>
      <c r="E184" s="202" t="s">
        <v>48</v>
      </c>
      <c r="F184" s="203"/>
      <c r="G184" s="204"/>
      <c r="H184" s="194"/>
      <c r="I184" s="195"/>
      <c r="J184" s="195">
        <f ca="1">IFERROR(__xludf.DUMMYFUNCTION("IMPORTRANGE(""https://docs.google.com/spreadsheets/d/1IYY_tgx_IHuhSq3AJ5eI5OnqOPBNLWSHKh2a30DoXe8/edit?usp=sharing"",""พังงา!J109"")"),0)</f>
        <v>0</v>
      </c>
      <c r="K184" s="231"/>
      <c r="L184" s="176"/>
      <c r="M184" s="176"/>
      <c r="N184" s="176"/>
      <c r="O184" s="189"/>
      <c r="P184" s="189"/>
    </row>
    <row r="185" spans="1:16" ht="21.75" customHeight="1" x14ac:dyDescent="0.35">
      <c r="A185" s="183"/>
      <c r="B185" s="184"/>
      <c r="C185" s="184"/>
      <c r="D185" s="201"/>
      <c r="E185" s="206"/>
      <c r="F185" s="202" t="s">
        <v>86</v>
      </c>
      <c r="G185" s="204"/>
      <c r="H185" s="188" t="s">
        <v>83</v>
      </c>
      <c r="I185" s="195">
        <f ca="1">IFERROR(__xludf.DUMMYFUNCTION("IMPORTRANGE(""https://docs.google.com/spreadsheets/d/1IYY_tgx_IHuhSq3AJ5eI5OnqOPBNLWSHKh2a30DoXe8/edit?usp=sharing"",""พังงา!I110"")"),0)</f>
        <v>0</v>
      </c>
      <c r="J185" s="211">
        <f ca="1">IFERROR(__xludf.DUMMYFUNCTION("IMPORTRANGE(""https://docs.google.com/spreadsheets/d/1IYY_tgx_IHuhSq3AJ5eI5OnqOPBNLWSHKh2a30DoXe8/edit?usp=sharing"",""พังงา!J110"")"),0)</f>
        <v>0</v>
      </c>
      <c r="K185" s="231">
        <f t="shared" ref="K185:K186" ca="1" si="69">IF(I185&gt;0,J185*100/I185,0)</f>
        <v>0</v>
      </c>
      <c r="L185" s="176"/>
      <c r="M185" s="176"/>
      <c r="N185" s="173"/>
      <c r="O185" s="176"/>
      <c r="P185" s="176"/>
    </row>
    <row r="186" spans="1:16" ht="21.75" customHeight="1" x14ac:dyDescent="0.35">
      <c r="A186" s="183"/>
      <c r="B186" s="184"/>
      <c r="C186" s="184"/>
      <c r="D186" s="201"/>
      <c r="E186" s="206"/>
      <c r="F186" s="202" t="s">
        <v>87</v>
      </c>
      <c r="G186" s="204"/>
      <c r="H186" s="188" t="s">
        <v>83</v>
      </c>
      <c r="I186" s="195">
        <f ca="1">IFERROR(__xludf.DUMMYFUNCTION("IMPORTRANGE(""https://docs.google.com/spreadsheets/d/1IYY_tgx_IHuhSq3AJ5eI5OnqOPBNLWSHKh2a30DoXe8/edit?usp=sharing"",""พังงา!I111"")"),0)</f>
        <v>0</v>
      </c>
      <c r="J186" s="211">
        <f ca="1">IFERROR(__xludf.DUMMYFUNCTION("IMPORTRANGE(""https://docs.google.com/spreadsheets/d/1IYY_tgx_IHuhSq3AJ5eI5OnqOPBNLWSHKh2a30DoXe8/edit?usp=sharing"",""พังงา!J111"")"),0)</f>
        <v>0</v>
      </c>
      <c r="K186" s="231">
        <f t="shared" ca="1" si="69"/>
        <v>0</v>
      </c>
      <c r="L186" s="176"/>
      <c r="M186" s="176"/>
      <c r="N186" s="173"/>
      <c r="O186" s="176"/>
      <c r="P186" s="176"/>
    </row>
    <row r="187" spans="1:16" ht="21.75" customHeight="1" x14ac:dyDescent="0.35">
      <c r="A187" s="183"/>
      <c r="B187" s="184"/>
      <c r="C187" s="184"/>
      <c r="D187" s="201"/>
      <c r="E187" s="202" t="s">
        <v>54</v>
      </c>
      <c r="F187" s="203"/>
      <c r="G187" s="204"/>
      <c r="H187" s="194"/>
      <c r="I187" s="195"/>
      <c r="J187" s="195">
        <f ca="1">IFERROR(__xludf.DUMMYFUNCTION("IMPORTRANGE(""https://docs.google.com/spreadsheets/d/1IYY_tgx_IHuhSq3AJ5eI5OnqOPBNLWSHKh2a30DoXe8/edit?usp=sharing"",""พังงา!J112"")"),0)</f>
        <v>0</v>
      </c>
      <c r="K187" s="231"/>
      <c r="L187" s="176"/>
      <c r="M187" s="176"/>
      <c r="N187" s="176"/>
      <c r="O187" s="189"/>
      <c r="P187" s="189"/>
    </row>
    <row r="188" spans="1:16" ht="21.75" customHeight="1" x14ac:dyDescent="0.35">
      <c r="A188" s="183"/>
      <c r="B188" s="184"/>
      <c r="C188" s="184"/>
      <c r="D188" s="213">
        <v>3</v>
      </c>
      <c r="E188" s="214" t="s">
        <v>55</v>
      </c>
      <c r="F188" s="215"/>
      <c r="G188" s="216"/>
      <c r="H188" s="194"/>
      <c r="I188" s="195"/>
      <c r="J188" s="234">
        <f ca="1">IFERROR(__xludf.DUMMYFUNCTION("IMPORTRANGE(""https://docs.google.com/spreadsheets/d/1IYY_tgx_IHuhSq3AJ5eI5OnqOPBNLWSHKh2a30DoXe8/edit?usp=sharing"",""พังงา!J113"")"),0)</f>
        <v>0</v>
      </c>
      <c r="K188" s="231"/>
      <c r="L188" s="176"/>
      <c r="M188" s="176"/>
      <c r="N188" s="176"/>
      <c r="O188" s="189"/>
      <c r="P188" s="189"/>
    </row>
    <row r="189" spans="1:16" ht="21.75" customHeight="1" x14ac:dyDescent="0.35">
      <c r="A189" s="277"/>
      <c r="B189" s="278"/>
      <c r="C189" s="279" t="s">
        <v>88</v>
      </c>
      <c r="D189" s="279"/>
      <c r="E189" s="279"/>
      <c r="F189" s="279"/>
      <c r="G189" s="280"/>
      <c r="H189" s="292" t="s">
        <v>89</v>
      </c>
      <c r="I189" s="290">
        <f ca="1">IFERROR(__xludf.DUMMYFUNCTION("IMPORTRANGE(""https://docs.google.com/spreadsheets/d/1IYY_tgx_IHuhSq3AJ5eI5OnqOPBNLWSHKh2a30DoXe8/edit?usp=sharing"",""พังงา!I114"")"),20000)</f>
        <v>20000</v>
      </c>
      <c r="J189" s="290">
        <f ca="1">IFERROR(__xludf.DUMMYFUNCTION("IMPORTRANGE(""https://docs.google.com/spreadsheets/d/1IYY_tgx_IHuhSq3AJ5eI5OnqOPBNLWSHKh2a30DoXe8/edit?usp=sharing"",""พังงา!J114"")"),0)</f>
        <v>0</v>
      </c>
      <c r="K189" s="291">
        <f ca="1">IF(I189&gt;0,J189*100/I189,0)</f>
        <v>0</v>
      </c>
      <c r="L189" s="284"/>
      <c r="M189" s="284"/>
      <c r="N189" s="284"/>
      <c r="O189" s="284"/>
      <c r="P189" s="284"/>
    </row>
    <row r="190" spans="1:16" ht="21.75" customHeight="1" x14ac:dyDescent="0.35">
      <c r="A190" s="162"/>
      <c r="B190" s="163"/>
      <c r="C190" s="163" t="s">
        <v>16</v>
      </c>
      <c r="D190" s="164" t="s">
        <v>38</v>
      </c>
      <c r="E190" s="165"/>
      <c r="F190" s="165"/>
      <c r="G190" s="166" t="s">
        <v>39</v>
      </c>
      <c r="H190" s="167" t="s">
        <v>12</v>
      </c>
      <c r="I190" s="168" t="s">
        <v>40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 x14ac:dyDescent="0.35">
      <c r="A191" s="162"/>
      <c r="B191" s="163"/>
      <c r="C191" s="163"/>
      <c r="D191" s="172"/>
      <c r="E191" s="165"/>
      <c r="F191" s="165" t="s">
        <v>40</v>
      </c>
      <c r="G191" s="166" t="s">
        <v>41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 x14ac:dyDescent="0.35">
      <c r="A192" s="162"/>
      <c r="B192" s="163"/>
      <c r="C192" s="163"/>
      <c r="D192" s="172"/>
      <c r="E192" s="165"/>
      <c r="F192" s="165"/>
      <c r="G192" s="177" t="s">
        <v>43</v>
      </c>
      <c r="H192" s="167" t="s">
        <v>12</v>
      </c>
      <c r="I192" s="168"/>
      <c r="J192" s="168"/>
      <c r="K192" s="169"/>
      <c r="L192" s="176"/>
      <c r="M192" s="176"/>
      <c r="N192" s="173"/>
      <c r="O192" s="176"/>
      <c r="P192" s="176"/>
    </row>
    <row r="193" spans="1:16" ht="21.75" customHeight="1" x14ac:dyDescent="0.35">
      <c r="A193" s="183"/>
      <c r="B193" s="184"/>
      <c r="C193" s="163" t="s">
        <v>16</v>
      </c>
      <c r="D193" s="185" t="s">
        <v>44</v>
      </c>
      <c r="E193" s="186"/>
      <c r="F193" s="186"/>
      <c r="G193" s="187"/>
      <c r="H193" s="188"/>
      <c r="I193" s="168"/>
      <c r="J193" s="168"/>
      <c r="K193" s="169"/>
      <c r="L193" s="189"/>
      <c r="M193" s="189"/>
      <c r="N193" s="189"/>
      <c r="O193" s="189"/>
      <c r="P193" s="189"/>
    </row>
    <row r="194" spans="1:16" ht="21.75" customHeight="1" x14ac:dyDescent="0.35">
      <c r="A194" s="183"/>
      <c r="B194" s="184"/>
      <c r="C194" s="184"/>
      <c r="D194" s="190">
        <v>1</v>
      </c>
      <c r="E194" s="191" t="s">
        <v>45</v>
      </c>
      <c r="F194" s="192"/>
      <c r="G194" s="193"/>
      <c r="H194" s="194"/>
      <c r="I194" s="195"/>
      <c r="J194" s="205">
        <f ca="1">IFERROR(__xludf.DUMMYFUNCTION("IMPORTRANGE(""https://docs.google.com/spreadsheets/d/1IYY_tgx_IHuhSq3AJ5eI5OnqOPBNLWSHKh2a30DoXe8/edit?usp=sharing"",""พังงา!J119"")"),0)</f>
        <v>0</v>
      </c>
      <c r="K194" s="169"/>
      <c r="L194" s="189"/>
      <c r="M194" s="189"/>
      <c r="N194" s="189"/>
      <c r="O194" s="189"/>
      <c r="P194" s="189"/>
    </row>
    <row r="195" spans="1:16" ht="21.75" customHeight="1" x14ac:dyDescent="0.35">
      <c r="A195" s="183"/>
      <c r="B195" s="184"/>
      <c r="C195" s="184"/>
      <c r="D195" s="197">
        <v>2</v>
      </c>
      <c r="E195" s="198" t="s">
        <v>46</v>
      </c>
      <c r="F195" s="199"/>
      <c r="G195" s="200"/>
      <c r="H195" s="194"/>
      <c r="I195" s="195"/>
      <c r="J195" s="196">
        <f ca="1">IFERROR(__xludf.DUMMYFUNCTION("IMPORTRANGE(""https://docs.google.com/spreadsheets/d/1IYY_tgx_IHuhSq3AJ5eI5OnqOPBNLWSHKh2a30DoXe8/edit?usp=sharing"",""พังงา!J120"")"),1)</f>
        <v>1</v>
      </c>
      <c r="K195" s="169"/>
      <c r="L195" s="189"/>
      <c r="M195" s="189"/>
      <c r="N195" s="189"/>
      <c r="O195" s="189"/>
      <c r="P195" s="189"/>
    </row>
    <row r="196" spans="1:16" ht="21.75" customHeight="1" x14ac:dyDescent="0.35">
      <c r="A196" s="183"/>
      <c r="B196" s="184"/>
      <c r="C196" s="184"/>
      <c r="D196" s="201"/>
      <c r="E196" s="202" t="s">
        <v>47</v>
      </c>
      <c r="F196" s="203"/>
      <c r="G196" s="204"/>
      <c r="H196" s="194"/>
      <c r="I196" s="195"/>
      <c r="J196" s="196">
        <f ca="1">IFERROR(__xludf.DUMMYFUNCTION("IMPORTRANGE(""https://docs.google.com/spreadsheets/d/1IYY_tgx_IHuhSq3AJ5eI5OnqOPBNLWSHKh2a30DoXe8/edit?usp=sharing"",""พังงา!J121"")"),0)</f>
        <v>0</v>
      </c>
      <c r="K196" s="169"/>
      <c r="L196" s="189"/>
      <c r="M196" s="189"/>
      <c r="N196" s="189"/>
      <c r="O196" s="189"/>
      <c r="P196" s="189"/>
    </row>
    <row r="197" spans="1:16" ht="21.75" customHeight="1" x14ac:dyDescent="0.35">
      <c r="A197" s="183"/>
      <c r="B197" s="184"/>
      <c r="C197" s="184"/>
      <c r="D197" s="201"/>
      <c r="E197" s="202" t="s">
        <v>48</v>
      </c>
      <c r="F197" s="203"/>
      <c r="G197" s="204"/>
      <c r="H197" s="194"/>
      <c r="I197" s="195"/>
      <c r="J197" s="205">
        <f ca="1">IFERROR(__xludf.DUMMYFUNCTION("IMPORTRANGE(""https://docs.google.com/spreadsheets/d/1IYY_tgx_IHuhSq3AJ5eI5OnqOPBNLWSHKh2a30DoXe8/edit?usp=sharing"",""พังงา!J122"")"),0)</f>
        <v>0</v>
      </c>
      <c r="K197" s="169"/>
      <c r="L197" s="189"/>
      <c r="M197" s="189"/>
      <c r="N197" s="189"/>
      <c r="O197" s="189"/>
      <c r="P197" s="189"/>
    </row>
    <row r="198" spans="1:16" ht="21.75" customHeight="1" x14ac:dyDescent="0.35">
      <c r="A198" s="183"/>
      <c r="B198" s="184"/>
      <c r="C198" s="184"/>
      <c r="D198" s="201"/>
      <c r="E198" s="203"/>
      <c r="F198" s="203" t="s">
        <v>90</v>
      </c>
      <c r="G198" s="204"/>
      <c r="H198" s="188"/>
      <c r="I198" s="195"/>
      <c r="J198" s="195"/>
      <c r="K198" s="169"/>
      <c r="L198" s="189"/>
      <c r="M198" s="189"/>
      <c r="N198" s="189"/>
      <c r="O198" s="189"/>
      <c r="P198" s="189"/>
    </row>
    <row r="199" spans="1:16" ht="21.75" customHeight="1" x14ac:dyDescent="0.35">
      <c r="A199" s="183"/>
      <c r="B199" s="184"/>
      <c r="C199" s="184"/>
      <c r="D199" s="201"/>
      <c r="E199" s="206"/>
      <c r="F199" s="203"/>
      <c r="G199" s="202" t="s">
        <v>91</v>
      </c>
      <c r="H199" s="188" t="s">
        <v>89</v>
      </c>
      <c r="I199" s="195">
        <f ca="1">IFERROR(__xludf.DUMMYFUNCTION("IMPORTRANGE(""https://docs.google.com/spreadsheets/d/1IYY_tgx_IHuhSq3AJ5eI5OnqOPBNLWSHKh2a30DoXe8/edit?usp=sharing"",""พังงา!I124"")"),20000)</f>
        <v>20000</v>
      </c>
      <c r="J199" s="196">
        <f ca="1">IFERROR(__xludf.DUMMYFUNCTION("IMPORTRANGE(""https://docs.google.com/spreadsheets/d/1IYY_tgx_IHuhSq3AJ5eI5OnqOPBNLWSHKh2a30DoXe8/edit?usp=sharing"",""พังงา!J124"")"),0)</f>
        <v>0</v>
      </c>
      <c r="K199" s="169">
        <f t="shared" ref="K199:K201" ca="1" si="70">IF(I199&gt;0,J199*100/I199,0)</f>
        <v>0</v>
      </c>
      <c r="L199" s="189"/>
      <c r="M199" s="189"/>
      <c r="N199" s="189"/>
      <c r="O199" s="189"/>
      <c r="P199" s="189"/>
    </row>
    <row r="200" spans="1:16" ht="21.75" customHeight="1" x14ac:dyDescent="0.35">
      <c r="A200" s="183"/>
      <c r="B200" s="184"/>
      <c r="C200" s="184"/>
      <c r="D200" s="201"/>
      <c r="E200" s="206"/>
      <c r="F200" s="203"/>
      <c r="G200" s="202" t="s">
        <v>92</v>
      </c>
      <c r="H200" s="188" t="s">
        <v>89</v>
      </c>
      <c r="I200" s="195">
        <f ca="1">IFERROR(__xludf.DUMMYFUNCTION("IMPORTRANGE(""https://docs.google.com/spreadsheets/d/1IYY_tgx_IHuhSq3AJ5eI5OnqOPBNLWSHKh2a30DoXe8/edit?usp=sharing"",""พังงา!I125"")"),20000)</f>
        <v>20000</v>
      </c>
      <c r="J200" s="196">
        <f ca="1">IFERROR(__xludf.DUMMYFUNCTION("IMPORTRANGE(""https://docs.google.com/spreadsheets/d/1IYY_tgx_IHuhSq3AJ5eI5OnqOPBNLWSHKh2a30DoXe8/edit?usp=sharing"",""พังงา!J125"")"),0)</f>
        <v>0</v>
      </c>
      <c r="K200" s="169">
        <f t="shared" ca="1" si="70"/>
        <v>0</v>
      </c>
      <c r="L200" s="176"/>
      <c r="M200" s="176"/>
      <c r="N200" s="173"/>
      <c r="O200" s="176"/>
      <c r="P200" s="176"/>
    </row>
    <row r="201" spans="1:16" ht="21.75" customHeight="1" x14ac:dyDescent="0.35">
      <c r="A201" s="183"/>
      <c r="B201" s="184"/>
      <c r="C201" s="184"/>
      <c r="D201" s="201"/>
      <c r="E201" s="206"/>
      <c r="F201" s="203" t="s">
        <v>93</v>
      </c>
      <c r="G201" s="204"/>
      <c r="H201" s="188" t="s">
        <v>37</v>
      </c>
      <c r="I201" s="195">
        <f ca="1">IFERROR(__xludf.DUMMYFUNCTION("IMPORTRANGE(""https://docs.google.com/spreadsheets/d/1IYY_tgx_IHuhSq3AJ5eI5OnqOPBNLWSHKh2a30DoXe8/edit?usp=sharing"",""พังงา!I126"")"),0)</f>
        <v>0</v>
      </c>
      <c r="J201" s="196">
        <f ca="1">IFERROR(__xludf.DUMMYFUNCTION("IMPORTRANGE(""https://docs.google.com/spreadsheets/d/1IYY_tgx_IHuhSq3AJ5eI5OnqOPBNLWSHKh2a30DoXe8/edit?usp=sharing"",""พังงา!J126"")"),0)</f>
        <v>0</v>
      </c>
      <c r="K201" s="169">
        <f t="shared" ca="1" si="70"/>
        <v>0</v>
      </c>
      <c r="L201" s="176"/>
      <c r="M201" s="176"/>
      <c r="N201" s="173"/>
      <c r="O201" s="176"/>
      <c r="P201" s="176"/>
    </row>
    <row r="202" spans="1:16" ht="21.75" customHeight="1" x14ac:dyDescent="0.35">
      <c r="A202" s="183"/>
      <c r="B202" s="184"/>
      <c r="C202" s="184"/>
      <c r="D202" s="201"/>
      <c r="E202" s="202" t="s">
        <v>54</v>
      </c>
      <c r="F202" s="203"/>
      <c r="G202" s="204"/>
      <c r="H202" s="194"/>
      <c r="I202" s="195"/>
      <c r="J202" s="205">
        <f ca="1">IFERROR(__xludf.DUMMYFUNCTION("IMPORTRANGE(""https://docs.google.com/spreadsheets/d/1IYY_tgx_IHuhSq3AJ5eI5OnqOPBNLWSHKh2a30DoXe8/edit?usp=sharing"",""พังงา!J127"")"),0)</f>
        <v>0</v>
      </c>
      <c r="K202" s="169"/>
      <c r="L202" s="189"/>
      <c r="M202" s="189"/>
      <c r="N202" s="189"/>
      <c r="O202" s="189"/>
      <c r="P202" s="189"/>
    </row>
    <row r="203" spans="1:16" ht="21.75" customHeight="1" x14ac:dyDescent="0.35">
      <c r="A203" s="241"/>
      <c r="B203" s="242"/>
      <c r="C203" s="242"/>
      <c r="D203" s="243">
        <v>3</v>
      </c>
      <c r="E203" s="244" t="s">
        <v>55</v>
      </c>
      <c r="F203" s="245"/>
      <c r="G203" s="246"/>
      <c r="H203" s="247"/>
      <c r="I203" s="248"/>
      <c r="J203" s="293">
        <f ca="1">IFERROR(__xludf.DUMMYFUNCTION("IMPORTRANGE(""https://docs.google.com/spreadsheets/d/1IYY_tgx_IHuhSq3AJ5eI5OnqOPBNLWSHKh2a30DoXe8/edit?usp=sharing"",""พังงา!J128"")"),0)</f>
        <v>0</v>
      </c>
      <c r="K203" s="294"/>
      <c r="L203" s="252"/>
      <c r="M203" s="252"/>
      <c r="N203" s="252"/>
      <c r="O203" s="252"/>
      <c r="P203" s="252"/>
    </row>
    <row r="204" spans="1:16" ht="21.75" customHeight="1" x14ac:dyDescent="0.35">
      <c r="A204" s="277"/>
      <c r="B204" s="278"/>
      <c r="C204" s="295" t="s">
        <v>94</v>
      </c>
      <c r="D204" s="279"/>
      <c r="E204" s="279"/>
      <c r="F204" s="279"/>
      <c r="G204" s="280"/>
      <c r="H204" s="292" t="s">
        <v>37</v>
      </c>
      <c r="I204" s="290">
        <f ca="1">IFERROR(__xludf.DUMMYFUNCTION("IMPORTRANGE(""https://docs.google.com/spreadsheets/d/1IYY_tgx_IHuhSq3AJ5eI5OnqOPBNLWSHKh2a30DoXe8/edit?usp=sharing"",""พังงา!I129"")"),0)</f>
        <v>0</v>
      </c>
      <c r="J204" s="290">
        <f ca="1">IFERROR(__xludf.DUMMYFUNCTION("IMPORTRANGE(""https://docs.google.com/spreadsheets/d/1IYY_tgx_IHuhSq3AJ5eI5OnqOPBNLWSHKh2a30DoXe8/edit?usp=sharing"",""พังงา!J129"")"),0)</f>
        <v>0</v>
      </c>
      <c r="K204" s="291">
        <f ca="1">IF(I204&gt;0,J204*100/I204,0)</f>
        <v>0</v>
      </c>
      <c r="L204" s="284"/>
      <c r="M204" s="284"/>
      <c r="N204" s="284"/>
      <c r="O204" s="284"/>
      <c r="P204" s="284"/>
    </row>
    <row r="205" spans="1:16" ht="21.75" customHeight="1" x14ac:dyDescent="0.35">
      <c r="A205" s="162"/>
      <c r="B205" s="163"/>
      <c r="C205" s="163" t="s">
        <v>16</v>
      </c>
      <c r="D205" s="164" t="s">
        <v>38</v>
      </c>
      <c r="E205" s="165"/>
      <c r="F205" s="165"/>
      <c r="G205" s="166" t="s">
        <v>39</v>
      </c>
      <c r="H205" s="167" t="s">
        <v>12</v>
      </c>
      <c r="I205" s="168" t="s">
        <v>40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 x14ac:dyDescent="0.35">
      <c r="A206" s="162"/>
      <c r="B206" s="163"/>
      <c r="C206" s="163"/>
      <c r="D206" s="172"/>
      <c r="E206" s="165"/>
      <c r="F206" s="165" t="s">
        <v>40</v>
      </c>
      <c r="G206" s="166" t="s">
        <v>41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 x14ac:dyDescent="0.35">
      <c r="A207" s="162"/>
      <c r="B207" s="163"/>
      <c r="C207" s="163"/>
      <c r="D207" s="172"/>
      <c r="E207" s="165"/>
      <c r="F207" s="165"/>
      <c r="G207" s="177" t="s">
        <v>43</v>
      </c>
      <c r="H207" s="167" t="s">
        <v>12</v>
      </c>
      <c r="I207" s="168"/>
      <c r="J207" s="195"/>
      <c r="K207" s="231"/>
      <c r="L207" s="176"/>
      <c r="M207" s="176"/>
      <c r="N207" s="173"/>
      <c r="O207" s="176"/>
      <c r="P207" s="176"/>
    </row>
    <row r="208" spans="1:16" ht="21.75" customHeight="1" x14ac:dyDescent="0.35">
      <c r="A208" s="183"/>
      <c r="B208" s="184"/>
      <c r="C208" s="163" t="s">
        <v>16</v>
      </c>
      <c r="D208" s="185" t="s">
        <v>44</v>
      </c>
      <c r="E208" s="186"/>
      <c r="F208" s="186"/>
      <c r="G208" s="187"/>
      <c r="H208" s="188"/>
      <c r="I208" s="168"/>
      <c r="J208" s="195"/>
      <c r="K208" s="231"/>
      <c r="L208" s="176"/>
      <c r="M208" s="176"/>
      <c r="N208" s="176"/>
      <c r="O208" s="189"/>
      <c r="P208" s="189"/>
    </row>
    <row r="209" spans="1:16" ht="21.75" customHeight="1" x14ac:dyDescent="0.35">
      <c r="A209" s="183"/>
      <c r="B209" s="184"/>
      <c r="C209" s="184"/>
      <c r="D209" s="190">
        <v>1</v>
      </c>
      <c r="E209" s="191" t="s">
        <v>45</v>
      </c>
      <c r="F209" s="192"/>
      <c r="G209" s="193"/>
      <c r="H209" s="194"/>
      <c r="I209" s="195"/>
      <c r="J209" s="195">
        <f ca="1">IFERROR(__xludf.DUMMYFUNCTION("IMPORTRANGE(""https://docs.google.com/spreadsheets/d/1IYY_tgx_IHuhSq3AJ5eI5OnqOPBNLWSHKh2a30DoXe8/edit?usp=sharing"",""พังงา!J134"")"),0)</f>
        <v>0</v>
      </c>
      <c r="K209" s="231"/>
      <c r="L209" s="176"/>
      <c r="M209" s="176"/>
      <c r="N209" s="176"/>
      <c r="O209" s="189"/>
      <c r="P209" s="189"/>
    </row>
    <row r="210" spans="1:16" ht="21.75" customHeight="1" x14ac:dyDescent="0.35">
      <c r="A210" s="183"/>
      <c r="B210" s="184"/>
      <c r="C210" s="184"/>
      <c r="D210" s="197">
        <v>2</v>
      </c>
      <c r="E210" s="198" t="s">
        <v>46</v>
      </c>
      <c r="F210" s="199"/>
      <c r="G210" s="200"/>
      <c r="H210" s="194"/>
      <c r="I210" s="195"/>
      <c r="J210" s="195">
        <f ca="1">IFERROR(__xludf.DUMMYFUNCTION("IMPORTRANGE(""https://docs.google.com/spreadsheets/d/1IYY_tgx_IHuhSq3AJ5eI5OnqOPBNLWSHKh2a30DoXe8/edit?usp=sharing"",""พังงา!J135"")"),0)</f>
        <v>0</v>
      </c>
      <c r="K210" s="231"/>
      <c r="L210" s="176"/>
      <c r="M210" s="176"/>
      <c r="N210" s="176"/>
      <c r="O210" s="189"/>
      <c r="P210" s="189"/>
    </row>
    <row r="211" spans="1:16" ht="21.75" customHeight="1" x14ac:dyDescent="0.35">
      <c r="A211" s="183"/>
      <c r="B211" s="184"/>
      <c r="C211" s="184"/>
      <c r="D211" s="201"/>
      <c r="E211" s="202" t="s">
        <v>47</v>
      </c>
      <c r="F211" s="203"/>
      <c r="G211" s="204"/>
      <c r="H211" s="194"/>
      <c r="I211" s="195"/>
      <c r="J211" s="195">
        <f ca="1">IFERROR(__xludf.DUMMYFUNCTION("IMPORTRANGE(""https://docs.google.com/spreadsheets/d/1IYY_tgx_IHuhSq3AJ5eI5OnqOPBNLWSHKh2a30DoXe8/edit?usp=sharing"",""พังงา!J136"")"),0)</f>
        <v>0</v>
      </c>
      <c r="K211" s="231"/>
      <c r="L211" s="176"/>
      <c r="M211" s="176"/>
      <c r="N211" s="176"/>
      <c r="O211" s="189"/>
      <c r="P211" s="189"/>
    </row>
    <row r="212" spans="1:16" ht="21.75" customHeight="1" x14ac:dyDescent="0.35">
      <c r="A212" s="183"/>
      <c r="B212" s="184"/>
      <c r="C212" s="184"/>
      <c r="D212" s="201"/>
      <c r="E212" s="202" t="s">
        <v>48</v>
      </c>
      <c r="F212" s="203"/>
      <c r="G212" s="204"/>
      <c r="H212" s="194"/>
      <c r="I212" s="195"/>
      <c r="J212" s="195">
        <f ca="1">IFERROR(__xludf.DUMMYFUNCTION("IMPORTRANGE(""https://docs.google.com/spreadsheets/d/1IYY_tgx_IHuhSq3AJ5eI5OnqOPBNLWSHKh2a30DoXe8/edit?usp=sharing"",""พังงา!J137"")"),0)</f>
        <v>0</v>
      </c>
      <c r="K212" s="231"/>
      <c r="L212" s="176"/>
      <c r="M212" s="176"/>
      <c r="N212" s="176"/>
      <c r="O212" s="189"/>
      <c r="P212" s="189"/>
    </row>
    <row r="213" spans="1:16" ht="21.75" customHeight="1" x14ac:dyDescent="0.35">
      <c r="A213" s="183"/>
      <c r="B213" s="184"/>
      <c r="C213" s="184"/>
      <c r="D213" s="201"/>
      <c r="E213" s="206"/>
      <c r="F213" s="203" t="s">
        <v>95</v>
      </c>
      <c r="G213" s="204"/>
      <c r="H213" s="188" t="s">
        <v>37</v>
      </c>
      <c r="I213" s="195">
        <f ca="1">IFERROR(__xludf.DUMMYFUNCTION("IMPORTRANGE(""https://docs.google.com/spreadsheets/d/1IYY_tgx_IHuhSq3AJ5eI5OnqOPBNLWSHKh2a30DoXe8/edit?usp=sharing"",""พังงา!I138"")"),0)</f>
        <v>0</v>
      </c>
      <c r="J213" s="211">
        <f ca="1">IFERROR(__xludf.DUMMYFUNCTION("IMPORTRANGE(""https://docs.google.com/spreadsheets/d/1IYY_tgx_IHuhSq3AJ5eI5OnqOPBNLWSHKh2a30DoXe8/edit?usp=sharing"",""พังงา!J138"")"),0)</f>
        <v>0</v>
      </c>
      <c r="K213" s="231">
        <f ca="1">IF(I213&gt;0,J213*100/I213,0)</f>
        <v>0</v>
      </c>
      <c r="L213" s="176"/>
      <c r="M213" s="176"/>
      <c r="N213" s="173"/>
      <c r="O213" s="176"/>
      <c r="P213" s="176"/>
    </row>
    <row r="214" spans="1:16" ht="21.75" customHeight="1" x14ac:dyDescent="0.35">
      <c r="A214" s="183"/>
      <c r="B214" s="184"/>
      <c r="C214" s="184"/>
      <c r="D214" s="201"/>
      <c r="E214" s="206"/>
      <c r="F214" s="202" t="s">
        <v>53</v>
      </c>
      <c r="G214" s="204"/>
      <c r="H214" s="188"/>
      <c r="I214" s="195"/>
      <c r="J214" s="195"/>
      <c r="K214" s="231"/>
      <c r="L214" s="176"/>
      <c r="M214" s="176"/>
      <c r="N214" s="176"/>
      <c r="O214" s="189"/>
      <c r="P214" s="189"/>
    </row>
    <row r="215" spans="1:16" ht="21.75" customHeight="1" x14ac:dyDescent="0.35">
      <c r="A215" s="183"/>
      <c r="B215" s="184"/>
      <c r="C215" s="184"/>
      <c r="D215" s="201"/>
      <c r="E215" s="206"/>
      <c r="F215" s="203"/>
      <c r="G215" s="233" t="s">
        <v>96</v>
      </c>
      <c r="H215" s="188" t="s">
        <v>37</v>
      </c>
      <c r="I215" s="195">
        <f ca="1">IFERROR(__xludf.DUMMYFUNCTION("IMPORTRANGE(""https://docs.google.com/spreadsheets/d/1IYY_tgx_IHuhSq3AJ5eI5OnqOPBNLWSHKh2a30DoXe8/edit?usp=sharing"",""พังงา!I140"")"),0)</f>
        <v>0</v>
      </c>
      <c r="J215" s="211">
        <f ca="1">IFERROR(__xludf.DUMMYFUNCTION("IMPORTRANGE(""https://docs.google.com/spreadsheets/d/1IYY_tgx_IHuhSq3AJ5eI5OnqOPBNLWSHKh2a30DoXe8/edit?usp=sharing"",""พังงา!J140"")"),0)</f>
        <v>0</v>
      </c>
      <c r="K215" s="231">
        <f t="shared" ref="K215:K216" ca="1" si="71">IF(I215&gt;0,J215*100/I215,0)</f>
        <v>0</v>
      </c>
      <c r="L215" s="176"/>
      <c r="M215" s="176"/>
      <c r="N215" s="173"/>
      <c r="O215" s="176"/>
      <c r="P215" s="176"/>
    </row>
    <row r="216" spans="1:16" ht="21.75" customHeight="1" x14ac:dyDescent="0.35">
      <c r="A216" s="183"/>
      <c r="B216" s="184"/>
      <c r="C216" s="184"/>
      <c r="D216" s="201"/>
      <c r="E216" s="206"/>
      <c r="F216" s="203"/>
      <c r="G216" s="233" t="s">
        <v>97</v>
      </c>
      <c r="H216" s="188" t="s">
        <v>59</v>
      </c>
      <c r="I216" s="195">
        <f ca="1">IFERROR(__xludf.DUMMYFUNCTION("IMPORTRANGE(""https://docs.google.com/spreadsheets/d/1IYY_tgx_IHuhSq3AJ5eI5OnqOPBNLWSHKh2a30DoXe8/edit?usp=sharing"",""พังงา!I141"")"),0)</f>
        <v>0</v>
      </c>
      <c r="J216" s="211">
        <f ca="1">IFERROR(__xludf.DUMMYFUNCTION("IMPORTRANGE(""https://docs.google.com/spreadsheets/d/1IYY_tgx_IHuhSq3AJ5eI5OnqOPBNLWSHKh2a30DoXe8/edit?usp=sharing"",""พังงา!J141"")"),0)</f>
        <v>0</v>
      </c>
      <c r="K216" s="231">
        <f t="shared" ca="1" si="71"/>
        <v>0</v>
      </c>
      <c r="L216" s="176"/>
      <c r="M216" s="176"/>
      <c r="N216" s="173"/>
      <c r="O216" s="176"/>
      <c r="P216" s="176"/>
    </row>
    <row r="217" spans="1:16" ht="21.75" customHeight="1" x14ac:dyDescent="0.35">
      <c r="A217" s="183"/>
      <c r="B217" s="184"/>
      <c r="C217" s="184"/>
      <c r="D217" s="201"/>
      <c r="E217" s="202" t="s">
        <v>54</v>
      </c>
      <c r="F217" s="203"/>
      <c r="G217" s="204"/>
      <c r="H217" s="194"/>
      <c r="I217" s="195"/>
      <c r="J217" s="195">
        <f ca="1">IFERROR(__xludf.DUMMYFUNCTION("IMPORTRANGE(""https://docs.google.com/spreadsheets/d/1IYY_tgx_IHuhSq3AJ5eI5OnqOPBNLWSHKh2a30DoXe8/edit?usp=sharing"",""พังงา!J142"")"),0)</f>
        <v>0</v>
      </c>
      <c r="K217" s="231"/>
      <c r="L217" s="176"/>
      <c r="M217" s="176"/>
      <c r="N217" s="176"/>
      <c r="O217" s="189"/>
      <c r="P217" s="189"/>
    </row>
    <row r="218" spans="1:16" ht="21.75" customHeight="1" x14ac:dyDescent="0.35">
      <c r="A218" s="241"/>
      <c r="B218" s="242"/>
      <c r="C218" s="242"/>
      <c r="D218" s="243">
        <v>3</v>
      </c>
      <c r="E218" s="244" t="s">
        <v>55</v>
      </c>
      <c r="F218" s="245"/>
      <c r="G218" s="246"/>
      <c r="H218" s="247"/>
      <c r="I218" s="248"/>
      <c r="J218" s="249">
        <f ca="1">IFERROR(__xludf.DUMMYFUNCTION("IMPORTRANGE(""https://docs.google.com/spreadsheets/d/1IYY_tgx_IHuhSq3AJ5eI5OnqOPBNLWSHKh2a30DoXe8/edit?usp=sharing"",""พังงา!J143"")"),0)</f>
        <v>0</v>
      </c>
      <c r="K218" s="250"/>
      <c r="L218" s="251"/>
      <c r="M218" s="251"/>
      <c r="N218" s="251"/>
      <c r="O218" s="252"/>
      <c r="P218" s="252"/>
    </row>
    <row r="219" spans="1:16" ht="21.75" customHeight="1" x14ac:dyDescent="0.35">
      <c r="A219" s="269"/>
      <c r="B219" s="270" t="s">
        <v>98</v>
      </c>
      <c r="C219" s="271"/>
      <c r="D219" s="270"/>
      <c r="E219" s="270"/>
      <c r="F219" s="270"/>
      <c r="G219" s="272"/>
      <c r="H219" s="273" t="s">
        <v>37</v>
      </c>
      <c r="I219" s="274">
        <f ca="1">IFERROR(__xludf.DUMMYFUNCTION("IMPORTRANGE(""https://docs.google.com/spreadsheets/d/1IYY_tgx_IHuhSq3AJ5eI5OnqOPBNLWSHKh2a30DoXe8/edit?usp=sharing"",""พังงา!I144"")"),15)</f>
        <v>15</v>
      </c>
      <c r="J219" s="274">
        <f ca="1">IFERROR(__xludf.DUMMYFUNCTION("IMPORTRANGE(""https://docs.google.com/spreadsheets/d/1IYY_tgx_IHuhSq3AJ5eI5OnqOPBNLWSHKh2a30DoXe8/edit?usp=sharing"",""พังงา!J144"")"),15)</f>
        <v>15</v>
      </c>
      <c r="K219" s="275">
        <f ca="1">IF(I219&gt;0,J219*100/I219,0)</f>
        <v>100</v>
      </c>
      <c r="L219" s="276"/>
      <c r="M219" s="276"/>
      <c r="N219" s="276"/>
      <c r="O219" s="275"/>
      <c r="P219" s="275"/>
    </row>
    <row r="220" spans="1:16" ht="21.75" customHeight="1" x14ac:dyDescent="0.45">
      <c r="A220" s="150"/>
      <c r="B220" s="151"/>
      <c r="C220" s="152" t="s">
        <v>16</v>
      </c>
      <c r="D220" s="552" t="s">
        <v>17</v>
      </c>
      <c r="E220" s="543"/>
      <c r="F220" s="543"/>
      <c r="G220" s="543"/>
      <c r="H220" s="153" t="s">
        <v>12</v>
      </c>
      <c r="I220" s="168"/>
      <c r="J220" s="168"/>
      <c r="K220" s="169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8"/>
      <c r="J221" s="168"/>
      <c r="K221" s="169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8"/>
      <c r="J222" s="168"/>
      <c r="K222" s="169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5">
      <c r="A223" s="162"/>
      <c r="B223" s="163"/>
      <c r="C223" s="163" t="s">
        <v>16</v>
      </c>
      <c r="D223" s="164" t="s">
        <v>38</v>
      </c>
      <c r="E223" s="165"/>
      <c r="F223" s="165"/>
      <c r="G223" s="166" t="s">
        <v>39</v>
      </c>
      <c r="H223" s="167" t="s">
        <v>12</v>
      </c>
      <c r="I223" s="168" t="s">
        <v>40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 x14ac:dyDescent="0.35">
      <c r="A224" s="162"/>
      <c r="B224" s="163"/>
      <c r="C224" s="163"/>
      <c r="D224" s="172"/>
      <c r="E224" s="165"/>
      <c r="F224" s="165" t="s">
        <v>40</v>
      </c>
      <c r="G224" s="166" t="s">
        <v>41</v>
      </c>
      <c r="H224" s="167" t="s">
        <v>12</v>
      </c>
      <c r="I224" s="168"/>
      <c r="J224" s="168"/>
      <c r="K224" s="169"/>
      <c r="L224" s="173">
        <f ca="1">L225+L226</f>
        <v>21125</v>
      </c>
      <c r="M224" s="174">
        <f ca="1">IFERROR(__xludf.DUMMYFUNCTION("IMPORTRANGE(""https://docs.google.com/spreadsheets/d/1Yj_ptqi66GCucihVvJfMjLAmec39IyEx_6qawtMGysU/edit?usp=sharing"",""สบก!BS87"")"),21125)</f>
        <v>21125</v>
      </c>
      <c r="N224" s="175">
        <f ca="1">IFERROR(__xludf.DUMMYFUNCTION("IMPORTRANGE(""https://docs.google.com/spreadsheets/d/1Yj_ptqi66GCucihVvJfMjLAmec39IyEx_6qawtMGysU/edit?usp=sharing"",""สบก!BT87"")"),21125)</f>
        <v>21125</v>
      </c>
      <c r="O224" s="176">
        <f ca="1">IF(L224&gt;0,N224*100/L224,0)</f>
        <v>100</v>
      </c>
      <c r="P224" s="176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2"/>
      <c r="E225" s="165"/>
      <c r="F225" s="165"/>
      <c r="G225" s="177" t="s">
        <v>42</v>
      </c>
      <c r="H225" s="167" t="s">
        <v>12</v>
      </c>
      <c r="I225" s="168"/>
      <c r="J225" s="168"/>
      <c r="K225" s="169"/>
      <c r="L225" s="174">
        <f ca="1">IFERROR(__xludf.DUMMYFUNCTION("IMPORTRANGE(""https://docs.google.com/spreadsheets/d/1Yj_ptqi66GCucihVvJfMjLAmec39IyEx_6qawtMGysU/edit?usp=sharing"",""สบก!BO87"")"),0)</f>
        <v>0</v>
      </c>
      <c r="M225" s="173"/>
      <c r="N225" s="173"/>
      <c r="O225" s="176"/>
      <c r="P225" s="176"/>
    </row>
    <row r="226" spans="1:16" ht="21.75" customHeight="1" x14ac:dyDescent="0.35">
      <c r="A226" s="162"/>
      <c r="B226" s="163"/>
      <c r="C226" s="163"/>
      <c r="D226" s="172"/>
      <c r="E226" s="165"/>
      <c r="F226" s="165"/>
      <c r="G226" s="177" t="s">
        <v>43</v>
      </c>
      <c r="H226" s="167" t="s">
        <v>12</v>
      </c>
      <c r="I226" s="168"/>
      <c r="J226" s="168"/>
      <c r="K226" s="169"/>
      <c r="L226" s="174">
        <f ca="1">IFERROR(__xludf.DUMMYFUNCTION("IMPORTRANGE(""https://docs.google.com/spreadsheets/d/1Yj_ptqi66GCucihVvJfMjLAmec39IyEx_6qawtMGysU/edit?usp=sharing"",""สบก!BP87"")"),21125)</f>
        <v>21125</v>
      </c>
      <c r="M226" s="173"/>
      <c r="N226" s="173"/>
      <c r="O226" s="176"/>
      <c r="P226" s="176"/>
    </row>
    <row r="227" spans="1:16" ht="21.75" customHeight="1" x14ac:dyDescent="0.45">
      <c r="A227" s="178"/>
      <c r="B227" s="81"/>
      <c r="C227" s="82" t="s">
        <v>16</v>
      </c>
      <c r="D227" s="549" t="s">
        <v>23</v>
      </c>
      <c r="E227" s="545"/>
      <c r="F227" s="89"/>
      <c r="G227" s="83" t="s">
        <v>18</v>
      </c>
      <c r="H227" s="179" t="s">
        <v>12</v>
      </c>
      <c r="I227" s="208"/>
      <c r="J227" s="208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80"/>
      <c r="B228" s="95"/>
      <c r="C228" s="95"/>
      <c r="D228" s="181"/>
      <c r="E228" s="96"/>
      <c r="F228" s="96"/>
      <c r="G228" s="97" t="s">
        <v>19</v>
      </c>
      <c r="H228" s="182" t="s">
        <v>12</v>
      </c>
      <c r="I228" s="208"/>
      <c r="J228" s="208"/>
      <c r="K228" s="296"/>
      <c r="L228" s="91">
        <f ca="1">IFERROR(__xludf.DUMMYFUNCTION("IMPORTRANGE(""https://docs.google.com/spreadsheets/d/1Yj_ptqi66GCucihVvJfMjLAmec39IyEx_6qawtMGysU/edit?usp=sharing"",""สบก!BQ87"")"),0)</f>
        <v>0</v>
      </c>
      <c r="M228" s="101"/>
      <c r="N228" s="91">
        <f ca="1">IFERROR(__xludf.DUMMYFUNCTION("IMPORTRANGE(""https://docs.google.com/spreadsheets/d/1Yj_ptqi66GCucihVvJfMjLAmec39IyEx_6qawtMGysU/edit?usp=sharing"",""สบก!BU87"")"),0)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3"/>
      <c r="B229" s="297"/>
      <c r="C229" s="271" t="s">
        <v>99</v>
      </c>
      <c r="D229" s="270"/>
      <c r="E229" s="270"/>
      <c r="F229" s="270"/>
      <c r="G229" s="272"/>
      <c r="H229" s="273" t="s">
        <v>37</v>
      </c>
      <c r="I229" s="274">
        <f ca="1">IFERROR(__xludf.DUMMYFUNCTION("IMPORTRANGE(""https://docs.google.com/spreadsheets/d/1IYY_tgx_IHuhSq3AJ5eI5OnqOPBNLWSHKh2a30DoXe8/edit?usp=sharing"",""พังงา!I149"")"),15)</f>
        <v>15</v>
      </c>
      <c r="J229" s="274">
        <f ca="1">IFERROR(__xludf.DUMMYFUNCTION("IMPORTRANGE(""https://docs.google.com/spreadsheets/d/1IYY_tgx_IHuhSq3AJ5eI5OnqOPBNLWSHKh2a30DoXe8/edit?usp=sharing"",""พังงา!J149"")"),15)</f>
        <v>15</v>
      </c>
      <c r="K229" s="275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3"/>
      <c r="B230" s="184"/>
      <c r="C230" s="163" t="s">
        <v>16</v>
      </c>
      <c r="D230" s="185" t="s">
        <v>44</v>
      </c>
      <c r="E230" s="186"/>
      <c r="F230" s="186"/>
      <c r="G230" s="187"/>
      <c r="H230" s="188"/>
      <c r="I230" s="168"/>
      <c r="J230" s="168"/>
      <c r="K230" s="169"/>
      <c r="L230" s="189"/>
      <c r="M230" s="189"/>
      <c r="N230" s="189"/>
      <c r="O230" s="189"/>
      <c r="P230" s="189"/>
    </row>
    <row r="231" spans="1:16" ht="21.75" customHeight="1" x14ac:dyDescent="0.35">
      <c r="A231" s="183"/>
      <c r="B231" s="184"/>
      <c r="C231" s="184"/>
      <c r="D231" s="190">
        <v>1</v>
      </c>
      <c r="E231" s="191" t="s">
        <v>45</v>
      </c>
      <c r="F231" s="192"/>
      <c r="G231" s="193"/>
      <c r="H231" s="194"/>
      <c r="I231" s="195"/>
      <c r="J231" s="205">
        <f ca="1">IFERROR(__xludf.DUMMYFUNCTION("IMPORTRANGE(""https://docs.google.com/spreadsheets/d/1IYY_tgx_IHuhSq3AJ5eI5OnqOPBNLWSHKh2a30DoXe8/edit?usp=sharing"",""พังงา!J151"")"),0)</f>
        <v>0</v>
      </c>
      <c r="K231" s="169"/>
      <c r="L231" s="189"/>
      <c r="M231" s="189"/>
      <c r="N231" s="189"/>
      <c r="O231" s="189"/>
      <c r="P231" s="189"/>
    </row>
    <row r="232" spans="1:16" ht="21.75" customHeight="1" x14ac:dyDescent="0.35">
      <c r="A232" s="183"/>
      <c r="B232" s="184"/>
      <c r="C232" s="184"/>
      <c r="D232" s="197">
        <v>2</v>
      </c>
      <c r="E232" s="198" t="s">
        <v>46</v>
      </c>
      <c r="F232" s="199"/>
      <c r="G232" s="200"/>
      <c r="H232" s="194"/>
      <c r="I232" s="195"/>
      <c r="J232" s="196">
        <f ca="1">IFERROR(__xludf.DUMMYFUNCTION("IMPORTRANGE(""https://docs.google.com/spreadsheets/d/1IYY_tgx_IHuhSq3AJ5eI5OnqOPBNLWSHKh2a30DoXe8/edit?usp=sharing"",""พังงา!J152"")"),1)</f>
        <v>1</v>
      </c>
      <c r="K232" s="169"/>
      <c r="L232" s="189" t="s">
        <v>40</v>
      </c>
      <c r="M232" s="189"/>
      <c r="N232" s="189" t="s">
        <v>40</v>
      </c>
      <c r="O232" s="189"/>
      <c r="P232" s="189"/>
    </row>
    <row r="233" spans="1:16" ht="21.75" customHeight="1" x14ac:dyDescent="0.35">
      <c r="A233" s="183"/>
      <c r="B233" s="184"/>
      <c r="C233" s="184"/>
      <c r="D233" s="201"/>
      <c r="E233" s="202" t="s">
        <v>47</v>
      </c>
      <c r="F233" s="203"/>
      <c r="G233" s="204"/>
      <c r="H233" s="194"/>
      <c r="I233" s="195"/>
      <c r="J233" s="196">
        <f ca="1">IFERROR(__xludf.DUMMYFUNCTION("IMPORTRANGE(""https://docs.google.com/spreadsheets/d/1IYY_tgx_IHuhSq3AJ5eI5OnqOPBNLWSHKh2a30DoXe8/edit?usp=sharing"",""พังงา!J153"")"),1)</f>
        <v>1</v>
      </c>
      <c r="K233" s="169"/>
      <c r="L233" s="189"/>
      <c r="M233" s="189"/>
      <c r="N233" s="189"/>
      <c r="O233" s="189"/>
      <c r="P233" s="189"/>
    </row>
    <row r="234" spans="1:16" ht="21.75" customHeight="1" x14ac:dyDescent="0.35">
      <c r="A234" s="183"/>
      <c r="B234" s="184"/>
      <c r="C234" s="184"/>
      <c r="D234" s="201"/>
      <c r="E234" s="202" t="s">
        <v>48</v>
      </c>
      <c r="F234" s="203"/>
      <c r="G234" s="204"/>
      <c r="H234" s="194"/>
      <c r="I234" s="195"/>
      <c r="J234" s="205">
        <f ca="1">IFERROR(__xludf.DUMMYFUNCTION("IMPORTRANGE(""https://docs.google.com/spreadsheets/d/1IYY_tgx_IHuhSq3AJ5eI5OnqOPBNLWSHKh2a30DoXe8/edit?usp=sharing"",""พังงา!J154"")"),1)</f>
        <v>1</v>
      </c>
      <c r="K234" s="169"/>
      <c r="L234" s="189"/>
      <c r="M234" s="189"/>
      <c r="N234" s="189"/>
      <c r="O234" s="189"/>
      <c r="P234" s="189"/>
    </row>
    <row r="235" spans="1:16" ht="21.75" customHeight="1" x14ac:dyDescent="0.35">
      <c r="A235" s="183"/>
      <c r="B235" s="184"/>
      <c r="C235" s="184"/>
      <c r="D235" s="201"/>
      <c r="E235" s="206"/>
      <c r="F235" s="203"/>
      <c r="G235" s="299" t="s">
        <v>70</v>
      </c>
      <c r="H235" s="194" t="s">
        <v>37</v>
      </c>
      <c r="I235" s="195">
        <f ca="1">IFERROR(__xludf.DUMMYFUNCTION("IMPORTRANGE(""https://docs.google.com/spreadsheets/d/1IYY_tgx_IHuhSq3AJ5eI5OnqOPBNLWSHKh2a30DoXe8/edit?usp=sharing"",""พังงา!I155"")"),15)</f>
        <v>15</v>
      </c>
      <c r="J235" s="196">
        <f ca="1">IFERROR(__xludf.DUMMYFUNCTION("IMPORTRANGE(""https://docs.google.com/spreadsheets/d/1IYY_tgx_IHuhSq3AJ5eI5OnqOPBNLWSHKh2a30DoXe8/edit?usp=sharing"",""พังงา!J155"")"),15)</f>
        <v>15</v>
      </c>
      <c r="K235" s="169">
        <f ca="1">IF(I235&gt;0,J235*100/I235,0)</f>
        <v>100</v>
      </c>
      <c r="L235" s="189"/>
      <c r="M235" s="189"/>
      <c r="N235" s="189"/>
      <c r="O235" s="189"/>
      <c r="P235" s="189"/>
    </row>
    <row r="236" spans="1:16" ht="21.75" customHeight="1" x14ac:dyDescent="0.35">
      <c r="A236" s="183"/>
      <c r="B236" s="184"/>
      <c r="C236" s="184"/>
      <c r="D236" s="201"/>
      <c r="E236" s="202" t="s">
        <v>54</v>
      </c>
      <c r="F236" s="203"/>
      <c r="G236" s="204"/>
      <c r="H236" s="194"/>
      <c r="I236" s="195"/>
      <c r="J236" s="205">
        <f ca="1">IFERROR(__xludf.DUMMYFUNCTION("IMPORTRANGE(""https://docs.google.com/spreadsheets/d/1IYY_tgx_IHuhSq3AJ5eI5OnqOPBNLWSHKh2a30DoXe8/edit?usp=sharing"",""พังงา!J156"")"),0)</f>
        <v>0</v>
      </c>
      <c r="K236" s="169"/>
      <c r="L236" s="189"/>
      <c r="M236" s="189"/>
      <c r="N236" s="189"/>
      <c r="O236" s="189"/>
      <c r="P236" s="189"/>
    </row>
    <row r="237" spans="1:16" ht="21.75" customHeight="1" x14ac:dyDescent="0.35">
      <c r="A237" s="183"/>
      <c r="B237" s="184"/>
      <c r="C237" s="184"/>
      <c r="D237" s="213">
        <v>3</v>
      </c>
      <c r="E237" s="214" t="s">
        <v>55</v>
      </c>
      <c r="F237" s="215"/>
      <c r="G237" s="216"/>
      <c r="H237" s="194"/>
      <c r="I237" s="195"/>
      <c r="J237" s="217">
        <f ca="1">IFERROR(__xludf.DUMMYFUNCTION("IMPORTRANGE(""https://docs.google.com/spreadsheets/d/1IYY_tgx_IHuhSq3AJ5eI5OnqOPBNLWSHKh2a30DoXe8/edit?usp=sharing"",""พังงา!J157"")"),0)</f>
        <v>0</v>
      </c>
      <c r="K237" s="169"/>
      <c r="L237" s="189"/>
      <c r="M237" s="189"/>
      <c r="N237" s="189"/>
      <c r="O237" s="189"/>
      <c r="P237" s="189"/>
    </row>
    <row r="238" spans="1:16" ht="21.75" customHeight="1" x14ac:dyDescent="0.35">
      <c r="A238" s="183"/>
      <c r="B238" s="184"/>
      <c r="C238" s="271" t="s">
        <v>100</v>
      </c>
      <c r="D238" s="300"/>
      <c r="E238" s="270"/>
      <c r="F238" s="270"/>
      <c r="G238" s="272"/>
      <c r="H238" s="273" t="s">
        <v>37</v>
      </c>
      <c r="I238" s="274">
        <f ca="1">IFERROR(__xludf.DUMMYFUNCTION("IMPORTRANGE(""https://docs.google.com/spreadsheets/d/1IYY_tgx_IHuhSq3AJ5eI5OnqOPBNLWSHKh2a30DoXe8/edit?usp=sharing"",""พังงา!I158"")"),0)</f>
        <v>0</v>
      </c>
      <c r="J238" s="274">
        <f ca="1">IFERROR(__xludf.DUMMYFUNCTION("IMPORTRANGE(""https://docs.google.com/spreadsheets/d/1IYY_tgx_IHuhSq3AJ5eI5OnqOPBNLWSHKh2a30DoXe8/edit?usp=sharing"",""พังงา!J158"")"),0)</f>
        <v>0</v>
      </c>
      <c r="K238" s="275">
        <f ca="1">IF(I238&gt;0,J238*100/I238,0)</f>
        <v>0</v>
      </c>
      <c r="L238" s="189"/>
      <c r="M238" s="189"/>
      <c r="N238" s="189"/>
      <c r="O238" s="189"/>
      <c r="P238" s="189"/>
    </row>
    <row r="239" spans="1:16" ht="21.75" customHeight="1" x14ac:dyDescent="0.35">
      <c r="A239" s="183"/>
      <c r="B239" s="184"/>
      <c r="C239" s="163" t="s">
        <v>16</v>
      </c>
      <c r="D239" s="185" t="s">
        <v>44</v>
      </c>
      <c r="E239" s="186"/>
      <c r="F239" s="186"/>
      <c r="G239" s="187"/>
      <c r="H239" s="188"/>
      <c r="I239" s="168"/>
      <c r="J239" s="168"/>
      <c r="K239" s="169"/>
      <c r="L239" s="189"/>
      <c r="M239" s="189"/>
      <c r="N239" s="189"/>
      <c r="O239" s="189"/>
      <c r="P239" s="189"/>
    </row>
    <row r="240" spans="1:16" ht="21.75" customHeight="1" x14ac:dyDescent="0.35">
      <c r="A240" s="183"/>
      <c r="B240" s="184"/>
      <c r="C240" s="184"/>
      <c r="D240" s="190">
        <v>1</v>
      </c>
      <c r="E240" s="191" t="s">
        <v>45</v>
      </c>
      <c r="F240" s="192"/>
      <c r="G240" s="193"/>
      <c r="H240" s="194"/>
      <c r="I240" s="195"/>
      <c r="J240" s="195" t="str">
        <f ca="1">IFERROR(__xludf.DUMMYFUNCTION("IMPORTRANGE(""https://docs.google.com/spreadsheets/d/1IYY_tgx_IHuhSq3AJ5eI5OnqOPBNLWSHKh2a30DoXe8/edit?usp=sharing"",""พังงา!J159"")"),"")</f>
        <v/>
      </c>
      <c r="K240" s="169"/>
      <c r="L240" s="189"/>
      <c r="M240" s="189"/>
      <c r="N240" s="189"/>
      <c r="O240" s="189"/>
      <c r="P240" s="189"/>
    </row>
    <row r="241" spans="1:16" ht="21.75" customHeight="1" x14ac:dyDescent="0.35">
      <c r="A241" s="183"/>
      <c r="B241" s="184"/>
      <c r="C241" s="184"/>
      <c r="D241" s="197">
        <v>2</v>
      </c>
      <c r="E241" s="198" t="s">
        <v>46</v>
      </c>
      <c r="F241" s="199"/>
      <c r="G241" s="200"/>
      <c r="H241" s="194"/>
      <c r="I241" s="195"/>
      <c r="J241" s="195">
        <f ca="1">IFERROR(__xludf.DUMMYFUNCTION("IMPORTRANGE(""https://docs.google.com/spreadsheets/d/1IYY_tgx_IHuhSq3AJ5eI5OnqOPBNLWSHKh2a30DoXe8/edit?usp=sharing"",""พังงา!J161"")"),0)</f>
        <v>0</v>
      </c>
      <c r="K241" s="169"/>
      <c r="L241" s="189" t="s">
        <v>40</v>
      </c>
      <c r="M241" s="189"/>
      <c r="N241" s="189" t="s">
        <v>40</v>
      </c>
      <c r="O241" s="189"/>
      <c r="P241" s="189"/>
    </row>
    <row r="242" spans="1:16" ht="21.75" customHeight="1" x14ac:dyDescent="0.35">
      <c r="A242" s="183"/>
      <c r="B242" s="184"/>
      <c r="C242" s="184"/>
      <c r="D242" s="201"/>
      <c r="E242" s="202" t="s">
        <v>47</v>
      </c>
      <c r="F242" s="203"/>
      <c r="G242" s="204"/>
      <c r="H242" s="194"/>
      <c r="I242" s="195"/>
      <c r="J242" s="195">
        <f ca="1">IFERROR(__xludf.DUMMYFUNCTION("IMPORTRANGE(""https://docs.google.com/spreadsheets/d/1IYY_tgx_IHuhSq3AJ5eI5OnqOPBNLWSHKh2a30DoXe8/edit?usp=sharing"",""พังงา!J162"")"),0)</f>
        <v>0</v>
      </c>
      <c r="K242" s="169"/>
      <c r="L242" s="189"/>
      <c r="M242" s="189"/>
      <c r="N242" s="189"/>
      <c r="O242" s="189"/>
      <c r="P242" s="189"/>
    </row>
    <row r="243" spans="1:16" ht="21.75" customHeight="1" x14ac:dyDescent="0.35">
      <c r="A243" s="183"/>
      <c r="B243" s="184"/>
      <c r="C243" s="184"/>
      <c r="D243" s="201"/>
      <c r="E243" s="202" t="s">
        <v>48</v>
      </c>
      <c r="F243" s="203"/>
      <c r="G243" s="204"/>
      <c r="H243" s="194"/>
      <c r="I243" s="195"/>
      <c r="J243" s="195">
        <f ca="1">IFERROR(__xludf.DUMMYFUNCTION("IMPORTRANGE(""https://docs.google.com/spreadsheets/d/1IYY_tgx_IHuhSq3AJ5eI5OnqOPBNLWSHKh2a30DoXe8/edit?usp=sharing"",""พังงา!J163"")"),0)</f>
        <v>0</v>
      </c>
      <c r="K243" s="169"/>
      <c r="L243" s="189"/>
      <c r="M243" s="189"/>
      <c r="N243" s="189"/>
      <c r="O243" s="189"/>
      <c r="P243" s="189"/>
    </row>
    <row r="244" spans="1:16" ht="21.75" customHeight="1" x14ac:dyDescent="0.35">
      <c r="A244" s="183"/>
      <c r="B244" s="184"/>
      <c r="C244" s="184"/>
      <c r="D244" s="201"/>
      <c r="E244" s="203"/>
      <c r="F244" s="202" t="s">
        <v>101</v>
      </c>
      <c r="G244" s="203"/>
      <c r="H244" s="194" t="s">
        <v>37</v>
      </c>
      <c r="I244" s="211">
        <f ca="1">IFERROR(__xludf.DUMMYFUNCTION("IMPORTRANGE(""https://docs.google.com/spreadsheets/d/1IYY_tgx_IHuhSq3AJ5eI5OnqOPBNLWSHKh2a30DoXe8/edit?usp=sharing"",""พังงา!I164"")"),0)</f>
        <v>0</v>
      </c>
      <c r="J244" s="195">
        <f ca="1">IFERROR(__xludf.DUMMYFUNCTION("IMPORTRANGE(""https://docs.google.com/spreadsheets/d/1IYY_tgx_IHuhSq3AJ5eI5OnqOPBNLWSHKh2a30DoXe8/edit?usp=sharing"",""พังงา!J164"")"),0)</f>
        <v>0</v>
      </c>
      <c r="K244" s="169">
        <f ca="1">IF(I244&gt;0,J244*100/I244,0)</f>
        <v>0</v>
      </c>
      <c r="L244" s="189"/>
      <c r="M244" s="189"/>
      <c r="N244" s="189"/>
      <c r="O244" s="189"/>
      <c r="P244" s="189"/>
    </row>
    <row r="245" spans="1:16" ht="21.75" customHeight="1" x14ac:dyDescent="0.35">
      <c r="A245" s="183"/>
      <c r="B245" s="184"/>
      <c r="C245" s="184"/>
      <c r="D245" s="201"/>
      <c r="E245" s="202" t="s">
        <v>54</v>
      </c>
      <c r="F245" s="203"/>
      <c r="G245" s="204"/>
      <c r="H245" s="194"/>
      <c r="I245" s="195"/>
      <c r="J245" s="195">
        <f ca="1">IFERROR(__xludf.DUMMYFUNCTION("IMPORTRANGE(""https://docs.google.com/spreadsheets/d/1IYY_tgx_IHuhSq3AJ5eI5OnqOPBNLWSHKh2a30DoXe8/edit?usp=sharing"",""พังงา!J165"")"),0)</f>
        <v>0</v>
      </c>
      <c r="K245" s="169"/>
      <c r="L245" s="189"/>
      <c r="M245" s="189"/>
      <c r="N245" s="189"/>
      <c r="O245" s="189"/>
      <c r="P245" s="189"/>
    </row>
    <row r="246" spans="1:16" ht="21.75" customHeight="1" x14ac:dyDescent="0.35">
      <c r="A246" s="241"/>
      <c r="B246" s="242"/>
      <c r="C246" s="242"/>
      <c r="D246" s="243">
        <v>3</v>
      </c>
      <c r="E246" s="244" t="s">
        <v>55</v>
      </c>
      <c r="F246" s="245"/>
      <c r="G246" s="246"/>
      <c r="H246" s="247"/>
      <c r="I246" s="248"/>
      <c r="J246" s="249">
        <f ca="1">IFERROR(__xludf.DUMMYFUNCTION("IMPORTRANGE(""https://docs.google.com/spreadsheets/d/1IYY_tgx_IHuhSq3AJ5eI5OnqOPBNLWSHKh2a30DoXe8/edit?usp=sharing"",""พังงา!J166"")"),0)</f>
        <v>0</v>
      </c>
      <c r="K246" s="294"/>
      <c r="L246" s="252"/>
      <c r="M246" s="252"/>
      <c r="N246" s="252"/>
      <c r="O246" s="252"/>
      <c r="P246" s="252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IFERROR(__xludf.DUMMYFUNCTION("IMPORTRANGE(""https://docs.google.com/spreadsheets/d/1IYY_tgx_IHuhSq3AJ5eI5OnqOPBNLWSHKh2a30DoXe8/edit?usp=sharing"",""พังงา!I169"")"),0)</f>
        <v>0</v>
      </c>
      <c r="J249" s="322">
        <f ca="1">IFERROR(__xludf.DUMMYFUNCTION("IMPORTRANGE(""https://docs.google.com/spreadsheets/d/1IYY_tgx_IHuhSq3AJ5eI5OnqOPBNLWSHKh2a30DoXe8/edit?usp=sharing"",""พังงา!J169"")"),0)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52" t="s">
        <v>17</v>
      </c>
      <c r="E250" s="543"/>
      <c r="F250" s="543"/>
      <c r="G250" s="543"/>
      <c r="H250" s="153" t="s">
        <v>12</v>
      </c>
      <c r="I250" s="168"/>
      <c r="J250" s="168"/>
      <c r="K250" s="169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8"/>
      <c r="J251" s="168"/>
      <c r="K251" s="169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8"/>
      <c r="J252" s="168"/>
      <c r="K252" s="169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5">
      <c r="A253" s="162"/>
      <c r="B253" s="163"/>
      <c r="C253" s="163" t="s">
        <v>16</v>
      </c>
      <c r="D253" s="164" t="s">
        <v>38</v>
      </c>
      <c r="E253" s="165"/>
      <c r="F253" s="165"/>
      <c r="G253" s="166" t="s">
        <v>39</v>
      </c>
      <c r="H253" s="167" t="s">
        <v>12</v>
      </c>
      <c r="I253" s="168" t="s">
        <v>40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 x14ac:dyDescent="0.35">
      <c r="A254" s="162"/>
      <c r="B254" s="163"/>
      <c r="C254" s="163"/>
      <c r="D254" s="172"/>
      <c r="E254" s="165"/>
      <c r="F254" s="165" t="s">
        <v>40</v>
      </c>
      <c r="G254" s="166" t="s">
        <v>41</v>
      </c>
      <c r="H254" s="167" t="s">
        <v>12</v>
      </c>
      <c r="I254" s="168"/>
      <c r="J254" s="168"/>
      <c r="K254" s="169"/>
      <c r="L254" s="173">
        <f ca="1">L255+L256</f>
        <v>0</v>
      </c>
      <c r="M254" s="174">
        <f ca="1">IFERROR(__xludf.DUMMYFUNCTION("IMPORTRANGE(""https://docs.google.com/spreadsheets/d/1Yj_ptqi66GCucihVvJfMjLAmec39IyEx_6qawtMGysU/edit?usp=sharing"",""สบก!CB87"")"),0)</f>
        <v>0</v>
      </c>
      <c r="N254" s="175">
        <f ca="1">IFERROR(__xludf.DUMMYFUNCTION("IMPORTRANGE(""https://docs.google.com/spreadsheets/d/1Yj_ptqi66GCucihVvJfMjLAmec39IyEx_6qawtMGysU/edit?usp=sharing"",""สบก!CC87"")"),0)</f>
        <v>0</v>
      </c>
      <c r="O254" s="176">
        <f ca="1">IF(L254&gt;0,N254*100/L254,0)</f>
        <v>0</v>
      </c>
      <c r="P254" s="176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2"/>
      <c r="E255" s="165"/>
      <c r="F255" s="165"/>
      <c r="G255" s="177" t="s">
        <v>42</v>
      </c>
      <c r="H255" s="167" t="s">
        <v>12</v>
      </c>
      <c r="I255" s="168"/>
      <c r="J255" s="168"/>
      <c r="K255" s="169"/>
      <c r="L255" s="174">
        <f ca="1">IFERROR(__xludf.DUMMYFUNCTION("IMPORTRANGE(""https://docs.google.com/spreadsheets/d/1Yj_ptqi66GCucihVvJfMjLAmec39IyEx_6qawtMGysU/edit?usp=sharing"",""สบก!BX87"")"),0)</f>
        <v>0</v>
      </c>
      <c r="M255" s="173"/>
      <c r="N255" s="173"/>
      <c r="O255" s="176"/>
      <c r="P255" s="176"/>
    </row>
    <row r="256" spans="1:16" ht="21.75" customHeight="1" x14ac:dyDescent="0.35">
      <c r="A256" s="162"/>
      <c r="B256" s="163"/>
      <c r="C256" s="163"/>
      <c r="D256" s="172"/>
      <c r="E256" s="165"/>
      <c r="F256" s="165"/>
      <c r="G256" s="177" t="s">
        <v>43</v>
      </c>
      <c r="H256" s="167" t="s">
        <v>12</v>
      </c>
      <c r="I256" s="168"/>
      <c r="J256" s="168"/>
      <c r="K256" s="169"/>
      <c r="L256" s="174">
        <f ca="1">IFERROR(__xludf.DUMMYFUNCTION("IMPORTRANGE(""https://docs.google.com/spreadsheets/d/1Yj_ptqi66GCucihVvJfMjLAmec39IyEx_6qawtMGysU/edit?usp=sharing"",""สบก!BY87"")"),0)</f>
        <v>0</v>
      </c>
      <c r="M256" s="173"/>
      <c r="N256" s="173"/>
      <c r="O256" s="176"/>
      <c r="P256" s="176"/>
    </row>
    <row r="257" spans="1:16" ht="21.75" customHeight="1" x14ac:dyDescent="0.45">
      <c r="A257" s="178"/>
      <c r="B257" s="81"/>
      <c r="C257" s="82" t="s">
        <v>16</v>
      </c>
      <c r="D257" s="549" t="s">
        <v>23</v>
      </c>
      <c r="E257" s="545"/>
      <c r="F257" s="89"/>
      <c r="G257" s="83" t="s">
        <v>18</v>
      </c>
      <c r="H257" s="179" t="s">
        <v>12</v>
      </c>
      <c r="I257" s="168"/>
      <c r="J257" s="168"/>
      <c r="K257" s="169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80"/>
      <c r="B258" s="95"/>
      <c r="C258" s="95"/>
      <c r="D258" s="181"/>
      <c r="E258" s="96"/>
      <c r="F258" s="96"/>
      <c r="G258" s="97" t="s">
        <v>19</v>
      </c>
      <c r="H258" s="182" t="s">
        <v>12</v>
      </c>
      <c r="I258" s="168"/>
      <c r="J258" s="168"/>
      <c r="K258" s="169"/>
      <c r="L258" s="91">
        <f ca="1">IFERROR(__xludf.DUMMYFUNCTION("IMPORTRANGE(""https://docs.google.com/spreadsheets/d/1Yj_ptqi66GCucihVvJfMjLAmec39IyEx_6qawtMGysU/edit?usp=sharing"",""สบก!BZ87"")"),0)</f>
        <v>0</v>
      </c>
      <c r="M258" s="101"/>
      <c r="N258" s="91">
        <f ca="1">IFERROR(__xludf.DUMMYFUNCTION("IMPORTRANGE(""https://docs.google.com/spreadsheets/d/1Yj_ptqi66GCucihVvJfMjLAmec39IyEx_6qawtMGysU/edit?usp=sharing"",""สบก!CD87"")"),0)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3"/>
      <c r="B259" s="184"/>
      <c r="C259" s="163" t="s">
        <v>16</v>
      </c>
      <c r="D259" s="185" t="s">
        <v>44</v>
      </c>
      <c r="E259" s="186"/>
      <c r="F259" s="186"/>
      <c r="G259" s="187"/>
      <c r="H259" s="188"/>
      <c r="I259" s="168"/>
      <c r="J259" s="168"/>
      <c r="K259" s="169"/>
      <c r="L259" s="189"/>
      <c r="M259" s="189"/>
      <c r="N259" s="189"/>
      <c r="O259" s="189"/>
      <c r="P259" s="189"/>
    </row>
    <row r="260" spans="1:16" ht="21.75" customHeight="1" x14ac:dyDescent="0.35">
      <c r="A260" s="183"/>
      <c r="B260" s="184"/>
      <c r="C260" s="184"/>
      <c r="D260" s="190">
        <v>1</v>
      </c>
      <c r="E260" s="191" t="s">
        <v>45</v>
      </c>
      <c r="F260" s="192"/>
      <c r="G260" s="193"/>
      <c r="H260" s="194"/>
      <c r="I260" s="195"/>
      <c r="J260" s="196">
        <f ca="1">IFERROR(__xludf.DUMMYFUNCTION("IMPORTRANGE(""https://docs.google.com/spreadsheets/d/1IYY_tgx_IHuhSq3AJ5eI5OnqOPBNLWSHKh2a30DoXe8/edit?usp=sharing"",""พังงา!J175"")"),0)</f>
        <v>0</v>
      </c>
      <c r="K260" s="169"/>
      <c r="L260" s="189"/>
      <c r="M260" s="189"/>
      <c r="N260" s="189"/>
      <c r="O260" s="189"/>
      <c r="P260" s="189"/>
    </row>
    <row r="261" spans="1:16" ht="21.75" customHeight="1" x14ac:dyDescent="0.35">
      <c r="A261" s="183"/>
      <c r="B261" s="184"/>
      <c r="C261" s="184"/>
      <c r="D261" s="197">
        <v>2</v>
      </c>
      <c r="E261" s="198" t="s">
        <v>46</v>
      </c>
      <c r="F261" s="199"/>
      <c r="G261" s="200"/>
      <c r="H261" s="194"/>
      <c r="I261" s="195"/>
      <c r="J261" s="205">
        <f ca="1">IFERROR(__xludf.DUMMYFUNCTION("IMPORTRANGE(""https://docs.google.com/spreadsheets/d/1IYY_tgx_IHuhSq3AJ5eI5OnqOPBNLWSHKh2a30DoXe8/edit?usp=sharing"",""พังงา!J176"")"),0)</f>
        <v>0</v>
      </c>
      <c r="K261" s="169"/>
      <c r="L261" s="189" t="s">
        <v>40</v>
      </c>
      <c r="M261" s="189"/>
      <c r="N261" s="189" t="s">
        <v>40</v>
      </c>
      <c r="O261" s="189"/>
      <c r="P261" s="189"/>
    </row>
    <row r="262" spans="1:16" ht="21.75" customHeight="1" x14ac:dyDescent="0.35">
      <c r="A262" s="183"/>
      <c r="B262" s="184"/>
      <c r="C262" s="184"/>
      <c r="D262" s="201"/>
      <c r="E262" s="202" t="s">
        <v>47</v>
      </c>
      <c r="F262" s="203"/>
      <c r="G262" s="204"/>
      <c r="H262" s="194"/>
      <c r="I262" s="195"/>
      <c r="J262" s="205">
        <f ca="1">IFERROR(__xludf.DUMMYFUNCTION("IMPORTRANGE(""https://docs.google.com/spreadsheets/d/1IYY_tgx_IHuhSq3AJ5eI5OnqOPBNLWSHKh2a30DoXe8/edit?usp=sharing"",""พังงา!J177"")"),0)</f>
        <v>0</v>
      </c>
      <c r="K262" s="169"/>
      <c r="L262" s="189"/>
      <c r="M262" s="189"/>
      <c r="N262" s="189"/>
      <c r="O262" s="189"/>
      <c r="P262" s="189"/>
    </row>
    <row r="263" spans="1:16" ht="21.75" customHeight="1" x14ac:dyDescent="0.35">
      <c r="A263" s="183"/>
      <c r="B263" s="184"/>
      <c r="C263" s="184"/>
      <c r="D263" s="201"/>
      <c r="E263" s="202" t="s">
        <v>48</v>
      </c>
      <c r="F263" s="203"/>
      <c r="G263" s="204"/>
      <c r="H263" s="194"/>
      <c r="I263" s="195"/>
      <c r="J263" s="205">
        <f ca="1">IFERROR(__xludf.DUMMYFUNCTION("IMPORTRANGE(""https://docs.google.com/spreadsheets/d/1IYY_tgx_IHuhSq3AJ5eI5OnqOPBNLWSHKh2a30DoXe8/edit?usp=sharing"",""พังงา!J178"")"),0)</f>
        <v>0</v>
      </c>
      <c r="K263" s="169"/>
      <c r="L263" s="189"/>
      <c r="M263" s="189"/>
      <c r="N263" s="189"/>
      <c r="O263" s="189"/>
      <c r="P263" s="189"/>
    </row>
    <row r="264" spans="1:16" ht="21.75" customHeight="1" x14ac:dyDescent="0.35">
      <c r="A264" s="183"/>
      <c r="B264" s="184"/>
      <c r="C264" s="184"/>
      <c r="D264" s="201"/>
      <c r="E264" s="206"/>
      <c r="F264" s="202" t="s">
        <v>105</v>
      </c>
      <c r="G264" s="204"/>
      <c r="H264" s="188" t="s">
        <v>59</v>
      </c>
      <c r="I264" s="195">
        <f ca="1">IFERROR(__xludf.DUMMYFUNCTION("IMPORTRANGE(""https://docs.google.com/spreadsheets/d/1IYY_tgx_IHuhSq3AJ5eI5OnqOPBNLWSHKh2a30DoXe8/edit?usp=sharing"",""พังงา!I179"")"),0)</f>
        <v>0</v>
      </c>
      <c r="J264" s="196">
        <f ca="1">IFERROR(__xludf.DUMMYFUNCTION("IMPORTRANGE(""https://docs.google.com/spreadsheets/d/1IYY_tgx_IHuhSq3AJ5eI5OnqOPBNLWSHKh2a30DoXe8/edit?usp=sharing"",""พังงา!J179"")"),0)</f>
        <v>0</v>
      </c>
      <c r="K264" s="169">
        <f t="shared" ref="K264:K267" ca="1" si="82">IF(I264&gt;0,J264*100/I264,0)</f>
        <v>0</v>
      </c>
      <c r="L264" s="189"/>
      <c r="M264" s="189"/>
      <c r="N264" s="189"/>
      <c r="O264" s="189"/>
      <c r="P264" s="189"/>
    </row>
    <row r="265" spans="1:16" ht="21.75" customHeight="1" x14ac:dyDescent="0.35">
      <c r="A265" s="183"/>
      <c r="B265" s="184"/>
      <c r="C265" s="184"/>
      <c r="D265" s="201"/>
      <c r="E265" s="206"/>
      <c r="F265" s="202" t="s">
        <v>106</v>
      </c>
      <c r="G265" s="204"/>
      <c r="H265" s="188" t="s">
        <v>37</v>
      </c>
      <c r="I265" s="195">
        <f ca="1">IFERROR(__xludf.DUMMYFUNCTION("IMPORTRANGE(""https://docs.google.com/spreadsheets/d/1IYY_tgx_IHuhSq3AJ5eI5OnqOPBNLWSHKh2a30DoXe8/edit?usp=sharing"",""พังงา!I180"")"),0)</f>
        <v>0</v>
      </c>
      <c r="J265" s="196">
        <f ca="1">IFERROR(__xludf.DUMMYFUNCTION("IMPORTRANGE(""https://docs.google.com/spreadsheets/d/1IYY_tgx_IHuhSq3AJ5eI5OnqOPBNLWSHKh2a30DoXe8/edit?usp=sharing"",""พังงา!J180"")"),0)</f>
        <v>0</v>
      </c>
      <c r="K265" s="169">
        <f t="shared" ca="1" si="82"/>
        <v>0</v>
      </c>
      <c r="L265" s="189"/>
      <c r="M265" s="189"/>
      <c r="N265" s="189"/>
      <c r="O265" s="189"/>
      <c r="P265" s="189"/>
    </row>
    <row r="266" spans="1:16" ht="21.75" customHeight="1" x14ac:dyDescent="0.35">
      <c r="A266" s="183"/>
      <c r="B266" s="184"/>
      <c r="C266" s="184"/>
      <c r="D266" s="201"/>
      <c r="E266" s="206"/>
      <c r="F266" s="202" t="s">
        <v>107</v>
      </c>
      <c r="G266" s="204"/>
      <c r="H266" s="188" t="s">
        <v>37</v>
      </c>
      <c r="I266" s="195">
        <f ca="1">IFERROR(__xludf.DUMMYFUNCTION("IMPORTRANGE(""https://docs.google.com/spreadsheets/d/1IYY_tgx_IHuhSq3AJ5eI5OnqOPBNLWSHKh2a30DoXe8/edit?usp=sharing"",""พังงา!I181"")"),0)</f>
        <v>0</v>
      </c>
      <c r="J266" s="196">
        <f ca="1">IFERROR(__xludf.DUMMYFUNCTION("IMPORTRANGE(""https://docs.google.com/spreadsheets/d/1IYY_tgx_IHuhSq3AJ5eI5OnqOPBNLWSHKh2a30DoXe8/edit?usp=sharing"",""พังงา!J181"")"),0)</f>
        <v>0</v>
      </c>
      <c r="K266" s="169">
        <f t="shared" ca="1" si="82"/>
        <v>0</v>
      </c>
      <c r="L266" s="189"/>
      <c r="M266" s="189"/>
      <c r="N266" s="189"/>
      <c r="O266" s="189"/>
      <c r="P266" s="189"/>
    </row>
    <row r="267" spans="1:16" ht="21.75" customHeight="1" x14ac:dyDescent="0.35">
      <c r="A267" s="183"/>
      <c r="B267" s="184"/>
      <c r="C267" s="184"/>
      <c r="D267" s="201"/>
      <c r="E267" s="206"/>
      <c r="F267" s="202" t="s">
        <v>108</v>
      </c>
      <c r="G267" s="204"/>
      <c r="H267" s="188" t="s">
        <v>37</v>
      </c>
      <c r="I267" s="195">
        <f ca="1">IFERROR(__xludf.DUMMYFUNCTION("IMPORTRANGE(""https://docs.google.com/spreadsheets/d/1IYY_tgx_IHuhSq3AJ5eI5OnqOPBNLWSHKh2a30DoXe8/edit?usp=sharing"",""พังงา!I182"")"),0)</f>
        <v>0</v>
      </c>
      <c r="J267" s="196">
        <f ca="1">IFERROR(__xludf.DUMMYFUNCTION("IMPORTRANGE(""https://docs.google.com/spreadsheets/d/1IYY_tgx_IHuhSq3AJ5eI5OnqOPBNLWSHKh2a30DoXe8/edit?usp=sharing"",""พังงา!J182"")"),0)</f>
        <v>0</v>
      </c>
      <c r="K267" s="169">
        <f t="shared" ca="1" si="82"/>
        <v>0</v>
      </c>
      <c r="L267" s="189"/>
      <c r="M267" s="189"/>
      <c r="N267" s="189"/>
      <c r="O267" s="189"/>
      <c r="P267" s="189"/>
    </row>
    <row r="268" spans="1:16" ht="21.75" customHeight="1" x14ac:dyDescent="0.35">
      <c r="A268" s="183"/>
      <c r="B268" s="184"/>
      <c r="C268" s="184"/>
      <c r="D268" s="201"/>
      <c r="E268" s="202" t="s">
        <v>54</v>
      </c>
      <c r="F268" s="203"/>
      <c r="G268" s="204"/>
      <c r="H268" s="194"/>
      <c r="I268" s="195"/>
      <c r="J268" s="205">
        <f ca="1">IFERROR(__xludf.DUMMYFUNCTION("IMPORTRANGE(""https://docs.google.com/spreadsheets/d/1IYY_tgx_IHuhSq3AJ5eI5OnqOPBNLWSHKh2a30DoXe8/edit?usp=sharing"",""พังงา!J183"")"),0)</f>
        <v>0</v>
      </c>
      <c r="K268" s="169"/>
      <c r="L268" s="189"/>
      <c r="M268" s="189"/>
      <c r="N268" s="189"/>
      <c r="O268" s="189"/>
      <c r="P268" s="189"/>
    </row>
    <row r="269" spans="1:16" ht="21.75" customHeight="1" x14ac:dyDescent="0.35">
      <c r="A269" s="241"/>
      <c r="B269" s="242"/>
      <c r="C269" s="242"/>
      <c r="D269" s="243">
        <v>3</v>
      </c>
      <c r="E269" s="244" t="s">
        <v>55</v>
      </c>
      <c r="F269" s="245"/>
      <c r="G269" s="246"/>
      <c r="H269" s="247"/>
      <c r="I269" s="248"/>
      <c r="J269" s="293">
        <f ca="1">IFERROR(__xludf.DUMMYFUNCTION("IMPORTRANGE(""https://docs.google.com/spreadsheets/d/1IYY_tgx_IHuhSq3AJ5eI5OnqOPBNLWSHKh2a30DoXe8/edit?usp=sharing"",""พังงา!J184"")"),0)</f>
        <v>0</v>
      </c>
      <c r="K269" s="294"/>
      <c r="L269" s="252"/>
      <c r="M269" s="252"/>
      <c r="N269" s="252"/>
      <c r="O269" s="252"/>
      <c r="P269" s="252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IFERROR(__xludf.DUMMYFUNCTION("IMPORTRANGE(""https://docs.google.com/spreadsheets/d/1IYY_tgx_IHuhSq3AJ5eI5OnqOPBNLWSHKh2a30DoXe8/edit?usp=sharing"",""พังงา!I185"")"),15)</f>
        <v>15</v>
      </c>
      <c r="J270" s="322">
        <f ca="1">IFERROR(__xludf.DUMMYFUNCTION("IMPORTRANGE(""https://docs.google.com/spreadsheets/d/1IYY_tgx_IHuhSq3AJ5eI5OnqOPBNLWSHKh2a30DoXe8/edit?usp=sharing"",""พังงา!J185"")"),15)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52" t="s">
        <v>17</v>
      </c>
      <c r="E271" s="543"/>
      <c r="F271" s="543"/>
      <c r="G271" s="543"/>
      <c r="H271" s="153" t="s">
        <v>12</v>
      </c>
      <c r="I271" s="168"/>
      <c r="J271" s="168"/>
      <c r="K271" s="169"/>
      <c r="L271" s="156">
        <f t="shared" ref="L271:N271" ca="1" si="83">L272+L273</f>
        <v>187200</v>
      </c>
      <c r="M271" s="156">
        <f t="shared" ca="1" si="83"/>
        <v>98250</v>
      </c>
      <c r="N271" s="156">
        <f t="shared" ca="1" si="83"/>
        <v>19018</v>
      </c>
      <c r="O271" s="155">
        <f t="shared" ref="O271:O273" ca="1" si="84">IF(L271&gt;0,N271*100/L271,0)</f>
        <v>10.159188034188034</v>
      </c>
      <c r="P271" s="155">
        <f t="shared" ref="P271:P273" ca="1" si="85">IF(M271&gt;0,N271*100/M271,0)</f>
        <v>19.35674300254453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8"/>
      <c r="J272" s="168"/>
      <c r="K272" s="169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8"/>
      <c r="J273" s="168"/>
      <c r="K273" s="169"/>
      <c r="L273" s="161">
        <f t="shared" ref="L273:N273" ca="1" si="87">L275+L279</f>
        <v>187200</v>
      </c>
      <c r="M273" s="161">
        <f t="shared" ca="1" si="87"/>
        <v>98250</v>
      </c>
      <c r="N273" s="161">
        <f t="shared" ca="1" si="87"/>
        <v>19018</v>
      </c>
      <c r="O273" s="160">
        <f t="shared" ca="1" si="84"/>
        <v>10.159188034188034</v>
      </c>
      <c r="P273" s="160">
        <f t="shared" ca="1" si="85"/>
        <v>19.35674300254453</v>
      </c>
    </row>
    <row r="274" spans="1:16" ht="21.75" customHeight="1" x14ac:dyDescent="0.35">
      <c r="A274" s="162"/>
      <c r="B274" s="163"/>
      <c r="C274" s="163" t="s">
        <v>16</v>
      </c>
      <c r="D274" s="164" t="s">
        <v>38</v>
      </c>
      <c r="E274" s="165"/>
      <c r="F274" s="165"/>
      <c r="G274" s="166" t="s">
        <v>39</v>
      </c>
      <c r="H274" s="167" t="s">
        <v>12</v>
      </c>
      <c r="I274" s="168" t="s">
        <v>40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 x14ac:dyDescent="0.35">
      <c r="A275" s="162"/>
      <c r="B275" s="163"/>
      <c r="C275" s="163"/>
      <c r="D275" s="172"/>
      <c r="E275" s="165"/>
      <c r="F275" s="165" t="s">
        <v>40</v>
      </c>
      <c r="G275" s="166" t="s">
        <v>41</v>
      </c>
      <c r="H275" s="167" t="s">
        <v>12</v>
      </c>
      <c r="I275" s="168"/>
      <c r="J275" s="168"/>
      <c r="K275" s="169"/>
      <c r="L275" s="173">
        <f ca="1">L276+L277</f>
        <v>187200</v>
      </c>
      <c r="M275" s="174">
        <f ca="1">IFERROR(__xludf.DUMMYFUNCTION("IMPORTRANGE(""https://docs.google.com/spreadsheets/d/1Yj_ptqi66GCucihVvJfMjLAmec39IyEx_6qawtMGysU/edit?usp=sharing"",""สบก!CK87"")"),98250)</f>
        <v>98250</v>
      </c>
      <c r="N275" s="175">
        <f ca="1">IFERROR(__xludf.DUMMYFUNCTION("IMPORTRANGE(""https://docs.google.com/spreadsheets/d/1Yj_ptqi66GCucihVvJfMjLAmec39IyEx_6qawtMGysU/edit?usp=sharing"",""สบก!CL87"")"),19018)</f>
        <v>19018</v>
      </c>
      <c r="O275" s="176">
        <f ca="1">IF(L275&gt;0,N275*100/L275,0)</f>
        <v>10.159188034188034</v>
      </c>
      <c r="P275" s="176">
        <f ca="1">IF(M275&gt;0,N275*100/M275,0)</f>
        <v>19.35674300254453</v>
      </c>
    </row>
    <row r="276" spans="1:16" ht="21.75" customHeight="1" x14ac:dyDescent="0.35">
      <c r="A276" s="162"/>
      <c r="B276" s="163"/>
      <c r="C276" s="163"/>
      <c r="D276" s="172"/>
      <c r="E276" s="165"/>
      <c r="F276" s="165"/>
      <c r="G276" s="177" t="s">
        <v>42</v>
      </c>
      <c r="H276" s="167" t="s">
        <v>12</v>
      </c>
      <c r="I276" s="168"/>
      <c r="J276" s="168"/>
      <c r="K276" s="169"/>
      <c r="L276" s="174">
        <f ca="1">IFERROR(__xludf.DUMMYFUNCTION("IMPORTRANGE(""https://docs.google.com/spreadsheets/d/1Yj_ptqi66GCucihVvJfMjLAmec39IyEx_6qawtMGysU/edit?usp=sharing"",""สบก!CG87"")"),132000)</f>
        <v>132000</v>
      </c>
      <c r="M276" s="173"/>
      <c r="N276" s="173"/>
      <c r="O276" s="176"/>
      <c r="P276" s="176"/>
    </row>
    <row r="277" spans="1:16" ht="21.75" customHeight="1" x14ac:dyDescent="0.35">
      <c r="A277" s="162"/>
      <c r="B277" s="163"/>
      <c r="C277" s="163"/>
      <c r="D277" s="172"/>
      <c r="E277" s="165"/>
      <c r="F277" s="165"/>
      <c r="G277" s="177" t="s">
        <v>43</v>
      </c>
      <c r="H277" s="167" t="s">
        <v>12</v>
      </c>
      <c r="I277" s="168"/>
      <c r="J277" s="168"/>
      <c r="K277" s="169"/>
      <c r="L277" s="174">
        <f ca="1">IFERROR(__xludf.DUMMYFUNCTION("IMPORTRANGE(""https://docs.google.com/spreadsheets/d/1Yj_ptqi66GCucihVvJfMjLAmec39IyEx_6qawtMGysU/edit?usp=sharing"",""สบก!CH87"")"),55200)</f>
        <v>55200</v>
      </c>
      <c r="M277" s="173"/>
      <c r="N277" s="173"/>
      <c r="O277" s="176"/>
      <c r="P277" s="176"/>
    </row>
    <row r="278" spans="1:16" ht="21.75" customHeight="1" x14ac:dyDescent="0.45">
      <c r="A278" s="178"/>
      <c r="B278" s="81"/>
      <c r="C278" s="82" t="s">
        <v>16</v>
      </c>
      <c r="D278" s="549" t="s">
        <v>23</v>
      </c>
      <c r="E278" s="545"/>
      <c r="F278" s="89"/>
      <c r="G278" s="83" t="s">
        <v>18</v>
      </c>
      <c r="H278" s="179" t="s">
        <v>12</v>
      </c>
      <c r="I278" s="168"/>
      <c r="J278" s="168"/>
      <c r="K278" s="169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80"/>
      <c r="B279" s="95"/>
      <c r="C279" s="95"/>
      <c r="D279" s="181"/>
      <c r="E279" s="96"/>
      <c r="F279" s="96"/>
      <c r="G279" s="97" t="s">
        <v>19</v>
      </c>
      <c r="H279" s="182" t="s">
        <v>12</v>
      </c>
      <c r="I279" s="168"/>
      <c r="J279" s="168"/>
      <c r="K279" s="169"/>
      <c r="L279" s="91">
        <f ca="1">IFERROR(__xludf.DUMMYFUNCTION("IMPORTRANGE(""https://docs.google.com/spreadsheets/d/1Yj_ptqi66GCucihVvJfMjLAmec39IyEx_6qawtMGysU/edit?usp=sharing"",""สบก!CI87"")"),0)</f>
        <v>0</v>
      </c>
      <c r="M279" s="101"/>
      <c r="N279" s="91">
        <f ca="1">IFERROR(__xludf.DUMMYFUNCTION("IMPORTRANGE(""https://docs.google.com/spreadsheets/d/1Yj_ptqi66GCucihVvJfMjLAmec39IyEx_6qawtMGysU/edit?usp=sharing"",""สบก!CM87"")"),0)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3"/>
      <c r="B280" s="184"/>
      <c r="C280" s="163" t="s">
        <v>16</v>
      </c>
      <c r="D280" s="185" t="s">
        <v>44</v>
      </c>
      <c r="E280" s="186"/>
      <c r="F280" s="186"/>
      <c r="G280" s="187"/>
      <c r="H280" s="188"/>
      <c r="I280" s="168"/>
      <c r="J280" s="168"/>
      <c r="K280" s="169"/>
      <c r="L280" s="189"/>
      <c r="M280" s="189"/>
      <c r="N280" s="189"/>
      <c r="O280" s="189"/>
      <c r="P280" s="189"/>
    </row>
    <row r="281" spans="1:16" ht="21.75" customHeight="1" x14ac:dyDescent="0.35">
      <c r="A281" s="183"/>
      <c r="B281" s="184"/>
      <c r="C281" s="184"/>
      <c r="D281" s="190">
        <v>1</v>
      </c>
      <c r="E281" s="191" t="s">
        <v>45</v>
      </c>
      <c r="F281" s="192"/>
      <c r="G281" s="193"/>
      <c r="H281" s="194"/>
      <c r="I281" s="195"/>
      <c r="J281" s="196">
        <f ca="1">IFERROR(__xludf.DUMMYFUNCTION("IMPORTRANGE(""https://docs.google.com/spreadsheets/d/1IYY_tgx_IHuhSq3AJ5eI5OnqOPBNLWSHKh2a30DoXe8/edit?usp=sharing"",""พังงา!J191"")"),0)</f>
        <v>0</v>
      </c>
      <c r="K281" s="169"/>
      <c r="L281" s="189"/>
      <c r="M281" s="189"/>
      <c r="N281" s="189"/>
      <c r="O281" s="189"/>
      <c r="P281" s="189"/>
    </row>
    <row r="282" spans="1:16" ht="21.75" customHeight="1" x14ac:dyDescent="0.35">
      <c r="A282" s="183"/>
      <c r="B282" s="184"/>
      <c r="C282" s="184"/>
      <c r="D282" s="197">
        <v>2</v>
      </c>
      <c r="E282" s="198" t="s">
        <v>46</v>
      </c>
      <c r="F282" s="199"/>
      <c r="G282" s="200"/>
      <c r="H282" s="194"/>
      <c r="I282" s="195"/>
      <c r="J282" s="205">
        <f ca="1">IFERROR(__xludf.DUMMYFUNCTION("IMPORTRANGE(""https://docs.google.com/spreadsheets/d/1IYY_tgx_IHuhSq3AJ5eI5OnqOPBNLWSHKh2a30DoXe8/edit?usp=sharing"",""พังงา!J192"")"),1)</f>
        <v>1</v>
      </c>
      <c r="K282" s="169"/>
      <c r="L282" s="189"/>
      <c r="M282" s="189"/>
      <c r="N282" s="189"/>
      <c r="O282" s="189"/>
      <c r="P282" s="189"/>
    </row>
    <row r="283" spans="1:16" ht="21.75" customHeight="1" x14ac:dyDescent="0.35">
      <c r="A283" s="183"/>
      <c r="B283" s="184"/>
      <c r="C283" s="184"/>
      <c r="D283" s="201"/>
      <c r="E283" s="202" t="s">
        <v>47</v>
      </c>
      <c r="F283" s="203"/>
      <c r="G283" s="204"/>
      <c r="H283" s="194"/>
      <c r="I283" s="195"/>
      <c r="J283" s="205">
        <f ca="1">IFERROR(__xludf.DUMMYFUNCTION("IMPORTRANGE(""https://docs.google.com/spreadsheets/d/1IYY_tgx_IHuhSq3AJ5eI5OnqOPBNLWSHKh2a30DoXe8/edit?usp=sharing"",""พังงา!J193"")"),1)</f>
        <v>1</v>
      </c>
      <c r="K283" s="169"/>
      <c r="L283" s="189"/>
      <c r="M283" s="189"/>
      <c r="N283" s="189"/>
      <c r="O283" s="189"/>
      <c r="P283" s="189"/>
    </row>
    <row r="284" spans="1:16" ht="21.75" customHeight="1" x14ac:dyDescent="0.35">
      <c r="A284" s="183"/>
      <c r="B284" s="184"/>
      <c r="C284" s="184"/>
      <c r="D284" s="201"/>
      <c r="E284" s="202" t="s">
        <v>48</v>
      </c>
      <c r="F284" s="203"/>
      <c r="G284" s="204"/>
      <c r="H284" s="194"/>
      <c r="I284" s="195"/>
      <c r="J284" s="205">
        <f ca="1">IFERROR(__xludf.DUMMYFUNCTION("IMPORTRANGE(""https://docs.google.com/spreadsheets/d/1IYY_tgx_IHuhSq3AJ5eI5OnqOPBNLWSHKh2a30DoXe8/edit?usp=sharing"",""พังงา!J194"")"),1)</f>
        <v>1</v>
      </c>
      <c r="K284" s="169"/>
      <c r="L284" s="189"/>
      <c r="M284" s="189"/>
      <c r="N284" s="189"/>
      <c r="O284" s="189"/>
      <c r="P284" s="189"/>
    </row>
    <row r="285" spans="1:16" ht="21.75" customHeight="1" x14ac:dyDescent="0.35">
      <c r="A285" s="183"/>
      <c r="B285" s="184"/>
      <c r="C285" s="184"/>
      <c r="D285" s="201"/>
      <c r="E285" s="203"/>
      <c r="F285" s="202" t="s">
        <v>110</v>
      </c>
      <c r="G285" s="204"/>
      <c r="H285" s="194" t="s">
        <v>37</v>
      </c>
      <c r="I285" s="195">
        <f ca="1">IFERROR(__xludf.DUMMYFUNCTION("IMPORTRANGE(""https://docs.google.com/spreadsheets/d/1IYY_tgx_IHuhSq3AJ5eI5OnqOPBNLWSHKh2a30DoXe8/edit?usp=sharing"",""พังงา!I195"")"),15)</f>
        <v>15</v>
      </c>
      <c r="J285" s="196">
        <f ca="1">IFERROR(__xludf.DUMMYFUNCTION("IMPORTRANGE(""https://docs.google.com/spreadsheets/d/1IYY_tgx_IHuhSq3AJ5eI5OnqOPBNLWSHKh2a30DoXe8/edit?usp=sharing"",""พังงา!J195"")"),15)</f>
        <v>15</v>
      </c>
      <c r="K285" s="169">
        <f ca="1">IF(I285&gt;0,J285*100/I285,0)</f>
        <v>100</v>
      </c>
      <c r="L285" s="189"/>
      <c r="M285" s="189"/>
      <c r="N285" s="189"/>
      <c r="O285" s="189"/>
      <c r="P285" s="189"/>
    </row>
    <row r="286" spans="1:16" ht="21.75" customHeight="1" x14ac:dyDescent="0.35">
      <c r="A286" s="183"/>
      <c r="B286" s="184"/>
      <c r="C286" s="184"/>
      <c r="D286" s="201"/>
      <c r="E286" s="202" t="s">
        <v>54</v>
      </c>
      <c r="F286" s="203"/>
      <c r="G286" s="204"/>
      <c r="H286" s="194"/>
      <c r="I286" s="195"/>
      <c r="J286" s="205">
        <f ca="1">IFERROR(__xludf.DUMMYFUNCTION("IMPORTRANGE(""https://docs.google.com/spreadsheets/d/1IYY_tgx_IHuhSq3AJ5eI5OnqOPBNLWSHKh2a30DoXe8/edit?usp=sharing"",""พังงา!J196"")"),0)</f>
        <v>0</v>
      </c>
      <c r="K286" s="169"/>
      <c r="L286" s="189"/>
      <c r="M286" s="189"/>
      <c r="N286" s="189"/>
      <c r="O286" s="189"/>
      <c r="P286" s="189"/>
    </row>
    <row r="287" spans="1:16" ht="21.75" customHeight="1" x14ac:dyDescent="0.35">
      <c r="A287" s="183"/>
      <c r="B287" s="184"/>
      <c r="C287" s="184"/>
      <c r="D287" s="213">
        <v>3</v>
      </c>
      <c r="E287" s="214" t="s">
        <v>55</v>
      </c>
      <c r="F287" s="215"/>
      <c r="G287" s="216"/>
      <c r="H287" s="194"/>
      <c r="I287" s="195"/>
      <c r="J287" s="217">
        <f ca="1">IFERROR(__xludf.DUMMYFUNCTION("IMPORTRANGE(""https://docs.google.com/spreadsheets/d/1IYY_tgx_IHuhSq3AJ5eI5OnqOPBNLWSHKh2a30DoXe8/edit?usp=sharing"",""พังงา!J197"")"),0)</f>
        <v>0</v>
      </c>
      <c r="K287" s="169"/>
      <c r="L287" s="189"/>
      <c r="M287" s="189"/>
      <c r="N287" s="189"/>
      <c r="O287" s="189"/>
      <c r="P287" s="189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IFERROR(__xludf.DUMMYFUNCTION("IMPORTRANGE(""https://docs.google.com/spreadsheets/d/1IYY_tgx_IHuhSq3AJ5eI5OnqOPBNLWSHKh2a30DoXe8/edit?usp=sharing"",""พังงา!I199"")"),0)</f>
        <v>0</v>
      </c>
      <c r="J289" s="322">
        <f ca="1">IFERROR(__xludf.DUMMYFUNCTION("IMPORTRANGE(""https://docs.google.com/spreadsheets/d/1IYY_tgx_IHuhSq3AJ5eI5OnqOPBNLWSHKh2a30DoXe8/edit?usp=sharing"",""พังงา!J199"")"),0)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52" t="s">
        <v>17</v>
      </c>
      <c r="E290" s="543"/>
      <c r="F290" s="543"/>
      <c r="G290" s="543"/>
      <c r="H290" s="153" t="s">
        <v>12</v>
      </c>
      <c r="I290" s="195"/>
      <c r="J290" s="195"/>
      <c r="K290" s="231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5"/>
      <c r="J291" s="195"/>
      <c r="K291" s="231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5"/>
      <c r="J292" s="195"/>
      <c r="K292" s="231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5">
      <c r="A293" s="162"/>
      <c r="B293" s="163"/>
      <c r="C293" s="163" t="s">
        <v>16</v>
      </c>
      <c r="D293" s="164" t="s">
        <v>38</v>
      </c>
      <c r="E293" s="165"/>
      <c r="F293" s="165"/>
      <c r="G293" s="166" t="s">
        <v>39</v>
      </c>
      <c r="H293" s="167" t="s">
        <v>12</v>
      </c>
      <c r="I293" s="195" t="s">
        <v>40</v>
      </c>
      <c r="J293" s="195"/>
      <c r="K293" s="231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 x14ac:dyDescent="0.35">
      <c r="A294" s="162"/>
      <c r="B294" s="163"/>
      <c r="C294" s="163"/>
      <c r="D294" s="172"/>
      <c r="E294" s="165"/>
      <c r="F294" s="165" t="s">
        <v>40</v>
      </c>
      <c r="G294" s="166" t="s">
        <v>41</v>
      </c>
      <c r="H294" s="167" t="s">
        <v>12</v>
      </c>
      <c r="I294" s="195"/>
      <c r="J294" s="195"/>
      <c r="K294" s="231"/>
      <c r="L294" s="173">
        <f ca="1">L295+L296</f>
        <v>0</v>
      </c>
      <c r="M294" s="174">
        <f ca="1">IFERROR(__xludf.DUMMYFUNCTION("IMPORTRANGE(""https://docs.google.com/spreadsheets/d/1Yj_ptqi66GCucihVvJfMjLAmec39IyEx_6qawtMGysU/edit?usp=sharing"",""สบก!CT87"")"),0)</f>
        <v>0</v>
      </c>
      <c r="N294" s="175">
        <f ca="1">IFERROR(__xludf.DUMMYFUNCTION("IMPORTRANGE(""https://docs.google.com/spreadsheets/d/1Yj_ptqi66GCucihVvJfMjLAmec39IyEx_6qawtMGysU/edit?usp=sharing"",""สบก!CU87"")"),0)</f>
        <v>0</v>
      </c>
      <c r="O294" s="176">
        <f ca="1">IF(L294&gt;0,N294*100/L294,0)</f>
        <v>0</v>
      </c>
      <c r="P294" s="176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2"/>
      <c r="E295" s="165"/>
      <c r="F295" s="165"/>
      <c r="G295" s="177" t="s">
        <v>42</v>
      </c>
      <c r="H295" s="167" t="s">
        <v>12</v>
      </c>
      <c r="I295" s="195"/>
      <c r="J295" s="195"/>
      <c r="K295" s="231"/>
      <c r="L295" s="174">
        <f ca="1">IFERROR(__xludf.DUMMYFUNCTION("IMPORTRANGE(""https://docs.google.com/spreadsheets/d/1Yj_ptqi66GCucihVvJfMjLAmec39IyEx_6qawtMGysU/edit?usp=sharing"",""สบก!CP87"")"),0)</f>
        <v>0</v>
      </c>
      <c r="M295" s="173"/>
      <c r="N295" s="173"/>
      <c r="O295" s="176"/>
      <c r="P295" s="176"/>
    </row>
    <row r="296" spans="1:16" ht="21.75" customHeight="1" x14ac:dyDescent="0.35">
      <c r="A296" s="162"/>
      <c r="B296" s="163"/>
      <c r="C296" s="163"/>
      <c r="D296" s="172"/>
      <c r="E296" s="165"/>
      <c r="F296" s="165"/>
      <c r="G296" s="177" t="s">
        <v>43</v>
      </c>
      <c r="H296" s="167" t="s">
        <v>12</v>
      </c>
      <c r="I296" s="195"/>
      <c r="J296" s="195"/>
      <c r="K296" s="231"/>
      <c r="L296" s="174">
        <f ca="1">IFERROR(__xludf.DUMMYFUNCTION("IMPORTRANGE(""https://docs.google.com/spreadsheets/d/1Yj_ptqi66GCucihVvJfMjLAmec39IyEx_6qawtMGysU/edit?usp=sharing"",""สบก!CQ87"")"),0)</f>
        <v>0</v>
      </c>
      <c r="M296" s="173"/>
      <c r="N296" s="173"/>
      <c r="O296" s="176"/>
      <c r="P296" s="176"/>
    </row>
    <row r="297" spans="1:16" ht="21.75" customHeight="1" x14ac:dyDescent="0.45">
      <c r="A297" s="178"/>
      <c r="B297" s="81"/>
      <c r="C297" s="82" t="s">
        <v>16</v>
      </c>
      <c r="D297" s="549" t="s">
        <v>23</v>
      </c>
      <c r="E297" s="545"/>
      <c r="F297" s="89"/>
      <c r="G297" s="83" t="s">
        <v>18</v>
      </c>
      <c r="H297" s="179" t="s">
        <v>12</v>
      </c>
      <c r="I297" s="195"/>
      <c r="J297" s="195"/>
      <c r="K297" s="231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80"/>
      <c r="B298" s="95"/>
      <c r="C298" s="95"/>
      <c r="D298" s="181"/>
      <c r="E298" s="96"/>
      <c r="F298" s="96"/>
      <c r="G298" s="97" t="s">
        <v>19</v>
      </c>
      <c r="H298" s="182" t="s">
        <v>12</v>
      </c>
      <c r="I298" s="195"/>
      <c r="J298" s="195"/>
      <c r="K298" s="231"/>
      <c r="L298" s="91">
        <f ca="1">IFERROR(__xludf.DUMMYFUNCTION("IMPORTRANGE(""https://docs.google.com/spreadsheets/d/1Yj_ptqi66GCucihVvJfMjLAmec39IyEx_6qawtMGysU/edit?usp=sharing"",""สบก!CR87"")"),0)</f>
        <v>0</v>
      </c>
      <c r="M298" s="101"/>
      <c r="N298" s="91">
        <f ca="1">IFERROR(__xludf.DUMMYFUNCTION("IMPORTRANGE(""https://docs.google.com/spreadsheets/d/1Yj_ptqi66GCucihVvJfMjLAmec39IyEx_6qawtMGysU/edit?usp=sharing"",""สบก!CV87"")"),0)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3"/>
      <c r="B299" s="184"/>
      <c r="C299" s="163" t="s">
        <v>16</v>
      </c>
      <c r="D299" s="185" t="s">
        <v>44</v>
      </c>
      <c r="E299" s="186"/>
      <c r="F299" s="186"/>
      <c r="G299" s="187"/>
      <c r="H299" s="188"/>
      <c r="I299" s="195"/>
      <c r="J299" s="195"/>
      <c r="K299" s="231"/>
      <c r="L299" s="176"/>
      <c r="M299" s="176"/>
      <c r="N299" s="176"/>
      <c r="O299" s="189"/>
      <c r="P299" s="189"/>
    </row>
    <row r="300" spans="1:16" ht="21.75" customHeight="1" x14ac:dyDescent="0.35">
      <c r="A300" s="183"/>
      <c r="B300" s="184"/>
      <c r="C300" s="184"/>
      <c r="D300" s="190">
        <v>1</v>
      </c>
      <c r="E300" s="191" t="s">
        <v>45</v>
      </c>
      <c r="F300" s="192"/>
      <c r="G300" s="193"/>
      <c r="H300" s="194"/>
      <c r="I300" s="195"/>
      <c r="J300" s="195">
        <f ca="1">IFERROR(__xludf.DUMMYFUNCTION("IMPORTRANGE(""https://docs.google.com/spreadsheets/d/1IYY_tgx_IHuhSq3AJ5eI5OnqOPBNLWSHKh2a30DoXe8/edit?usp=sharing"",""พังงา!J205"")"),0)</f>
        <v>0</v>
      </c>
      <c r="K300" s="231"/>
      <c r="L300" s="176"/>
      <c r="M300" s="176"/>
      <c r="N300" s="176"/>
      <c r="O300" s="189"/>
      <c r="P300" s="189"/>
    </row>
    <row r="301" spans="1:16" ht="21.75" customHeight="1" x14ac:dyDescent="0.35">
      <c r="A301" s="183"/>
      <c r="B301" s="184"/>
      <c r="C301" s="184"/>
      <c r="D301" s="197">
        <v>2</v>
      </c>
      <c r="E301" s="198" t="s">
        <v>46</v>
      </c>
      <c r="F301" s="199"/>
      <c r="G301" s="200"/>
      <c r="H301" s="194"/>
      <c r="I301" s="195"/>
      <c r="J301" s="195">
        <f ca="1">IFERROR(__xludf.DUMMYFUNCTION("IMPORTRANGE(""https://docs.google.com/spreadsheets/d/1IYY_tgx_IHuhSq3AJ5eI5OnqOPBNLWSHKh2a30DoXe8/edit?usp=sharing"",""พังงา!J206"")"),0)</f>
        <v>0</v>
      </c>
      <c r="K301" s="231"/>
      <c r="L301" s="176" t="s">
        <v>40</v>
      </c>
      <c r="M301" s="176"/>
      <c r="N301" s="176" t="s">
        <v>40</v>
      </c>
      <c r="O301" s="189"/>
      <c r="P301" s="189"/>
    </row>
    <row r="302" spans="1:16" ht="21.75" customHeight="1" x14ac:dyDescent="0.35">
      <c r="A302" s="183"/>
      <c r="B302" s="184"/>
      <c r="C302" s="184"/>
      <c r="D302" s="201"/>
      <c r="E302" s="202" t="s">
        <v>47</v>
      </c>
      <c r="F302" s="203"/>
      <c r="G302" s="204"/>
      <c r="H302" s="194"/>
      <c r="I302" s="195"/>
      <c r="J302" s="195">
        <f ca="1">IFERROR(__xludf.DUMMYFUNCTION("IMPORTRANGE(""https://docs.google.com/spreadsheets/d/1IYY_tgx_IHuhSq3AJ5eI5OnqOPBNLWSHKh2a30DoXe8/edit?usp=sharing"",""พังงา!J207"")"),0)</f>
        <v>0</v>
      </c>
      <c r="K302" s="231"/>
      <c r="L302" s="176"/>
      <c r="M302" s="176"/>
      <c r="N302" s="176"/>
      <c r="O302" s="189"/>
      <c r="P302" s="189"/>
    </row>
    <row r="303" spans="1:16" ht="21.75" customHeight="1" x14ac:dyDescent="0.35">
      <c r="A303" s="183"/>
      <c r="B303" s="184"/>
      <c r="C303" s="184"/>
      <c r="D303" s="201"/>
      <c r="E303" s="202" t="s">
        <v>48</v>
      </c>
      <c r="F303" s="203"/>
      <c r="G303" s="204"/>
      <c r="H303" s="194"/>
      <c r="I303" s="195"/>
      <c r="J303" s="195">
        <f ca="1">IFERROR(__xludf.DUMMYFUNCTION("IMPORTRANGE(""https://docs.google.com/spreadsheets/d/1IYY_tgx_IHuhSq3AJ5eI5OnqOPBNLWSHKh2a30DoXe8/edit?usp=sharing"",""พังงา!J208"")"),0)</f>
        <v>0</v>
      </c>
      <c r="K303" s="231"/>
      <c r="L303" s="176"/>
      <c r="M303" s="176"/>
      <c r="N303" s="176"/>
      <c r="O303" s="189"/>
      <c r="P303" s="189"/>
    </row>
    <row r="304" spans="1:16" ht="21.75" customHeight="1" x14ac:dyDescent="0.35">
      <c r="A304" s="183"/>
      <c r="B304" s="184"/>
      <c r="C304" s="184"/>
      <c r="D304" s="201"/>
      <c r="E304" s="206"/>
      <c r="F304" s="202" t="s">
        <v>113</v>
      </c>
      <c r="G304" s="204"/>
      <c r="H304" s="188" t="s">
        <v>37</v>
      </c>
      <c r="I304" s="195">
        <f ca="1">IFERROR(__xludf.DUMMYFUNCTION("IMPORTRANGE(""https://docs.google.com/spreadsheets/d/1IYY_tgx_IHuhSq3AJ5eI5OnqOPBNLWSHKh2a30DoXe8/edit?usp=sharing"",""พังงา!I209"")"),0)</f>
        <v>0</v>
      </c>
      <c r="J304" s="211">
        <f ca="1">IFERROR(__xludf.DUMMYFUNCTION("IMPORTRANGE(""https://docs.google.com/spreadsheets/d/1IYY_tgx_IHuhSq3AJ5eI5OnqOPBNLWSHKh2a30DoXe8/edit?usp=sharing"",""พังงา!J209"")"),0)</f>
        <v>0</v>
      </c>
      <c r="K304" s="231">
        <f ca="1">IF(I304&gt;0,J304*100/I304,0)</f>
        <v>0</v>
      </c>
      <c r="L304" s="176"/>
      <c r="M304" s="176"/>
      <c r="N304" s="176"/>
      <c r="O304" s="189"/>
      <c r="P304" s="189"/>
    </row>
    <row r="305" spans="1:16" ht="21.75" customHeight="1" x14ac:dyDescent="0.35">
      <c r="A305" s="183"/>
      <c r="B305" s="184"/>
      <c r="C305" s="184"/>
      <c r="D305" s="201"/>
      <c r="E305" s="206"/>
      <c r="F305" s="202" t="s">
        <v>114</v>
      </c>
      <c r="G305" s="204"/>
      <c r="H305" s="188"/>
      <c r="I305" s="195"/>
      <c r="J305" s="195"/>
      <c r="K305" s="231"/>
      <c r="L305" s="176"/>
      <c r="M305" s="176"/>
      <c r="N305" s="176"/>
      <c r="O305" s="189"/>
      <c r="P305" s="189"/>
    </row>
    <row r="306" spans="1:16" ht="21.75" customHeight="1" x14ac:dyDescent="0.35">
      <c r="A306" s="183"/>
      <c r="B306" s="184"/>
      <c r="C306" s="184"/>
      <c r="D306" s="201"/>
      <c r="E306" s="206"/>
      <c r="F306" s="203" t="s">
        <v>53</v>
      </c>
      <c r="G306" s="204"/>
      <c r="H306" s="188" t="s">
        <v>37</v>
      </c>
      <c r="I306" s="195">
        <f ca="1">IFERROR(__xludf.DUMMYFUNCTION("IMPORTRANGE(""https://docs.google.com/spreadsheets/d/1IYY_tgx_IHuhSq3AJ5eI5OnqOPBNLWSHKh2a30DoXe8/edit?usp=sharing"",""พังงา!I211"")"),0)</f>
        <v>0</v>
      </c>
      <c r="J306" s="211">
        <f ca="1">IFERROR(__xludf.DUMMYFUNCTION("IMPORTRANGE(""https://docs.google.com/spreadsheets/d/1IYY_tgx_IHuhSq3AJ5eI5OnqOPBNLWSHKh2a30DoXe8/edit?usp=sharing"",""พังงา!J211"")"),0)</f>
        <v>0</v>
      </c>
      <c r="K306" s="231">
        <f ca="1">IF(I306&gt;0,J306*100/I306,0)</f>
        <v>0</v>
      </c>
      <c r="L306" s="176"/>
      <c r="M306" s="176"/>
      <c r="N306" s="176"/>
      <c r="O306" s="189"/>
      <c r="P306" s="189"/>
    </row>
    <row r="307" spans="1:16" ht="21.75" customHeight="1" x14ac:dyDescent="0.35">
      <c r="A307" s="183"/>
      <c r="B307" s="184"/>
      <c r="C307" s="184"/>
      <c r="D307" s="201"/>
      <c r="E307" s="202" t="s">
        <v>54</v>
      </c>
      <c r="F307" s="203"/>
      <c r="G307" s="204"/>
      <c r="H307" s="194"/>
      <c r="I307" s="195"/>
      <c r="J307" s="195">
        <f ca="1">IFERROR(__xludf.DUMMYFUNCTION("IMPORTRANGE(""https://docs.google.com/spreadsheets/d/1IYY_tgx_IHuhSq3AJ5eI5OnqOPBNLWSHKh2a30DoXe8/edit?usp=sharing"",""พังงา!J212"")"),0)</f>
        <v>0</v>
      </c>
      <c r="K307" s="231"/>
      <c r="L307" s="176"/>
      <c r="M307" s="176"/>
      <c r="N307" s="176"/>
      <c r="O307" s="189"/>
      <c r="P307" s="189"/>
    </row>
    <row r="308" spans="1:16" ht="21.75" customHeight="1" x14ac:dyDescent="0.35">
      <c r="A308" s="183"/>
      <c r="B308" s="184"/>
      <c r="C308" s="184"/>
      <c r="D308" s="213">
        <v>3</v>
      </c>
      <c r="E308" s="214" t="s">
        <v>55</v>
      </c>
      <c r="F308" s="215"/>
      <c r="G308" s="216"/>
      <c r="H308" s="194"/>
      <c r="I308" s="195"/>
      <c r="J308" s="332">
        <f ca="1">IFERROR(__xludf.DUMMYFUNCTION("IMPORTRANGE(""https://docs.google.com/spreadsheets/d/1IYY_tgx_IHuhSq3AJ5eI5OnqOPBNLWSHKh2a30DoXe8/edit?usp=sharing"",""พังงา!J213"")"),0)</f>
        <v>0</v>
      </c>
      <c r="K308" s="231"/>
      <c r="L308" s="176"/>
      <c r="M308" s="176"/>
      <c r="N308" s="176"/>
      <c r="O308" s="189"/>
      <c r="P308" s="189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IFERROR(__xludf.DUMMYFUNCTION("IMPORTRANGE(""https://docs.google.com/spreadsheets/d/1IYY_tgx_IHuhSq3AJ5eI5OnqOPBNLWSHKh2a30DoXe8/edit?usp=sharing"",""พังงา!I214"")"),0)</f>
        <v>0</v>
      </c>
      <c r="J309" s="339">
        <f ca="1">IFERROR(__xludf.DUMMYFUNCTION("IMPORTRANGE(""https://docs.google.com/spreadsheets/d/1IYY_tgx_IHuhSq3AJ5eI5OnqOPBNLWSHKh2a30DoXe8/edit?usp=sharing"",""พังงา!J214"")"),0)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52" t="s">
        <v>17</v>
      </c>
      <c r="E310" s="543"/>
      <c r="F310" s="543"/>
      <c r="G310" s="54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5">
      <c r="A313" s="162"/>
      <c r="B313" s="163"/>
      <c r="C313" s="163" t="s">
        <v>16</v>
      </c>
      <c r="D313" s="164" t="s">
        <v>38</v>
      </c>
      <c r="E313" s="165"/>
      <c r="F313" s="165"/>
      <c r="G313" s="166" t="s">
        <v>39</v>
      </c>
      <c r="H313" s="167" t="s">
        <v>12</v>
      </c>
      <c r="I313" s="168" t="s">
        <v>40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 x14ac:dyDescent="0.35">
      <c r="A314" s="162"/>
      <c r="B314" s="163"/>
      <c r="C314" s="163"/>
      <c r="D314" s="172"/>
      <c r="E314" s="165"/>
      <c r="F314" s="165" t="s">
        <v>40</v>
      </c>
      <c r="G314" s="166" t="s">
        <v>41</v>
      </c>
      <c r="H314" s="167" t="s">
        <v>12</v>
      </c>
      <c r="I314" s="168"/>
      <c r="J314" s="168"/>
      <c r="K314" s="169"/>
      <c r="L314" s="173">
        <f ca="1">L315+L316</f>
        <v>0</v>
      </c>
      <c r="M314" s="174">
        <f ca="1">IFERROR(__xludf.DUMMYFUNCTION("IMPORTRANGE(""https://docs.google.com/spreadsheets/d/1Yj_ptqi66GCucihVvJfMjLAmec39IyEx_6qawtMGysU/edit?usp=sharing"",""สบก!DC87"")"),0)</f>
        <v>0</v>
      </c>
      <c r="N314" s="175">
        <f ca="1">IFERROR(__xludf.DUMMYFUNCTION("IMPORTRANGE(""https://docs.google.com/spreadsheets/d/1Yj_ptqi66GCucihVvJfMjLAmec39IyEx_6qawtMGysU/edit?usp=sharing"",""สบก!DD87"")"),0)</f>
        <v>0</v>
      </c>
      <c r="O314" s="176">
        <f ca="1">IF(L314&gt;0,N314*100/L314,0)</f>
        <v>0</v>
      </c>
      <c r="P314" s="176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2"/>
      <c r="E315" s="165"/>
      <c r="F315" s="165"/>
      <c r="G315" s="177" t="s">
        <v>42</v>
      </c>
      <c r="H315" s="167" t="s">
        <v>12</v>
      </c>
      <c r="I315" s="168"/>
      <c r="J315" s="168"/>
      <c r="K315" s="169"/>
      <c r="L315" s="174">
        <f ca="1">IFERROR(__xludf.DUMMYFUNCTION("IMPORTRANGE(""https://docs.google.com/spreadsheets/d/1Yj_ptqi66GCucihVvJfMjLAmec39IyEx_6qawtMGysU/edit?usp=sharing"",""สบก!CY87"")"),0)</f>
        <v>0</v>
      </c>
      <c r="M315" s="173"/>
      <c r="N315" s="173"/>
      <c r="O315" s="176"/>
      <c r="P315" s="176"/>
    </row>
    <row r="316" spans="1:16" ht="21.75" customHeight="1" x14ac:dyDescent="0.35">
      <c r="A316" s="162"/>
      <c r="B316" s="163"/>
      <c r="C316" s="163"/>
      <c r="D316" s="172"/>
      <c r="E316" s="165"/>
      <c r="F316" s="165"/>
      <c r="G316" s="177" t="s">
        <v>43</v>
      </c>
      <c r="H316" s="167" t="s">
        <v>12</v>
      </c>
      <c r="I316" s="168"/>
      <c r="J316" s="195"/>
      <c r="K316" s="231"/>
      <c r="L316" s="174">
        <f ca="1">IFERROR(__xludf.DUMMYFUNCTION("IMPORTRANGE(""https://docs.google.com/spreadsheets/d/1Yj_ptqi66GCucihVvJfMjLAmec39IyEx_6qawtMGysU/edit?usp=sharing"",""สบก!CZ87"")"),0)</f>
        <v>0</v>
      </c>
      <c r="M316" s="173"/>
      <c r="N316" s="173"/>
      <c r="O316" s="176"/>
      <c r="P316" s="176"/>
    </row>
    <row r="317" spans="1:16" ht="21.75" customHeight="1" x14ac:dyDescent="0.45">
      <c r="A317" s="178"/>
      <c r="B317" s="81"/>
      <c r="C317" s="82" t="s">
        <v>16</v>
      </c>
      <c r="D317" s="549" t="s">
        <v>23</v>
      </c>
      <c r="E317" s="545"/>
      <c r="F317" s="89"/>
      <c r="G317" s="83" t="s">
        <v>18</v>
      </c>
      <c r="H317" s="179" t="s">
        <v>12</v>
      </c>
      <c r="I317" s="168"/>
      <c r="J317" s="195"/>
      <c r="K317" s="231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80"/>
      <c r="B318" s="95"/>
      <c r="C318" s="95"/>
      <c r="D318" s="181"/>
      <c r="E318" s="96"/>
      <c r="F318" s="96"/>
      <c r="G318" s="97" t="s">
        <v>19</v>
      </c>
      <c r="H318" s="182" t="s">
        <v>12</v>
      </c>
      <c r="I318" s="168"/>
      <c r="J318" s="195"/>
      <c r="K318" s="231"/>
      <c r="L318" s="91">
        <f ca="1">IFERROR(__xludf.DUMMYFUNCTION("IMPORTRANGE(""https://docs.google.com/spreadsheets/d/1Yj_ptqi66GCucihVvJfMjLAmec39IyEx_6qawtMGysU/edit?usp=sharing"",""สบก!DA87"")"),0)</f>
        <v>0</v>
      </c>
      <c r="M318" s="101"/>
      <c r="N318" s="91">
        <f ca="1">IFERROR(__xludf.DUMMYFUNCTION("IMPORTRANGE(""https://docs.google.com/spreadsheets/d/1Yj_ptqi66GCucihVvJfMjLAmec39IyEx_6qawtMGysU/edit?usp=sharing"",""สบก!DE87"")"),0)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3"/>
      <c r="B319" s="184"/>
      <c r="C319" s="163" t="s">
        <v>16</v>
      </c>
      <c r="D319" s="185" t="s">
        <v>44</v>
      </c>
      <c r="E319" s="186"/>
      <c r="F319" s="186"/>
      <c r="G319" s="187"/>
      <c r="H319" s="188"/>
      <c r="I319" s="168"/>
      <c r="J319" s="195"/>
      <c r="K319" s="231"/>
      <c r="L319" s="176"/>
      <c r="M319" s="176"/>
      <c r="N319" s="176"/>
      <c r="O319" s="189"/>
      <c r="P319" s="189"/>
    </row>
    <row r="320" spans="1:16" ht="21.75" customHeight="1" x14ac:dyDescent="0.35">
      <c r="A320" s="183"/>
      <c r="B320" s="184"/>
      <c r="C320" s="184"/>
      <c r="D320" s="190">
        <v>1</v>
      </c>
      <c r="E320" s="191" t="s">
        <v>45</v>
      </c>
      <c r="F320" s="192"/>
      <c r="G320" s="193"/>
      <c r="H320" s="194"/>
      <c r="I320" s="195"/>
      <c r="J320" s="195">
        <f ca="1">IFERROR(__xludf.DUMMYFUNCTION("IMPORTRANGE(""https://docs.google.com/spreadsheets/d/1IYY_tgx_IHuhSq3AJ5eI5OnqOPBNLWSHKh2a30DoXe8/edit?usp=sharing"",""พังงา!J220"")"),0)</f>
        <v>0</v>
      </c>
      <c r="K320" s="231"/>
      <c r="L320" s="176"/>
      <c r="M320" s="176"/>
      <c r="N320" s="176"/>
      <c r="O320" s="189"/>
      <c r="P320" s="189"/>
    </row>
    <row r="321" spans="1:16" ht="21.75" customHeight="1" x14ac:dyDescent="0.35">
      <c r="A321" s="183"/>
      <c r="B321" s="184"/>
      <c r="C321" s="184"/>
      <c r="D321" s="197">
        <v>2</v>
      </c>
      <c r="E321" s="198" t="s">
        <v>46</v>
      </c>
      <c r="F321" s="199"/>
      <c r="G321" s="200"/>
      <c r="H321" s="194"/>
      <c r="I321" s="195"/>
      <c r="J321" s="195">
        <f ca="1">IFERROR(__xludf.DUMMYFUNCTION("IMPORTRANGE(""https://docs.google.com/spreadsheets/d/1IYY_tgx_IHuhSq3AJ5eI5OnqOPBNLWSHKh2a30DoXe8/edit?usp=sharing"",""พังงา!J221"")"),0)</f>
        <v>0</v>
      </c>
      <c r="K321" s="231"/>
      <c r="L321" s="176" t="s">
        <v>40</v>
      </c>
      <c r="M321" s="176"/>
      <c r="N321" s="176" t="s">
        <v>40</v>
      </c>
      <c r="O321" s="189"/>
      <c r="P321" s="189"/>
    </row>
    <row r="322" spans="1:16" ht="21.75" customHeight="1" x14ac:dyDescent="0.35">
      <c r="A322" s="183"/>
      <c r="B322" s="184"/>
      <c r="C322" s="184"/>
      <c r="D322" s="201"/>
      <c r="E322" s="202" t="s">
        <v>47</v>
      </c>
      <c r="F322" s="203"/>
      <c r="G322" s="204"/>
      <c r="H322" s="194"/>
      <c r="I322" s="195"/>
      <c r="J322" s="195">
        <f ca="1">IFERROR(__xludf.DUMMYFUNCTION("IMPORTRANGE(""https://docs.google.com/spreadsheets/d/1IYY_tgx_IHuhSq3AJ5eI5OnqOPBNLWSHKh2a30DoXe8/edit?usp=sharing"",""พังงา!J222"")"),0)</f>
        <v>0</v>
      </c>
      <c r="K322" s="231"/>
      <c r="L322" s="176"/>
      <c r="M322" s="176"/>
      <c r="N322" s="176"/>
      <c r="O322" s="189"/>
      <c r="P322" s="189"/>
    </row>
    <row r="323" spans="1:16" ht="21.75" customHeight="1" x14ac:dyDescent="0.35">
      <c r="A323" s="183"/>
      <c r="B323" s="184"/>
      <c r="C323" s="184"/>
      <c r="D323" s="201"/>
      <c r="E323" s="202" t="s">
        <v>48</v>
      </c>
      <c r="F323" s="203"/>
      <c r="G323" s="204"/>
      <c r="H323" s="194"/>
      <c r="I323" s="195"/>
      <c r="J323" s="195">
        <f ca="1">IFERROR(__xludf.DUMMYFUNCTION("IMPORTRANGE(""https://docs.google.com/spreadsheets/d/1IYY_tgx_IHuhSq3AJ5eI5OnqOPBNLWSHKh2a30DoXe8/edit?usp=sharing"",""พังงา!J223"")"),0)</f>
        <v>0</v>
      </c>
      <c r="K323" s="231"/>
      <c r="L323" s="176"/>
      <c r="M323" s="176"/>
      <c r="N323" s="176"/>
      <c r="O323" s="189"/>
      <c r="P323" s="189"/>
    </row>
    <row r="324" spans="1:16" ht="21.75" customHeight="1" x14ac:dyDescent="0.35">
      <c r="A324" s="183"/>
      <c r="B324" s="184"/>
      <c r="C324" s="184"/>
      <c r="D324" s="201"/>
      <c r="E324" s="206"/>
      <c r="F324" s="202" t="s">
        <v>117</v>
      </c>
      <c r="G324" s="204"/>
      <c r="H324" s="194" t="s">
        <v>116</v>
      </c>
      <c r="I324" s="195">
        <f ca="1">IFERROR(__xludf.DUMMYFUNCTION("IMPORTRANGE(""https://docs.google.com/spreadsheets/d/1IYY_tgx_IHuhSq3AJ5eI5OnqOPBNLWSHKh2a30DoXe8/edit?usp=sharing"",""พังงา!I224"")"),0)</f>
        <v>0</v>
      </c>
      <c r="J324" s="211">
        <f ca="1">IFERROR(__xludf.DUMMYFUNCTION("IMPORTRANGE(""https://docs.google.com/spreadsheets/d/1IYY_tgx_IHuhSq3AJ5eI5OnqOPBNLWSHKh2a30DoXe8/edit?usp=sharing"",""พังงา!J224"")"),0)</f>
        <v>0</v>
      </c>
      <c r="K324" s="231">
        <f ca="1">IF(I324&gt;0,J324*100/I324,0)</f>
        <v>0</v>
      </c>
      <c r="L324" s="176"/>
      <c r="M324" s="176"/>
      <c r="N324" s="176"/>
      <c r="O324" s="189"/>
      <c r="P324" s="189"/>
    </row>
    <row r="325" spans="1:16" ht="21.75" customHeight="1" x14ac:dyDescent="0.35">
      <c r="A325" s="183"/>
      <c r="B325" s="184"/>
      <c r="C325" s="184"/>
      <c r="D325" s="201"/>
      <c r="E325" s="202" t="s">
        <v>54</v>
      </c>
      <c r="F325" s="203"/>
      <c r="G325" s="204"/>
      <c r="H325" s="194"/>
      <c r="I325" s="195"/>
      <c r="J325" s="195">
        <f ca="1">IFERROR(__xludf.DUMMYFUNCTION("IMPORTRANGE(""https://docs.google.com/spreadsheets/d/1IYY_tgx_IHuhSq3AJ5eI5OnqOPBNLWSHKh2a30DoXe8/edit?usp=sharing"",""พังงา!J225"")"),0)</f>
        <v>0</v>
      </c>
      <c r="K325" s="231"/>
      <c r="L325" s="176"/>
      <c r="M325" s="176"/>
      <c r="N325" s="176"/>
      <c r="O325" s="189"/>
      <c r="P325" s="189"/>
    </row>
    <row r="326" spans="1:16" ht="21.75" customHeight="1" x14ac:dyDescent="0.35">
      <c r="A326" s="183"/>
      <c r="B326" s="184"/>
      <c r="C326" s="184"/>
      <c r="D326" s="213">
        <v>3</v>
      </c>
      <c r="E326" s="214" t="s">
        <v>55</v>
      </c>
      <c r="F326" s="215"/>
      <c r="G326" s="216"/>
      <c r="H326" s="194"/>
      <c r="I326" s="195"/>
      <c r="J326" s="234">
        <f ca="1">IFERROR(__xludf.DUMMYFUNCTION("IMPORTRANGE(""https://docs.google.com/spreadsheets/d/1IYY_tgx_IHuhSq3AJ5eI5OnqOPBNLWSHKh2a30DoXe8/edit?usp=sharing"",""พังงา!J226"")"),0)</f>
        <v>0</v>
      </c>
      <c r="K326" s="231"/>
      <c r="L326" s="176"/>
      <c r="M326" s="176"/>
      <c r="N326" s="176"/>
      <c r="O326" s="189"/>
      <c r="P326" s="189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IFERROR(__xludf.DUMMYFUNCTION("IMPORTRANGE(""https://docs.google.com/spreadsheets/d/1IYY_tgx_IHuhSq3AJ5eI5OnqOPBNLWSHKh2a30DoXe8/edit?usp=sharing"",""พังงา!I228"")"),110)</f>
        <v>110</v>
      </c>
      <c r="J328" s="345">
        <f ca="1">IFERROR(__xludf.DUMMYFUNCTION("IMPORTRANGE(""https://docs.google.com/spreadsheets/d/1IYY_tgx_IHuhSq3AJ5eI5OnqOPBNLWSHKh2a30DoXe8/edit?usp=sharing"",""พังงา!J228"")"),6)</f>
        <v>6</v>
      </c>
      <c r="K328" s="323">
        <f ca="1">IF(I328&gt;0,J328*100/I328,0)</f>
        <v>5.4545454545454541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52" t="s">
        <v>17</v>
      </c>
      <c r="E329" s="543"/>
      <c r="F329" s="543"/>
      <c r="G329" s="543"/>
      <c r="H329" s="153" t="s">
        <v>12</v>
      </c>
      <c r="I329" s="168"/>
      <c r="J329" s="168"/>
      <c r="K329" s="169"/>
      <c r="L329" s="156">
        <f t="shared" ref="L329:N329" ca="1" si="98">L330+L331</f>
        <v>917210</v>
      </c>
      <c r="M329" s="156">
        <f t="shared" ca="1" si="98"/>
        <v>557220</v>
      </c>
      <c r="N329" s="156">
        <f t="shared" ca="1" si="98"/>
        <v>366656</v>
      </c>
      <c r="O329" s="155">
        <f t="shared" ref="O329:O331" ca="1" si="99">IF(L329&gt;0,N329*100/L329,0)</f>
        <v>39.975142006737826</v>
      </c>
      <c r="P329" s="155">
        <f t="shared" ref="P329:P331" ca="1" si="100">IF(M329&gt;0,N329*100/M329,0)</f>
        <v>65.800940382613689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8"/>
      <c r="J330" s="168"/>
      <c r="K330" s="169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8"/>
      <c r="J331" s="168"/>
      <c r="K331" s="169"/>
      <c r="L331" s="161">
        <f t="shared" ref="L331:N331" ca="1" si="102">L333+L337</f>
        <v>917210</v>
      </c>
      <c r="M331" s="161">
        <f t="shared" ca="1" si="102"/>
        <v>557220</v>
      </c>
      <c r="N331" s="161">
        <f t="shared" ca="1" si="102"/>
        <v>366656</v>
      </c>
      <c r="O331" s="160">
        <f t="shared" ca="1" si="99"/>
        <v>39.975142006737826</v>
      </c>
      <c r="P331" s="160">
        <f t="shared" ca="1" si="100"/>
        <v>65.800940382613689</v>
      </c>
    </row>
    <row r="332" spans="1:16" ht="21.75" customHeight="1" x14ac:dyDescent="0.35">
      <c r="A332" s="162"/>
      <c r="B332" s="163"/>
      <c r="C332" s="163" t="s">
        <v>16</v>
      </c>
      <c r="D332" s="164" t="s">
        <v>38</v>
      </c>
      <c r="E332" s="165"/>
      <c r="F332" s="165"/>
      <c r="G332" s="166" t="s">
        <v>39</v>
      </c>
      <c r="H332" s="167" t="s">
        <v>12</v>
      </c>
      <c r="I332" s="168" t="s">
        <v>40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 x14ac:dyDescent="0.35">
      <c r="A333" s="162"/>
      <c r="B333" s="163"/>
      <c r="C333" s="163"/>
      <c r="D333" s="172"/>
      <c r="E333" s="165"/>
      <c r="F333" s="165" t="s">
        <v>40</v>
      </c>
      <c r="G333" s="166" t="s">
        <v>41</v>
      </c>
      <c r="H333" s="167" t="s">
        <v>12</v>
      </c>
      <c r="I333" s="168"/>
      <c r="J333" s="168"/>
      <c r="K333" s="169"/>
      <c r="L333" s="173">
        <f ca="1">L334+L335</f>
        <v>743010</v>
      </c>
      <c r="M333" s="174">
        <f ca="1">IFERROR(__xludf.DUMMYFUNCTION("IMPORTRANGE(""https://docs.google.com/spreadsheets/d/1Yj_ptqi66GCucihVvJfMjLAmec39IyEx_6qawtMGysU/edit?usp=sharing"",""สบก!DL87"")"),383020)</f>
        <v>383020</v>
      </c>
      <c r="N333" s="175">
        <f ca="1">IFERROR(__xludf.DUMMYFUNCTION("IMPORTRANGE(""https://docs.google.com/spreadsheets/d/1Yj_ptqi66GCucihVvJfMjLAmec39IyEx_6qawtMGysU/edit?usp=sharing"",""สบก!DM87"")"),192456)</f>
        <v>192456</v>
      </c>
      <c r="O333" s="176">
        <f ca="1">IF(L333&gt;0,N333*100/L333,0)</f>
        <v>25.902208584002906</v>
      </c>
      <c r="P333" s="176">
        <f ca="1">IF(M333&gt;0,N333*100/M333,0)</f>
        <v>50.246984491671455</v>
      </c>
    </row>
    <row r="334" spans="1:16" ht="21.75" customHeight="1" x14ac:dyDescent="0.35">
      <c r="A334" s="162"/>
      <c r="B334" s="163"/>
      <c r="C334" s="163"/>
      <c r="D334" s="172"/>
      <c r="E334" s="165"/>
      <c r="F334" s="165"/>
      <c r="G334" s="177" t="s">
        <v>42</v>
      </c>
      <c r="H334" s="167" t="s">
        <v>12</v>
      </c>
      <c r="I334" s="168"/>
      <c r="J334" s="168"/>
      <c r="K334" s="169"/>
      <c r="L334" s="174">
        <f ca="1">IFERROR(__xludf.DUMMYFUNCTION("IMPORTRANGE(""https://docs.google.com/spreadsheets/d/1Yj_ptqi66GCucihVvJfMjLAmec39IyEx_6qawtMGysU/edit?usp=sharing"",""สบก!DH87"")"),492000)</f>
        <v>492000</v>
      </c>
      <c r="M334" s="173"/>
      <c r="N334" s="173"/>
      <c r="O334" s="176"/>
      <c r="P334" s="176"/>
    </row>
    <row r="335" spans="1:16" ht="21.75" customHeight="1" x14ac:dyDescent="0.35">
      <c r="A335" s="162"/>
      <c r="B335" s="163"/>
      <c r="C335" s="163"/>
      <c r="D335" s="172"/>
      <c r="E335" s="165"/>
      <c r="F335" s="165"/>
      <c r="G335" s="177" t="s">
        <v>43</v>
      </c>
      <c r="H335" s="167" t="s">
        <v>12</v>
      </c>
      <c r="I335" s="168"/>
      <c r="J335" s="168"/>
      <c r="K335" s="169"/>
      <c r="L335" s="174">
        <f ca="1">IFERROR(__xludf.DUMMYFUNCTION("IMPORTRANGE(""https://docs.google.com/spreadsheets/d/1Yj_ptqi66GCucihVvJfMjLAmec39IyEx_6qawtMGysU/edit?usp=sharing"",""สบก!DI87"")"),251010)</f>
        <v>251010</v>
      </c>
      <c r="M335" s="173"/>
      <c r="N335" s="173"/>
      <c r="O335" s="176"/>
      <c r="P335" s="176"/>
    </row>
    <row r="336" spans="1:16" ht="21.75" customHeight="1" x14ac:dyDescent="0.45">
      <c r="A336" s="178"/>
      <c r="B336" s="81"/>
      <c r="C336" s="82" t="s">
        <v>16</v>
      </c>
      <c r="D336" s="549" t="s">
        <v>23</v>
      </c>
      <c r="E336" s="545"/>
      <c r="F336" s="89"/>
      <c r="G336" s="83" t="s">
        <v>18</v>
      </c>
      <c r="H336" s="179" t="s">
        <v>12</v>
      </c>
      <c r="I336" s="168"/>
      <c r="J336" s="168"/>
      <c r="K336" s="169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80"/>
      <c r="B337" s="95"/>
      <c r="C337" s="95"/>
      <c r="D337" s="181"/>
      <c r="E337" s="96"/>
      <c r="F337" s="96"/>
      <c r="G337" s="97" t="s">
        <v>19</v>
      </c>
      <c r="H337" s="182" t="s">
        <v>12</v>
      </c>
      <c r="I337" s="168"/>
      <c r="J337" s="168"/>
      <c r="K337" s="169"/>
      <c r="L337" s="91">
        <f ca="1">IFERROR(__xludf.DUMMYFUNCTION("IMPORTRANGE(""https://docs.google.com/spreadsheets/d/1Yj_ptqi66GCucihVvJfMjLAmec39IyEx_6qawtMGysU/edit?usp=sharing"",""สบก!DJ87"")"),174200)</f>
        <v>174200</v>
      </c>
      <c r="M337" s="101">
        <f ca="1">L337</f>
        <v>174200</v>
      </c>
      <c r="N337" s="91">
        <f ca="1">IFERROR(__xludf.DUMMYFUNCTION("IMPORTRANGE(""https://docs.google.com/spreadsheets/d/1Yj_ptqi66GCucihVvJfMjLAmec39IyEx_6qawtMGysU/edit?usp=sharing"",""สบก!DN87"")"),174200)</f>
        <v>174200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3"/>
      <c r="B338" s="297"/>
      <c r="C338" s="346" t="s">
        <v>120</v>
      </c>
      <c r="D338" s="203"/>
      <c r="E338" s="203"/>
      <c r="F338" s="203"/>
      <c r="G338" s="204"/>
      <c r="H338" s="188"/>
      <c r="I338" s="347"/>
      <c r="J338" s="347"/>
      <c r="K338" s="348"/>
      <c r="L338" s="189"/>
      <c r="M338" s="189"/>
      <c r="N338" s="189"/>
      <c r="O338" s="349"/>
      <c r="P338" s="349"/>
    </row>
    <row r="339" spans="1:16" ht="21.75" customHeight="1" x14ac:dyDescent="0.35">
      <c r="A339" s="183"/>
      <c r="B339" s="297"/>
      <c r="C339" s="184"/>
      <c r="D339" s="203"/>
      <c r="E339" s="202" t="s">
        <v>121</v>
      </c>
      <c r="F339" s="203"/>
      <c r="G339" s="204"/>
      <c r="H339" s="350" t="s">
        <v>37</v>
      </c>
      <c r="I339" s="211">
        <f ca="1">IFERROR(__xludf.DUMMYFUNCTION("IMPORTRANGE(""https://docs.google.com/spreadsheets/d/1IYY_tgx_IHuhSq3AJ5eI5OnqOPBNLWSHKh2a30DoXe8/edit?usp=sharing"",""พังงา!I234"")"),0)</f>
        <v>0</v>
      </c>
      <c r="J339" s="195">
        <f ca="1">IFERROR(__xludf.DUMMYFUNCTION("IMPORTRANGE(""https://docs.google.com/spreadsheets/d/1IYY_tgx_IHuhSq3AJ5eI5OnqOPBNLWSHKh2a30DoXe8/edit?usp=sharing"",""พังงา!J234"")"),61)</f>
        <v>61</v>
      </c>
      <c r="K339" s="348">
        <f t="shared" ref="K339:K346" ca="1" si="103">IF(I339&gt;0,J339*100/I339,0)</f>
        <v>0</v>
      </c>
      <c r="L339" s="189"/>
      <c r="M339" s="189"/>
      <c r="N339" s="189"/>
      <c r="O339" s="349"/>
      <c r="P339" s="349"/>
    </row>
    <row r="340" spans="1:16" ht="21.75" customHeight="1" x14ac:dyDescent="0.35">
      <c r="A340" s="183"/>
      <c r="B340" s="297"/>
      <c r="C340" s="184"/>
      <c r="D340" s="203"/>
      <c r="E340" s="203"/>
      <c r="F340" s="203"/>
      <c r="G340" s="204"/>
      <c r="H340" s="350" t="s">
        <v>122</v>
      </c>
      <c r="I340" s="195">
        <f ca="1">IFERROR(__xludf.DUMMYFUNCTION("IMPORTRANGE(""https://docs.google.com/spreadsheets/d/1IYY_tgx_IHuhSq3AJ5eI5OnqOPBNLWSHKh2a30DoXe8/edit?usp=sharing"",""พังงา!I235"")"),665)</f>
        <v>665</v>
      </c>
      <c r="J340" s="195">
        <f ca="1">IFERROR(__xludf.DUMMYFUNCTION("IMPORTRANGE(""https://docs.google.com/spreadsheets/d/1IYY_tgx_IHuhSq3AJ5eI5OnqOPBNLWSHKh2a30DoXe8/edit?usp=sharing"",""พังงา!J235"")"),469.12)</f>
        <v>469.12</v>
      </c>
      <c r="K340" s="348">
        <f t="shared" ca="1" si="103"/>
        <v>70.544360902255633</v>
      </c>
      <c r="L340" s="189"/>
      <c r="M340" s="189"/>
      <c r="N340" s="189"/>
      <c r="O340" s="349"/>
      <c r="P340" s="349"/>
    </row>
    <row r="341" spans="1:16" ht="21.75" customHeight="1" x14ac:dyDescent="0.35">
      <c r="A341" s="183"/>
      <c r="B341" s="297"/>
      <c r="C341" s="184"/>
      <c r="D341" s="203"/>
      <c r="E341" s="202" t="s">
        <v>123</v>
      </c>
      <c r="F341" s="203"/>
      <c r="G341" s="204"/>
      <c r="H341" s="188" t="s">
        <v>37</v>
      </c>
      <c r="I341" s="195">
        <f ca="1">IFERROR(__xludf.DUMMYFUNCTION("IMPORTRANGE(""https://docs.google.com/spreadsheets/d/1IYY_tgx_IHuhSq3AJ5eI5OnqOPBNLWSHKh2a30DoXe8/edit?usp=sharing"",""พังงา!I236"")"),110)</f>
        <v>110</v>
      </c>
      <c r="J341" s="195">
        <f ca="1">IFERROR(__xludf.DUMMYFUNCTION("IMPORTRANGE(""https://docs.google.com/spreadsheets/d/1IYY_tgx_IHuhSq3AJ5eI5OnqOPBNLWSHKh2a30DoXe8/edit?usp=sharing"",""พังงา!J236"")"),72)</f>
        <v>72</v>
      </c>
      <c r="K341" s="348">
        <f t="shared" ca="1" si="103"/>
        <v>65.454545454545453</v>
      </c>
      <c r="L341" s="189"/>
      <c r="M341" s="189"/>
      <c r="N341" s="189"/>
      <c r="O341" s="349"/>
      <c r="P341" s="349"/>
    </row>
    <row r="342" spans="1:16" ht="21.75" customHeight="1" x14ac:dyDescent="0.35">
      <c r="A342" s="183"/>
      <c r="B342" s="297"/>
      <c r="C342" s="184"/>
      <c r="D342" s="203"/>
      <c r="E342" s="203"/>
      <c r="F342" s="203"/>
      <c r="G342" s="204"/>
      <c r="H342" s="188" t="s">
        <v>122</v>
      </c>
      <c r="I342" s="351">
        <f ca="1">IFERROR(__xludf.DUMMYFUNCTION("IMPORTRANGE(""https://docs.google.com/spreadsheets/d/1IYY_tgx_IHuhSq3AJ5eI5OnqOPBNLWSHKh2a30DoXe8/edit?usp=sharing"",""พังงา!I237"")"),0)</f>
        <v>0</v>
      </c>
      <c r="J342" s="195">
        <f ca="1">IFERROR(__xludf.DUMMYFUNCTION("IMPORTRANGE(""https://docs.google.com/spreadsheets/d/1IYY_tgx_IHuhSq3AJ5eI5OnqOPBNLWSHKh2a30DoXe8/edit?usp=sharing"",""พังงา!J237"")"),597.85)</f>
        <v>597.85</v>
      </c>
      <c r="K342" s="348">
        <f t="shared" ca="1" si="103"/>
        <v>0</v>
      </c>
      <c r="L342" s="189"/>
      <c r="M342" s="189"/>
      <c r="N342" s="189"/>
      <c r="O342" s="349"/>
      <c r="P342" s="349"/>
    </row>
    <row r="343" spans="1:16" ht="21.75" customHeight="1" x14ac:dyDescent="0.35">
      <c r="A343" s="183"/>
      <c r="B343" s="297"/>
      <c r="C343" s="184"/>
      <c r="D343" s="203"/>
      <c r="E343" s="202" t="s">
        <v>124</v>
      </c>
      <c r="F343" s="203"/>
      <c r="G343" s="204"/>
      <c r="H343" s="188" t="s">
        <v>37</v>
      </c>
      <c r="I343" s="195">
        <f ca="1">IFERROR(__xludf.DUMMYFUNCTION("IMPORTRANGE(""https://docs.google.com/spreadsheets/d/1IYY_tgx_IHuhSq3AJ5eI5OnqOPBNLWSHKh2a30DoXe8/edit?usp=sharing"",""พังงา!I238"")"),110)</f>
        <v>110</v>
      </c>
      <c r="J343" s="195">
        <f ca="1">IFERROR(__xludf.DUMMYFUNCTION("IMPORTRANGE(""https://docs.google.com/spreadsheets/d/1IYY_tgx_IHuhSq3AJ5eI5OnqOPBNLWSHKh2a30DoXe8/edit?usp=sharing"",""พังงา!J238"")"),1)</f>
        <v>1</v>
      </c>
      <c r="K343" s="348">
        <f t="shared" ca="1" si="103"/>
        <v>0.90909090909090906</v>
      </c>
      <c r="L343" s="189"/>
      <c r="M343" s="189"/>
      <c r="N343" s="189"/>
      <c r="O343" s="349"/>
      <c r="P343" s="349"/>
    </row>
    <row r="344" spans="1:16" ht="21.75" customHeight="1" x14ac:dyDescent="0.35">
      <c r="A344" s="183"/>
      <c r="B344" s="297"/>
      <c r="C344" s="184"/>
      <c r="D344" s="203"/>
      <c r="E344" s="203"/>
      <c r="F344" s="203"/>
      <c r="G344" s="204"/>
      <c r="H344" s="188" t="s">
        <v>122</v>
      </c>
      <c r="I344" s="351">
        <f ca="1">IFERROR(__xludf.DUMMYFUNCTION("IMPORTRANGE(""https://docs.google.com/spreadsheets/d/1IYY_tgx_IHuhSq3AJ5eI5OnqOPBNLWSHKh2a30DoXe8/edit?usp=sharing"",""พังงา!I239"")"),0)</f>
        <v>0</v>
      </c>
      <c r="J344" s="195">
        <f ca="1">IFERROR(__xludf.DUMMYFUNCTION("IMPORTRANGE(""https://docs.google.com/spreadsheets/d/1IYY_tgx_IHuhSq3AJ5eI5OnqOPBNLWSHKh2a30DoXe8/edit?usp=sharing"",""พังงา!J239"")"),4.52)</f>
        <v>4.5199999999999996</v>
      </c>
      <c r="K344" s="348">
        <f t="shared" ca="1" si="103"/>
        <v>0</v>
      </c>
      <c r="L344" s="189"/>
      <c r="M344" s="189"/>
      <c r="N344" s="189"/>
      <c r="O344" s="349"/>
      <c r="P344" s="349"/>
    </row>
    <row r="345" spans="1:16" ht="21.75" customHeight="1" x14ac:dyDescent="0.35">
      <c r="A345" s="183"/>
      <c r="B345" s="297"/>
      <c r="C345" s="184"/>
      <c r="D345" s="203"/>
      <c r="E345" s="202" t="s">
        <v>125</v>
      </c>
      <c r="F345" s="203"/>
      <c r="G345" s="204"/>
      <c r="H345" s="188" t="s">
        <v>37</v>
      </c>
      <c r="I345" s="195">
        <f ca="1">IFERROR(__xludf.DUMMYFUNCTION("IMPORTRANGE(""https://docs.google.com/spreadsheets/d/1IYY_tgx_IHuhSq3AJ5eI5OnqOPBNLWSHKh2a30DoXe8/edit?usp=sharing"",""พังงา!I240"")"),110)</f>
        <v>110</v>
      </c>
      <c r="J345" s="195">
        <f ca="1">IFERROR(__xludf.DUMMYFUNCTION("IMPORTRANGE(""https://docs.google.com/spreadsheets/d/1IYY_tgx_IHuhSq3AJ5eI5OnqOPBNLWSHKh2a30DoXe8/edit?usp=sharing"",""พังงา!J240"")"),6)</f>
        <v>6</v>
      </c>
      <c r="K345" s="348">
        <f t="shared" ca="1" si="103"/>
        <v>5.4545454545454541</v>
      </c>
      <c r="L345" s="189"/>
      <c r="M345" s="189"/>
      <c r="N345" s="189"/>
      <c r="O345" s="349"/>
      <c r="P345" s="349"/>
    </row>
    <row r="346" spans="1:16" ht="21.75" customHeight="1" x14ac:dyDescent="0.35">
      <c r="A346" s="241"/>
      <c r="B346" s="352"/>
      <c r="C346" s="242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IFERROR(__xludf.DUMMYFUNCTION("IMPORTRANGE(""https://docs.google.com/spreadsheets/d/1IYY_tgx_IHuhSq3AJ5eI5OnqOPBNLWSHKh2a30DoXe8/edit?usp=sharing"",""พังงา!I241"")"),0)</f>
        <v>0</v>
      </c>
      <c r="J346" s="195">
        <f ca="1">IFERROR(__xludf.DUMMYFUNCTION("IMPORTRANGE(""https://docs.google.com/spreadsheets/d/1IYY_tgx_IHuhSq3AJ5eI5OnqOPBNLWSHKh2a30DoXe8/edit?usp=sharing"",""พังงา!J241"")"),64.89)</f>
        <v>64.89</v>
      </c>
      <c r="K346" s="357">
        <f t="shared" ca="1" si="103"/>
        <v>0</v>
      </c>
      <c r="L346" s="252"/>
      <c r="M346" s="252"/>
      <c r="N346" s="252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IFERROR(__xludf.DUMMYFUNCTION("IMPORTRANGE(""https://docs.google.com/spreadsheets/d/1IYY_tgx_IHuhSq3AJ5eI5OnqOPBNLWSHKh2a30DoXe8/edit?usp=sharing"",""พังงา!L242"")"),1068772)</f>
        <v>1068772</v>
      </c>
      <c r="M347" s="364"/>
      <c r="N347" s="364">
        <f ca="1">IFERROR(__xludf.DUMMYFUNCTION("IMPORTRANGE(""https://docs.google.com/spreadsheets/d/1IYY_tgx_IHuhSq3AJ5eI5OnqOPBNLWSHKh2a30DoXe8/edit?usp=sharing"",""พังงา!M242"")"),127900)</f>
        <v>127900</v>
      </c>
      <c r="O347" s="364">
        <f ca="1">+IF(L347&gt;0,N347*100/L347,0)</f>
        <v>11.967005123637222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IFERROR(__xludf.DUMMYFUNCTION("IMPORTRANGE(""https://docs.google.com/spreadsheets/d/1IYY_tgx_IHuhSq3AJ5eI5OnqOPBNLWSHKh2a30DoXe8/edit?usp=sharing"",""พังงา!I244"")"),30)</f>
        <v>30</v>
      </c>
      <c r="J349" s="377">
        <f ca="1">IFERROR(__xludf.DUMMYFUNCTION("IMPORTRANGE(""https://docs.google.com/spreadsheets/d/1IYY_tgx_IHuhSq3AJ5eI5OnqOPBNLWSHKh2a30DoXe8/edit?usp=sharing"",""พังงา!J244"")"),0)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IFERROR(__xludf.DUMMYFUNCTION("IMPORTRANGE(""https://docs.google.com/spreadsheets/d/1IYY_tgx_IHuhSq3AJ5eI5OnqOPBNLWSHKh2a30DoXe8/edit?usp=sharing"",""พังงา!L244"")"),72420)</f>
        <v>72420</v>
      </c>
      <c r="M349" s="379"/>
      <c r="N349" s="379">
        <f ca="1">IFERROR(__xludf.DUMMYFUNCTION("IMPORTRANGE(""https://docs.google.com/spreadsheets/d/1IYY_tgx_IHuhSq3AJ5eI5OnqOPBNLWSHKh2a30DoXe8/edit?usp=sharing"",""พังงา!M244"")"),11200)</f>
        <v>11200</v>
      </c>
      <c r="O349" s="379">
        <f ca="1">+IF(L349&gt;0,N349*100/L349,0)</f>
        <v>15.465341066003866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IFERROR(__xludf.DUMMYFUNCTION("IMPORTRANGE(""https://docs.google.com/spreadsheets/d/1IYY_tgx_IHuhSq3AJ5eI5OnqOPBNLWSHKh2a30DoXe8/edit?usp=sharing"",""พังงา!I245"")"),15)</f>
        <v>15</v>
      </c>
      <c r="J350" s="377">
        <f ca="1">IFERROR(__xludf.DUMMYFUNCTION("IMPORTRANGE(""https://docs.google.com/spreadsheets/d/1IYY_tgx_IHuhSq3AJ5eI5OnqOPBNLWSHKh2a30DoXe8/edit?usp=sharing"",""พังงา!J245"")"),0)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164" t="s">
        <v>38</v>
      </c>
      <c r="E351" s="165"/>
      <c r="F351" s="165"/>
      <c r="G351" s="166" t="s">
        <v>39</v>
      </c>
      <c r="H351" s="167" t="s">
        <v>12</v>
      </c>
      <c r="I351" s="168" t="s">
        <v>40</v>
      </c>
      <c r="J351" s="168"/>
      <c r="K351" s="169"/>
      <c r="L351" s="170">
        <f ca="1">IFERROR(__xludf.DUMMYFUNCTION("IMPORTRANGE(""https://docs.google.com/spreadsheets/d/1IYY_tgx_IHuhSq3AJ5eI5OnqOPBNLWSHKh2a30DoXe8/edit?usp=sharing"",""พังงา!L246"")"),0)</f>
        <v>0</v>
      </c>
      <c r="M351" s="170"/>
      <c r="N351" s="170">
        <f ca="1">IFERROR(__xludf.DUMMYFUNCTION("IMPORTRANGE(""https://docs.google.com/spreadsheets/d/1IYY_tgx_IHuhSq3AJ5eI5OnqOPBNLWSHKh2a30DoXe8/edit?usp=sharing"",""พังงา!M246"")"),0)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 x14ac:dyDescent="0.35">
      <c r="A352" s="162"/>
      <c r="B352" s="163"/>
      <c r="C352" s="163"/>
      <c r="D352" s="172"/>
      <c r="E352" s="165"/>
      <c r="F352" s="165" t="s">
        <v>40</v>
      </c>
      <c r="G352" s="166" t="s">
        <v>41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IFERROR(__xludf.DUMMYFUNCTION("IMPORTRANGE(""https://docs.google.com/spreadsheets/d/1IYY_tgx_IHuhSq3AJ5eI5OnqOPBNLWSHKh2a30DoXe8/edit?usp=sharing"",""พังงา!L247"")"),72420)</f>
        <v>72420</v>
      </c>
      <c r="M352" s="171"/>
      <c r="N352" s="170">
        <f ca="1">IFERROR(__xludf.DUMMYFUNCTION("IMPORTRANGE(""https://docs.google.com/spreadsheets/d/1IYY_tgx_IHuhSq3AJ5eI5OnqOPBNLWSHKh2a30DoXe8/edit?usp=sharing"",""พังงา!M247"")"),11200)</f>
        <v>11200</v>
      </c>
      <c r="O352" s="171">
        <f t="shared" ca="1" si="105"/>
        <v>15.465341066003866</v>
      </c>
      <c r="P352" s="171"/>
    </row>
    <row r="353" spans="1:16" ht="21.75" customHeight="1" x14ac:dyDescent="0.35">
      <c r="A353" s="162"/>
      <c r="B353" s="163"/>
      <c r="C353" s="163"/>
      <c r="D353" s="172"/>
      <c r="E353" s="165"/>
      <c r="F353" s="165"/>
      <c r="G353" s="380" t="s">
        <v>129</v>
      </c>
      <c r="H353" s="167" t="s">
        <v>12</v>
      </c>
      <c r="I353" s="168"/>
      <c r="J353" s="168"/>
      <c r="K353" s="169"/>
      <c r="L353" s="176">
        <f ca="1">IFERROR(__xludf.DUMMYFUNCTION("IMPORTRANGE(""https://docs.google.com/spreadsheets/d/1IYY_tgx_IHuhSq3AJ5eI5OnqOPBNLWSHKh2a30DoXe8/edit?usp=sharing"",""พังงา!L248"")"),0)</f>
        <v>0</v>
      </c>
      <c r="M353" s="176"/>
      <c r="N353" s="176">
        <f ca="1">IFERROR(__xludf.DUMMYFUNCTION("IMPORTRANGE(""https://docs.google.com/spreadsheets/d/1IYY_tgx_IHuhSq3AJ5eI5OnqOPBNLWSHKh2a30DoXe8/edit?usp=sharing"",""พังงา!M248"")"),0)</f>
        <v>0</v>
      </c>
      <c r="O353" s="176">
        <f t="shared" ca="1" si="105"/>
        <v>0</v>
      </c>
      <c r="P353" s="176"/>
    </row>
    <row r="354" spans="1:16" ht="21.75" customHeight="1" x14ac:dyDescent="0.35">
      <c r="A354" s="162"/>
      <c r="B354" s="163"/>
      <c r="C354" s="163"/>
      <c r="D354" s="172"/>
      <c r="E354" s="165"/>
      <c r="F354" s="165"/>
      <c r="G354" s="380" t="s">
        <v>130</v>
      </c>
      <c r="H354" s="167" t="s">
        <v>12</v>
      </c>
      <c r="I354" s="168"/>
      <c r="J354" s="168"/>
      <c r="K354" s="169"/>
      <c r="L354" s="176">
        <f ca="1">IFERROR(__xludf.DUMMYFUNCTION("IMPORTRANGE(""https://docs.google.com/spreadsheets/d/1IYY_tgx_IHuhSq3AJ5eI5OnqOPBNLWSHKh2a30DoXe8/edit?usp=sharing"",""พังงา!L249"")"),72420)</f>
        <v>72420</v>
      </c>
      <c r="M354" s="176"/>
      <c r="N354" s="173">
        <f ca="1">IFERROR(__xludf.DUMMYFUNCTION("IMPORTRANGE(""https://docs.google.com/spreadsheets/d/1IYY_tgx_IHuhSq3AJ5eI5OnqOPBNLWSHKh2a30DoXe8/edit?usp=sharing"",""พังงา!M249"")"),11200)</f>
        <v>11200</v>
      </c>
      <c r="O354" s="176">
        <f t="shared" ca="1" si="105"/>
        <v>15.465341066003866</v>
      </c>
      <c r="P354" s="176"/>
    </row>
    <row r="355" spans="1:16" ht="21.75" customHeight="1" x14ac:dyDescent="0.35">
      <c r="A355" s="381"/>
      <c r="B355" s="382"/>
      <c r="C355" s="163"/>
      <c r="D355" s="383"/>
      <c r="E355" s="165"/>
      <c r="F355" s="165"/>
      <c r="G355" s="384" t="s">
        <v>131</v>
      </c>
      <c r="H355" s="167" t="s">
        <v>12</v>
      </c>
      <c r="I355" s="195"/>
      <c r="J355" s="195"/>
      <c r="K355" s="231"/>
      <c r="L355" s="176"/>
      <c r="M355" s="176"/>
      <c r="N355" s="385">
        <f ca="1">IFERROR(__xludf.DUMMYFUNCTION("IMPORTRANGE(""https://docs.google.com/spreadsheets/d/1IYY_tgx_IHuhSq3AJ5eI5OnqOPBNLWSHKh2a30DoXe8/edit?usp=sharing"",""พังงา!M250"")"),7640)</f>
        <v>7640</v>
      </c>
      <c r="O355" s="176"/>
      <c r="P355" s="176"/>
    </row>
    <row r="356" spans="1:16" ht="21.75" customHeight="1" x14ac:dyDescent="0.35">
      <c r="A356" s="381"/>
      <c r="B356" s="382"/>
      <c r="C356" s="163"/>
      <c r="D356" s="383"/>
      <c r="E356" s="165"/>
      <c r="F356" s="165"/>
      <c r="G356" s="384" t="s">
        <v>132</v>
      </c>
      <c r="H356" s="167" t="s">
        <v>12</v>
      </c>
      <c r="I356" s="195"/>
      <c r="J356" s="195"/>
      <c r="K356" s="231"/>
      <c r="L356" s="176"/>
      <c r="M356" s="176"/>
      <c r="N356" s="385">
        <f ca="1">IFERROR(__xludf.DUMMYFUNCTION("IMPORTRANGE(""https://docs.google.com/spreadsheets/d/1IYY_tgx_IHuhSq3AJ5eI5OnqOPBNLWSHKh2a30DoXe8/edit?usp=sharing"",""พังงา!M251"")"),0)</f>
        <v>0</v>
      </c>
      <c r="O356" s="176"/>
      <c r="P356" s="176"/>
    </row>
    <row r="357" spans="1:16" ht="21.75" customHeight="1" x14ac:dyDescent="0.35">
      <c r="A357" s="381"/>
      <c r="B357" s="382"/>
      <c r="C357" s="163"/>
      <c r="D357" s="383"/>
      <c r="E357" s="165"/>
      <c r="F357" s="165"/>
      <c r="G357" s="384" t="s">
        <v>133</v>
      </c>
      <c r="H357" s="167" t="s">
        <v>12</v>
      </c>
      <c r="I357" s="195"/>
      <c r="J357" s="195"/>
      <c r="K357" s="231"/>
      <c r="L357" s="176"/>
      <c r="M357" s="176"/>
      <c r="N357" s="385">
        <f ca="1">IFERROR(__xludf.DUMMYFUNCTION("IMPORTRANGE(""https://docs.google.com/spreadsheets/d/1IYY_tgx_IHuhSq3AJ5eI5OnqOPBNLWSHKh2a30DoXe8/edit?usp=sharing"",""พังงา!M252"")"),0)</f>
        <v>0</v>
      </c>
      <c r="O357" s="176"/>
      <c r="P357" s="176"/>
    </row>
    <row r="358" spans="1:16" ht="21.75" customHeight="1" x14ac:dyDescent="0.35">
      <c r="A358" s="381"/>
      <c r="B358" s="382"/>
      <c r="C358" s="163"/>
      <c r="D358" s="383"/>
      <c r="E358" s="165"/>
      <c r="F358" s="165"/>
      <c r="G358" s="384" t="s">
        <v>134</v>
      </c>
      <c r="H358" s="167" t="s">
        <v>12</v>
      </c>
      <c r="I358" s="195"/>
      <c r="J358" s="195"/>
      <c r="K358" s="231"/>
      <c r="L358" s="176"/>
      <c r="M358" s="176"/>
      <c r="N358" s="385">
        <f ca="1">IFERROR(__xludf.DUMMYFUNCTION("IMPORTRANGE(""https://docs.google.com/spreadsheets/d/1IYY_tgx_IHuhSq3AJ5eI5OnqOPBNLWSHKh2a30DoXe8/edit?usp=sharing"",""พังงา!M253"")"),3560)</f>
        <v>3560</v>
      </c>
      <c r="O358" s="176"/>
      <c r="P358" s="176"/>
    </row>
    <row r="359" spans="1:16" ht="21.75" customHeight="1" x14ac:dyDescent="0.35">
      <c r="A359" s="183"/>
      <c r="B359" s="184"/>
      <c r="C359" s="163" t="s">
        <v>16</v>
      </c>
      <c r="D359" s="185" t="s">
        <v>44</v>
      </c>
      <c r="E359" s="186"/>
      <c r="F359" s="186"/>
      <c r="G359" s="187"/>
      <c r="H359" s="188"/>
      <c r="I359" s="168"/>
      <c r="J359" s="168"/>
      <c r="K359" s="169"/>
      <c r="L359" s="189"/>
      <c r="M359" s="189"/>
      <c r="N359" s="189"/>
      <c r="O359" s="189"/>
      <c r="P359" s="189"/>
    </row>
    <row r="360" spans="1:16" ht="21.75" customHeight="1" x14ac:dyDescent="0.35">
      <c r="A360" s="183"/>
      <c r="B360" s="184"/>
      <c r="C360" s="184"/>
      <c r="D360" s="190">
        <v>1</v>
      </c>
      <c r="E360" s="191" t="s">
        <v>45</v>
      </c>
      <c r="F360" s="192"/>
      <c r="G360" s="193"/>
      <c r="H360" s="194"/>
      <c r="I360" s="195"/>
      <c r="J360" s="205">
        <f ca="1">IFERROR(__xludf.DUMMYFUNCTION("IMPORTRANGE(""https://docs.google.com/spreadsheets/d/1IYY_tgx_IHuhSq3AJ5eI5OnqOPBNLWSHKh2a30DoXe8/edit?usp=sharing"",""พังงา!J255"")"),0)</f>
        <v>0</v>
      </c>
      <c r="K360" s="169"/>
      <c r="L360" s="189"/>
      <c r="M360" s="189"/>
      <c r="N360" s="189"/>
      <c r="O360" s="189"/>
      <c r="P360" s="189"/>
    </row>
    <row r="361" spans="1:16" ht="21.75" customHeight="1" x14ac:dyDescent="0.35">
      <c r="A361" s="183"/>
      <c r="B361" s="184"/>
      <c r="C361" s="184"/>
      <c r="D361" s="197">
        <v>2</v>
      </c>
      <c r="E361" s="198" t="s">
        <v>46</v>
      </c>
      <c r="F361" s="199"/>
      <c r="G361" s="200"/>
      <c r="H361" s="194"/>
      <c r="I361" s="195"/>
      <c r="J361" s="196">
        <f ca="1">IFERROR(__xludf.DUMMYFUNCTION("IMPORTRANGE(""https://docs.google.com/spreadsheets/d/1IYY_tgx_IHuhSq3AJ5eI5OnqOPBNLWSHKh2a30DoXe8/edit?usp=sharing"",""พังงา!J256"")"),1)</f>
        <v>1</v>
      </c>
      <c r="K361" s="169"/>
      <c r="L361" s="189" t="s">
        <v>40</v>
      </c>
      <c r="M361" s="189"/>
      <c r="N361" s="189" t="s">
        <v>40</v>
      </c>
      <c r="O361" s="189"/>
      <c r="P361" s="189"/>
    </row>
    <row r="362" spans="1:16" ht="21.75" customHeight="1" x14ac:dyDescent="0.35">
      <c r="A362" s="183"/>
      <c r="B362" s="184"/>
      <c r="C362" s="184"/>
      <c r="D362" s="201"/>
      <c r="E362" s="202" t="s">
        <v>47</v>
      </c>
      <c r="F362" s="203"/>
      <c r="G362" s="204"/>
      <c r="H362" s="194"/>
      <c r="I362" s="195"/>
      <c r="J362" s="196">
        <f ca="1">IFERROR(__xludf.DUMMYFUNCTION("IMPORTRANGE(""https://docs.google.com/spreadsheets/d/1IYY_tgx_IHuhSq3AJ5eI5OnqOPBNLWSHKh2a30DoXe8/edit?usp=sharing"",""พังงา!J257"")"),1)</f>
        <v>1</v>
      </c>
      <c r="K362" s="169"/>
      <c r="L362" s="189"/>
      <c r="M362" s="189"/>
      <c r="N362" s="189"/>
      <c r="O362" s="189"/>
      <c r="P362" s="189"/>
    </row>
    <row r="363" spans="1:16" ht="21.75" customHeight="1" x14ac:dyDescent="0.35">
      <c r="A363" s="183"/>
      <c r="B363" s="184"/>
      <c r="C363" s="184"/>
      <c r="D363" s="201"/>
      <c r="E363" s="202" t="s">
        <v>48</v>
      </c>
      <c r="F363" s="203"/>
      <c r="G363" s="204"/>
      <c r="H363" s="194"/>
      <c r="I363" s="195"/>
      <c r="J363" s="205">
        <f ca="1">IFERROR(__xludf.DUMMYFUNCTION("IMPORTRANGE(""https://docs.google.com/spreadsheets/d/1IYY_tgx_IHuhSq3AJ5eI5OnqOPBNLWSHKh2a30DoXe8/edit?usp=sharing"",""พังงา!J258"")"),1)</f>
        <v>1</v>
      </c>
      <c r="K363" s="169"/>
      <c r="L363" s="189"/>
      <c r="M363" s="189"/>
      <c r="N363" s="189"/>
      <c r="O363" s="189"/>
      <c r="P363" s="189"/>
    </row>
    <row r="364" spans="1:16" ht="21.75" hidden="1" customHeight="1" x14ac:dyDescent="0.35">
      <c r="A364" s="183"/>
      <c r="B364" s="184"/>
      <c r="C364" s="184"/>
      <c r="D364" s="201"/>
      <c r="E364" s="206"/>
      <c r="F364" s="202" t="s">
        <v>70</v>
      </c>
      <c r="G364" s="204"/>
      <c r="H364" s="188"/>
      <c r="I364" s="195"/>
      <c r="J364" s="195">
        <f ca="1">IFERROR(__xludf.DUMMYFUNCTION("IMPORTRANGE(""https://docs.google.com/spreadsheets/d/1IYY_tgx_IHuhSq3AJ5eI5OnqOPBNLWSHKh2a30DoXe8/edit?usp=sharing"",""พังงา!J166"")"),0)</f>
        <v>0</v>
      </c>
      <c r="K364" s="169"/>
      <c r="L364" s="189"/>
      <c r="M364" s="189"/>
      <c r="N364" s="189"/>
      <c r="O364" s="189"/>
      <c r="P364" s="189"/>
    </row>
    <row r="365" spans="1:16" ht="21.75" hidden="1" customHeight="1" x14ac:dyDescent="0.35">
      <c r="A365" s="183"/>
      <c r="B365" s="184"/>
      <c r="C365" s="184"/>
      <c r="D365" s="201"/>
      <c r="E365" s="206"/>
      <c r="F365" s="203"/>
      <c r="G365" s="233" t="s">
        <v>135</v>
      </c>
      <c r="H365" s="188" t="s">
        <v>37</v>
      </c>
      <c r="I365" s="195">
        <f ca="1">IFERROR(__xludf.DUMMYFUNCTION("IMPORTRANGE(""https://docs.google.com/spreadsheets/d/1C3CXT74ZlgGe6_JY_1olB1XN4rF0dxEuIIF-xsYjHgg/edit?usp=sharing"",""งบกองทุน!f63"")"),0)</f>
        <v>0</v>
      </c>
      <c r="J365" s="195">
        <f ca="1">IFERROR(__xludf.DUMMYFUNCTION("IMPORTRANGE(""https://docs.google.com/spreadsheets/d/1IYY_tgx_IHuhSq3AJ5eI5OnqOPBNLWSHKh2a30DoXe8/edit?usp=sharing"",""พังงา!J166"")"),0)</f>
        <v>0</v>
      </c>
      <c r="K365" s="169">
        <f ca="1">IF(I365&gt;0,J365*100/I365,0)</f>
        <v>0</v>
      </c>
      <c r="L365" s="189"/>
      <c r="M365" s="189"/>
      <c r="N365" s="189"/>
      <c r="O365" s="189"/>
      <c r="P365" s="189"/>
    </row>
    <row r="366" spans="1:16" ht="21.75" hidden="1" customHeight="1" x14ac:dyDescent="0.35">
      <c r="A366" s="183"/>
      <c r="B366" s="184"/>
      <c r="C366" s="184"/>
      <c r="D366" s="201"/>
      <c r="E366" s="206"/>
      <c r="F366" s="203"/>
      <c r="G366" s="204" t="s">
        <v>136</v>
      </c>
      <c r="H366" s="188"/>
      <c r="I366" s="168"/>
      <c r="J366" s="195">
        <f ca="1">IFERROR(__xludf.DUMMYFUNCTION("IMPORTRANGE(""https://docs.google.com/spreadsheets/d/1IYY_tgx_IHuhSq3AJ5eI5OnqOPBNLWSHKh2a30DoXe8/edit?usp=sharing"",""พังงา!J166"")"),0)</f>
        <v>0</v>
      </c>
      <c r="K366" s="169"/>
      <c r="L366" s="189"/>
      <c r="M366" s="189"/>
      <c r="N366" s="189"/>
      <c r="O366" s="189"/>
      <c r="P366" s="189"/>
    </row>
    <row r="367" spans="1:16" ht="21.75" hidden="1" customHeight="1" x14ac:dyDescent="0.35">
      <c r="A367" s="183"/>
      <c r="B367" s="184"/>
      <c r="C367" s="184"/>
      <c r="D367" s="201"/>
      <c r="E367" s="206"/>
      <c r="F367" s="203"/>
      <c r="G367" s="233" t="s">
        <v>137</v>
      </c>
      <c r="H367" s="194" t="s">
        <v>122</v>
      </c>
      <c r="I367" s="195">
        <f ca="1">SUM(I369,I371)</f>
        <v>0</v>
      </c>
      <c r="J367" s="195">
        <f ca="1">IFERROR(__xludf.DUMMYFUNCTION("IMPORTRANGE(""https://docs.google.com/spreadsheets/d/1IYY_tgx_IHuhSq3AJ5eI5OnqOPBNLWSHKh2a30DoXe8/edit?usp=sharing"",""พังงา!J166"")"),0)</f>
        <v>0</v>
      </c>
      <c r="K367" s="169">
        <f t="shared" ref="K367:K373" ca="1" si="106">IF(I367&gt;0,J367*100/I367,0)</f>
        <v>0</v>
      </c>
      <c r="L367" s="189"/>
      <c r="M367" s="189"/>
      <c r="N367" s="189"/>
      <c r="O367" s="189"/>
      <c r="P367" s="189"/>
    </row>
    <row r="368" spans="1:16" ht="21.75" customHeight="1" x14ac:dyDescent="0.35">
      <c r="A368" s="183"/>
      <c r="B368" s="184"/>
      <c r="C368" s="184"/>
      <c r="D368" s="201"/>
      <c r="E368" s="206"/>
      <c r="F368" s="386" t="s">
        <v>138</v>
      </c>
      <c r="G368" s="387"/>
      <c r="H368" s="194" t="s">
        <v>37</v>
      </c>
      <c r="I368" s="168">
        <f ca="1">IFERROR(__xludf.DUMMYFUNCTION("IMPORTRANGE(""https://docs.google.com/spreadsheets/d/1IYY_tgx_IHuhSq3AJ5eI5OnqOPBNLWSHKh2a30DoXe8/edit?usp=sharing"",""พังงา!I263"")"),15)</f>
        <v>15</v>
      </c>
      <c r="J368" s="195">
        <f ca="1">IFERROR(__xludf.DUMMYFUNCTION("IMPORTRANGE(""https://docs.google.com/spreadsheets/d/1IYY_tgx_IHuhSq3AJ5eI5OnqOPBNLWSHKh2a30DoXe8/edit?usp=sharing"",""พังงา!J263"")"),0)</f>
        <v>0</v>
      </c>
      <c r="K368" s="169">
        <f t="shared" ca="1" si="106"/>
        <v>0</v>
      </c>
      <c r="L368" s="189"/>
      <c r="M368" s="189"/>
      <c r="N368" s="189"/>
      <c r="O368" s="189"/>
      <c r="P368" s="189"/>
    </row>
    <row r="369" spans="1:16" ht="21.75" hidden="1" customHeight="1" x14ac:dyDescent="0.35">
      <c r="A369" s="183"/>
      <c r="B369" s="184"/>
      <c r="C369" s="184"/>
      <c r="D369" s="201"/>
      <c r="E369" s="206"/>
      <c r="F369" s="203"/>
      <c r="G369" s="387"/>
      <c r="H369" s="188" t="s">
        <v>122</v>
      </c>
      <c r="I369" s="168">
        <f ca="1">IFERROR(__xludf.DUMMYFUNCTION("IMPORTRANGE(""https://docs.google.com/spreadsheets/d/1IYY_tgx_IHuhSq3AJ5eI5OnqOPBNLWSHKh2a30DoXe8/edit?usp=sharing"",""พังงา!I164"")"),0)</f>
        <v>0</v>
      </c>
      <c r="J369" s="211">
        <f ca="1">IFERROR(__xludf.DUMMYFUNCTION("IMPORTRANGE(""https://docs.google.com/spreadsheets/d/1IYY_tgx_IHuhSq3AJ5eI5OnqOPBNLWSHKh2a30DoXe8/edit?usp=sharing"",""พังงา!J164"")"),0)</f>
        <v>0</v>
      </c>
      <c r="K369" s="169">
        <f t="shared" ca="1" si="106"/>
        <v>0</v>
      </c>
      <c r="L369" s="189"/>
      <c r="M369" s="189"/>
      <c r="N369" s="189"/>
      <c r="O369" s="189"/>
      <c r="P369" s="189"/>
    </row>
    <row r="370" spans="1:16" ht="21.75" customHeight="1" x14ac:dyDescent="0.35">
      <c r="A370" s="183"/>
      <c r="B370" s="184"/>
      <c r="C370" s="184"/>
      <c r="D370" s="201"/>
      <c r="E370" s="206"/>
      <c r="F370" s="203"/>
      <c r="G370" s="386" t="s">
        <v>139</v>
      </c>
      <c r="H370" s="188" t="s">
        <v>37</v>
      </c>
      <c r="I370" s="168">
        <f ca="1">IFERROR(__xludf.DUMMYFUNCTION("IMPORTRANGE(""https://docs.google.com/spreadsheets/d/1IYY_tgx_IHuhSq3AJ5eI5OnqOPBNLWSHKh2a30DoXe8/edit?usp=sharing"",""พังงา!I265"")"),15)</f>
        <v>15</v>
      </c>
      <c r="J370" s="211">
        <f ca="1">IFERROR(__xludf.DUMMYFUNCTION("IMPORTRANGE(""https://docs.google.com/spreadsheets/d/1IYY_tgx_IHuhSq3AJ5eI5OnqOPBNLWSHKh2a30DoXe8/edit?usp=sharing"",""พังงา!J265"")"),10)</f>
        <v>10</v>
      </c>
      <c r="K370" s="169">
        <f t="shared" ca="1" si="106"/>
        <v>66.666666666666671</v>
      </c>
      <c r="L370" s="189"/>
      <c r="M370" s="189"/>
      <c r="N370" s="189"/>
      <c r="O370" s="189"/>
      <c r="P370" s="189"/>
    </row>
    <row r="371" spans="1:16" ht="21.75" hidden="1" customHeight="1" x14ac:dyDescent="0.35">
      <c r="A371" s="183"/>
      <c r="B371" s="184"/>
      <c r="C371" s="184"/>
      <c r="D371" s="201"/>
      <c r="E371" s="206"/>
      <c r="F371" s="203"/>
      <c r="G371" s="387"/>
      <c r="H371" s="188" t="s">
        <v>122</v>
      </c>
      <c r="I371" s="168">
        <f ca="1">IFERROR(__xludf.DUMMYFUNCTION("IMPORTRANGE(""https://docs.google.com/spreadsheets/d/1IYY_tgx_IHuhSq3AJ5eI5OnqOPBNLWSHKh2a30DoXe8/edit?usp=sharing"",""พังงา!I164"")"),0)</f>
        <v>0</v>
      </c>
      <c r="J371" s="196">
        <f ca="1">IFERROR(__xludf.DUMMYFUNCTION("IMPORTRANGE(""https://docs.google.com/spreadsheets/d/1IYY_tgx_IHuhSq3AJ5eI5OnqOPBNLWSHKh2a30DoXe8/edit?usp=sharing"",""พังงา!J164"")"),0)</f>
        <v>0</v>
      </c>
      <c r="K371" s="169">
        <f t="shared" ca="1" si="106"/>
        <v>0</v>
      </c>
      <c r="L371" s="189"/>
      <c r="M371" s="189"/>
      <c r="N371" s="189"/>
      <c r="O371" s="189"/>
      <c r="P371" s="189"/>
    </row>
    <row r="372" spans="1:16" ht="21.75" customHeight="1" x14ac:dyDescent="0.35">
      <c r="A372" s="183"/>
      <c r="B372" s="184"/>
      <c r="C372" s="184"/>
      <c r="D372" s="201"/>
      <c r="E372" s="206"/>
      <c r="F372" s="203"/>
      <c r="G372" s="386" t="s">
        <v>140</v>
      </c>
      <c r="H372" s="188" t="s">
        <v>37</v>
      </c>
      <c r="I372" s="168">
        <f ca="1">IFERROR(__xludf.DUMMYFUNCTION("IMPORTRANGE(""https://docs.google.com/spreadsheets/d/1IYY_tgx_IHuhSq3AJ5eI5OnqOPBNLWSHKh2a30DoXe8/edit?usp=sharing"",""พังงา!I267"")"),15)</f>
        <v>15</v>
      </c>
      <c r="J372" s="196">
        <f ca="1">IFERROR(__xludf.DUMMYFUNCTION("IMPORTRANGE(""https://docs.google.com/spreadsheets/d/1IYY_tgx_IHuhSq3AJ5eI5OnqOPBNLWSHKh2a30DoXe8/edit?usp=sharing"",""พังงา!J267"")"),0)</f>
        <v>0</v>
      </c>
      <c r="K372" s="169">
        <f t="shared" ca="1" si="106"/>
        <v>0</v>
      </c>
      <c r="L372" s="189"/>
      <c r="M372" s="189"/>
      <c r="N372" s="189"/>
      <c r="O372" s="189"/>
      <c r="P372" s="189"/>
    </row>
    <row r="373" spans="1:16" ht="21.75" hidden="1" customHeight="1" x14ac:dyDescent="0.35">
      <c r="A373" s="183"/>
      <c r="B373" s="184"/>
      <c r="C373" s="184"/>
      <c r="D373" s="201"/>
      <c r="E373" s="206"/>
      <c r="F373" s="203"/>
      <c r="G373" s="233" t="s">
        <v>141</v>
      </c>
      <c r="H373" s="188" t="s">
        <v>37</v>
      </c>
      <c r="I373" s="195">
        <f ca="1">IFERROR(__xludf.DUMMYFUNCTION("IMPORTRANGE(""https://docs.google.com/spreadsheets/d/1IYY_tgx_IHuhSq3AJ5eI5OnqOPBNLWSHKh2a30DoXe8/edit?usp=sharing"",""พังงา!I164"")"),0)</f>
        <v>0</v>
      </c>
      <c r="J373" s="211">
        <f ca="1">IFERROR(__xludf.DUMMYFUNCTION("IMPORTRANGE(""https://docs.google.com/spreadsheets/d/1IYY_tgx_IHuhSq3AJ5eI5OnqOPBNLWSHKh2a30DoXe8/edit?usp=sharing"",""พังงา!J164"")"),0)</f>
        <v>0</v>
      </c>
      <c r="K373" s="169">
        <f t="shared" ca="1" si="106"/>
        <v>0</v>
      </c>
      <c r="L373" s="189"/>
      <c r="M373" s="189"/>
      <c r="N373" s="189"/>
      <c r="O373" s="189"/>
      <c r="P373" s="189"/>
    </row>
    <row r="374" spans="1:16" ht="21.75" hidden="1" customHeight="1" x14ac:dyDescent="0.35">
      <c r="A374" s="183"/>
      <c r="B374" s="184"/>
      <c r="C374" s="184"/>
      <c r="D374" s="201"/>
      <c r="E374" s="206"/>
      <c r="F374" s="203"/>
      <c r="G374" s="204" t="s">
        <v>142</v>
      </c>
      <c r="H374" s="188"/>
      <c r="I374" s="195">
        <f ca="1">IFERROR(__xludf.DUMMYFUNCTION("IMPORTRANGE(""https://docs.google.com/spreadsheets/d/1IYY_tgx_IHuhSq3AJ5eI5OnqOPBNLWSHKh2a30DoXe8/edit?usp=sharing"",""พังงา!I164"")"),0)</f>
        <v>0</v>
      </c>
      <c r="J374" s="195">
        <f ca="1">IFERROR(__xludf.DUMMYFUNCTION("IMPORTRANGE(""https://docs.google.com/spreadsheets/d/1IYY_tgx_IHuhSq3AJ5eI5OnqOPBNLWSHKh2a30DoXe8/edit?usp=sharing"",""พังงา!J164"")"),0)</f>
        <v>0</v>
      </c>
      <c r="K374" s="169"/>
      <c r="L374" s="189"/>
      <c r="M374" s="189"/>
      <c r="N374" s="189"/>
      <c r="O374" s="189"/>
      <c r="P374" s="189"/>
    </row>
    <row r="375" spans="1:16" ht="21.75" customHeight="1" x14ac:dyDescent="0.35">
      <c r="A375" s="183"/>
      <c r="B375" s="184"/>
      <c r="C375" s="184"/>
      <c r="D375" s="201"/>
      <c r="E375" s="203"/>
      <c r="F375" s="212" t="s">
        <v>53</v>
      </c>
      <c r="G375" s="204"/>
      <c r="H375" s="286" t="s">
        <v>122</v>
      </c>
      <c r="I375" s="195">
        <f ca="1">IFERROR(__xludf.DUMMYFUNCTION("IMPORTRANGE(""https://docs.google.com/spreadsheets/d/1IYY_tgx_IHuhSq3AJ5eI5OnqOPBNLWSHKh2a30DoXe8/edit?usp=sharing"",""พังงา!I270"")"),30)</f>
        <v>30</v>
      </c>
      <c r="J375" s="195">
        <f ca="1">IFERROR(__xludf.DUMMYFUNCTION("IMPORTRANGE(""https://docs.google.com/spreadsheets/d/1IYY_tgx_IHuhSq3AJ5eI5OnqOPBNLWSHKh2a30DoXe8/edit?usp=sharing"",""พังงา!J270"")"),0)</f>
        <v>0</v>
      </c>
      <c r="K375" s="169">
        <f t="shared" ref="K375:K377" ca="1" si="107">IF(I375&gt;0,J375*100/I375,0)</f>
        <v>0</v>
      </c>
      <c r="L375" s="189"/>
      <c r="M375" s="189"/>
      <c r="N375" s="189"/>
      <c r="O375" s="189"/>
      <c r="P375" s="189"/>
    </row>
    <row r="376" spans="1:16" ht="21.75" customHeight="1" x14ac:dyDescent="0.35">
      <c r="A376" s="183"/>
      <c r="B376" s="184"/>
      <c r="C376" s="184"/>
      <c r="D376" s="201"/>
      <c r="E376" s="203"/>
      <c r="F376" s="203"/>
      <c r="G376" s="287" t="s">
        <v>143</v>
      </c>
      <c r="H376" s="286" t="s">
        <v>122</v>
      </c>
      <c r="I376" s="195">
        <f ca="1">IFERROR(__xludf.DUMMYFUNCTION("IMPORTRANGE(""https://docs.google.com/spreadsheets/d/1IYY_tgx_IHuhSq3AJ5eI5OnqOPBNLWSHKh2a30DoXe8/edit?usp=sharing"",""พังงา!I271"")"),20)</f>
        <v>20</v>
      </c>
      <c r="J376" s="196">
        <f ca="1">IFERROR(__xludf.DUMMYFUNCTION("IMPORTRANGE(""https://docs.google.com/spreadsheets/d/1IYY_tgx_IHuhSq3AJ5eI5OnqOPBNLWSHKh2a30DoXe8/edit?usp=sharing"",""พังงา!J271"")"),0)</f>
        <v>0</v>
      </c>
      <c r="K376" s="169">
        <f t="shared" ca="1" si="107"/>
        <v>0</v>
      </c>
      <c r="L376" s="189"/>
      <c r="M376" s="189"/>
      <c r="N376" s="189"/>
      <c r="O376" s="189"/>
      <c r="P376" s="189"/>
    </row>
    <row r="377" spans="1:16" ht="21.75" customHeight="1" x14ac:dyDescent="0.35">
      <c r="A377" s="183"/>
      <c r="B377" s="184"/>
      <c r="C377" s="184"/>
      <c r="D377" s="201"/>
      <c r="E377" s="203"/>
      <c r="F377" s="203"/>
      <c r="G377" s="287" t="s">
        <v>144</v>
      </c>
      <c r="H377" s="286" t="s">
        <v>122</v>
      </c>
      <c r="I377" s="195">
        <f ca="1">IFERROR(__xludf.DUMMYFUNCTION("IMPORTRANGE(""https://docs.google.com/spreadsheets/d/1IYY_tgx_IHuhSq3AJ5eI5OnqOPBNLWSHKh2a30DoXe8/edit?usp=sharing"",""พังงา!I272"")"),10)</f>
        <v>10</v>
      </c>
      <c r="J377" s="211">
        <f ca="1">IFERROR(__xludf.DUMMYFUNCTION("IMPORTRANGE(""https://docs.google.com/spreadsheets/d/1IYY_tgx_IHuhSq3AJ5eI5OnqOPBNLWSHKh2a30DoXe8/edit?usp=sharing"",""พังงา!J272"")"),0)</f>
        <v>0</v>
      </c>
      <c r="K377" s="169">
        <f t="shared" ca="1" si="107"/>
        <v>0</v>
      </c>
      <c r="L377" s="189"/>
      <c r="M377" s="189"/>
      <c r="N377" s="189"/>
      <c r="O377" s="189"/>
      <c r="P377" s="189"/>
    </row>
    <row r="378" spans="1:16" ht="21.75" customHeight="1" x14ac:dyDescent="0.35">
      <c r="A378" s="183"/>
      <c r="B378" s="184"/>
      <c r="C378" s="184"/>
      <c r="D378" s="201"/>
      <c r="E378" s="202" t="s">
        <v>54</v>
      </c>
      <c r="F378" s="203"/>
      <c r="G378" s="204"/>
      <c r="H378" s="194"/>
      <c r="I378" s="195"/>
      <c r="J378" s="205">
        <f ca="1">IFERROR(__xludf.DUMMYFUNCTION("IMPORTRANGE(""https://docs.google.com/spreadsheets/d/1IYY_tgx_IHuhSq3AJ5eI5OnqOPBNLWSHKh2a30DoXe8/edit?usp=sharing"",""พังงา!J273"")"),0)</f>
        <v>0</v>
      </c>
      <c r="K378" s="169"/>
      <c r="L378" s="189"/>
      <c r="M378" s="189"/>
      <c r="N378" s="189"/>
      <c r="O378" s="189"/>
      <c r="P378" s="189"/>
    </row>
    <row r="379" spans="1:16" ht="21.75" customHeight="1" x14ac:dyDescent="0.35">
      <c r="A379" s="183"/>
      <c r="B379" s="184"/>
      <c r="C379" s="184"/>
      <c r="D379" s="213">
        <v>3</v>
      </c>
      <c r="E379" s="214" t="s">
        <v>55</v>
      </c>
      <c r="F379" s="215"/>
      <c r="G379" s="216"/>
      <c r="H379" s="194"/>
      <c r="I379" s="195"/>
      <c r="J379" s="217">
        <f ca="1">IFERROR(__xludf.DUMMYFUNCTION("IMPORTRANGE(""https://docs.google.com/spreadsheets/d/1IYY_tgx_IHuhSq3AJ5eI5OnqOPBNLWSHKh2a30DoXe8/edit?usp=sharing"",""พังงา!J274"")"),0)</f>
        <v>0</v>
      </c>
      <c r="K379" s="169"/>
      <c r="L379" s="189"/>
      <c r="M379" s="189"/>
      <c r="N379" s="189"/>
      <c r="O379" s="189"/>
      <c r="P379" s="189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IFERROR(__xludf.DUMMYFUNCTION("IMPORTRANGE(""https://docs.google.com/spreadsheets/d/1IYY_tgx_IHuhSq3AJ5eI5OnqOPBNLWSHKh2a30DoXe8/edit?usp=sharing"",""พังงา!I275"")"),500)</f>
        <v>500</v>
      </c>
      <c r="J380" s="377">
        <f ca="1">IFERROR(__xludf.DUMMYFUNCTION("IMPORTRANGE(""https://docs.google.com/spreadsheets/d/1IYY_tgx_IHuhSq3AJ5eI5OnqOPBNLWSHKh2a30DoXe8/edit?usp=sharing"",""พังงา!J275"")"),0)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IFERROR(__xludf.DUMMYFUNCTION("IMPORTRANGE(""https://docs.google.com/spreadsheets/d/1IYY_tgx_IHuhSq3AJ5eI5OnqOPBNLWSHKh2a30DoXe8/edit?usp=sharing"",""พังงา!L275"")"),460140)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IFERROR(__xludf.DUMMYFUNCTION("IMPORTRANGE(""https://docs.google.com/spreadsheets/d/1IYY_tgx_IHuhSq3AJ5eI5OnqOPBNLWSHKh2a30DoXe8/edit?usp=sharing"",""พังงา!M275"")"),39560)</f>
        <v>39560</v>
      </c>
      <c r="O380" s="379">
        <f ca="1">+IF(L380&gt;0,N380*100/L380,0)</f>
        <v>8.5973834050506373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IFERROR(__xludf.DUMMYFUNCTION("IMPORTRANGE(""https://docs.google.com/spreadsheets/d/1IYY_tgx_IHuhSq3AJ5eI5OnqOPBNLWSHKh2a30DoXe8/edit?usp=sharing"",""พังงา!I276"")"),50)</f>
        <v>50</v>
      </c>
      <c r="J381" s="377">
        <f ca="1">IFERROR(__xludf.DUMMYFUNCTION("IMPORTRANGE(""https://docs.google.com/spreadsheets/d/1IYY_tgx_IHuhSq3AJ5eI5OnqOPBNLWSHKh2a30DoXe8/edit?usp=sharing"",""พังงา!J276"")"),50)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164" t="s">
        <v>38</v>
      </c>
      <c r="E382" s="165"/>
      <c r="F382" s="165"/>
      <c r="G382" s="166" t="s">
        <v>39</v>
      </c>
      <c r="H382" s="167" t="s">
        <v>12</v>
      </c>
      <c r="I382" s="168" t="s">
        <v>40</v>
      </c>
      <c r="J382" s="168"/>
      <c r="K382" s="169"/>
      <c r="L382" s="170">
        <f ca="1">IFERROR(__xludf.DUMMYFUNCTION("IMPORTRANGE(""https://docs.google.com/spreadsheets/d/1IYY_tgx_IHuhSq3AJ5eI5OnqOPBNLWSHKh2a30DoXe8/edit?usp=sharing"",""พังงา!L277"")"),0)</f>
        <v>0</v>
      </c>
      <c r="M382" s="170"/>
      <c r="N382" s="170">
        <f ca="1">IFERROR(__xludf.DUMMYFUNCTION("IMPORTRANGE(""https://docs.google.com/spreadsheets/d/1IYY_tgx_IHuhSq3AJ5eI5OnqOPBNLWSHKh2a30DoXe8/edit?usp=sharing"",""พังงา!M277"")"),0)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 x14ac:dyDescent="0.35">
      <c r="A383" s="162"/>
      <c r="B383" s="163"/>
      <c r="C383" s="163"/>
      <c r="D383" s="172"/>
      <c r="E383" s="165"/>
      <c r="F383" s="165" t="s">
        <v>40</v>
      </c>
      <c r="G383" s="166" t="s">
        <v>41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IFERROR(__xludf.DUMMYFUNCTION("IMPORTRANGE(""https://docs.google.com/spreadsheets/d/1IYY_tgx_IHuhSq3AJ5eI5OnqOPBNLWSHKh2a30DoXe8/edit?usp=sharing"",""พังงา!L278"")"),460140)</f>
        <v>460140</v>
      </c>
      <c r="M383" s="171"/>
      <c r="N383" s="171">
        <f ca="1">IFERROR(__xludf.DUMMYFUNCTION("IMPORTRANGE(""https://docs.google.com/spreadsheets/d/1IYY_tgx_IHuhSq3AJ5eI5OnqOPBNLWSHKh2a30DoXe8/edit?usp=sharing"",""พังงา!M278"")"),39560)</f>
        <v>39560</v>
      </c>
      <c r="O383" s="171">
        <f t="shared" ca="1" si="109"/>
        <v>8.5973834050506373</v>
      </c>
      <c r="P383" s="171"/>
    </row>
    <row r="384" spans="1:16" ht="21.75" customHeight="1" x14ac:dyDescent="0.35">
      <c r="A384" s="162"/>
      <c r="B384" s="163"/>
      <c r="C384" s="163"/>
      <c r="D384" s="172"/>
      <c r="E384" s="165"/>
      <c r="F384" s="165"/>
      <c r="G384" s="380" t="s">
        <v>129</v>
      </c>
      <c r="H384" s="167" t="s">
        <v>12</v>
      </c>
      <c r="I384" s="168"/>
      <c r="J384" s="168"/>
      <c r="K384" s="169"/>
      <c r="L384" s="176">
        <f ca="1">IFERROR(__xludf.DUMMYFUNCTION("IMPORTRANGE(""https://docs.google.com/spreadsheets/d/1IYY_tgx_IHuhSq3AJ5eI5OnqOPBNLWSHKh2a30DoXe8/edit?usp=sharing"",""พังงา!L279"")"),0)</f>
        <v>0</v>
      </c>
      <c r="M384" s="176"/>
      <c r="N384" s="176">
        <f ca="1">IFERROR(__xludf.DUMMYFUNCTION("IMPORTRANGE(""https://docs.google.com/spreadsheets/d/1IYY_tgx_IHuhSq3AJ5eI5OnqOPBNLWSHKh2a30DoXe8/edit?usp=sharing"",""พังงา!M279"")"),0)</f>
        <v>0</v>
      </c>
      <c r="O384" s="176">
        <f t="shared" ca="1" si="109"/>
        <v>0</v>
      </c>
      <c r="P384" s="176"/>
    </row>
    <row r="385" spans="1:16" ht="21.75" customHeight="1" x14ac:dyDescent="0.35">
      <c r="A385" s="162"/>
      <c r="B385" s="163"/>
      <c r="C385" s="163"/>
      <c r="D385" s="172"/>
      <c r="E385" s="165"/>
      <c r="F385" s="165"/>
      <c r="G385" s="380" t="s">
        <v>130</v>
      </c>
      <c r="H385" s="167" t="s">
        <v>12</v>
      </c>
      <c r="I385" s="168"/>
      <c r="J385" s="168"/>
      <c r="K385" s="169"/>
      <c r="L385" s="176">
        <f ca="1">IFERROR(__xludf.DUMMYFUNCTION("IMPORTRANGE(""https://docs.google.com/spreadsheets/d/1IYY_tgx_IHuhSq3AJ5eI5OnqOPBNLWSHKh2a30DoXe8/edit?usp=sharing"",""พังงา!L280"")"),460140)</f>
        <v>460140</v>
      </c>
      <c r="M385" s="176"/>
      <c r="N385" s="173">
        <f ca="1">IFERROR(__xludf.DUMMYFUNCTION("IMPORTRANGE(""https://docs.google.com/spreadsheets/d/1IYY_tgx_IHuhSq3AJ5eI5OnqOPBNLWSHKh2a30DoXe8/edit?usp=sharing"",""พังงา!M280"")"),39560)</f>
        <v>39560</v>
      </c>
      <c r="O385" s="176">
        <f t="shared" ca="1" si="109"/>
        <v>8.5973834050506373</v>
      </c>
      <c r="P385" s="176"/>
    </row>
    <row r="386" spans="1:16" ht="21.75" customHeight="1" x14ac:dyDescent="0.35">
      <c r="A386" s="381"/>
      <c r="B386" s="382"/>
      <c r="C386" s="163"/>
      <c r="D386" s="383"/>
      <c r="E386" s="165"/>
      <c r="F386" s="165"/>
      <c r="G386" s="384" t="s">
        <v>131</v>
      </c>
      <c r="H386" s="167" t="s">
        <v>12</v>
      </c>
      <c r="I386" s="195"/>
      <c r="J386" s="195"/>
      <c r="K386" s="231"/>
      <c r="L386" s="176"/>
      <c r="M386" s="176"/>
      <c r="N386" s="385">
        <f ca="1">IFERROR(__xludf.DUMMYFUNCTION("IMPORTRANGE(""https://docs.google.com/spreadsheets/d/1IYY_tgx_IHuhSq3AJ5eI5OnqOPBNLWSHKh2a30DoXe8/edit?usp=sharing"",""พังงา!M281"")"),30570)</f>
        <v>30570</v>
      </c>
      <c r="O386" s="176"/>
      <c r="P386" s="176"/>
    </row>
    <row r="387" spans="1:16" ht="21.75" customHeight="1" x14ac:dyDescent="0.35">
      <c r="A387" s="381"/>
      <c r="B387" s="382"/>
      <c r="C387" s="163"/>
      <c r="D387" s="383"/>
      <c r="E387" s="165"/>
      <c r="F387" s="165"/>
      <c r="G387" s="384" t="s">
        <v>132</v>
      </c>
      <c r="H387" s="167" t="s">
        <v>12</v>
      </c>
      <c r="I387" s="195"/>
      <c r="J387" s="195"/>
      <c r="K387" s="231"/>
      <c r="L387" s="176"/>
      <c r="M387" s="176"/>
      <c r="N387" s="385">
        <f ca="1">IFERROR(__xludf.DUMMYFUNCTION("IMPORTRANGE(""https://docs.google.com/spreadsheets/d/1IYY_tgx_IHuhSq3AJ5eI5OnqOPBNLWSHKh2a30DoXe8/edit?usp=sharing"",""พังงา!M282"")"),0)</f>
        <v>0</v>
      </c>
      <c r="O387" s="176"/>
      <c r="P387" s="176"/>
    </row>
    <row r="388" spans="1:16" ht="21.75" customHeight="1" x14ac:dyDescent="0.35">
      <c r="A388" s="381"/>
      <c r="B388" s="382"/>
      <c r="C388" s="163"/>
      <c r="D388" s="383"/>
      <c r="E388" s="165"/>
      <c r="F388" s="165"/>
      <c r="G388" s="384" t="s">
        <v>133</v>
      </c>
      <c r="H388" s="167" t="s">
        <v>12</v>
      </c>
      <c r="I388" s="195"/>
      <c r="J388" s="195"/>
      <c r="K388" s="231"/>
      <c r="L388" s="176"/>
      <c r="M388" s="176"/>
      <c r="N388" s="385">
        <f ca="1">IFERROR(__xludf.DUMMYFUNCTION("IMPORTRANGE(""https://docs.google.com/spreadsheets/d/1IYY_tgx_IHuhSq3AJ5eI5OnqOPBNLWSHKh2a30DoXe8/edit?usp=sharing"",""พังงา!M283"")"),0)</f>
        <v>0</v>
      </c>
      <c r="O388" s="176"/>
      <c r="P388" s="176"/>
    </row>
    <row r="389" spans="1:16" ht="21.75" customHeight="1" x14ac:dyDescent="0.35">
      <c r="A389" s="381"/>
      <c r="B389" s="382"/>
      <c r="C389" s="163"/>
      <c r="D389" s="383"/>
      <c r="E389" s="165"/>
      <c r="F389" s="165"/>
      <c r="G389" s="384" t="s">
        <v>134</v>
      </c>
      <c r="H389" s="167" t="s">
        <v>12</v>
      </c>
      <c r="I389" s="195"/>
      <c r="J389" s="195"/>
      <c r="K389" s="231"/>
      <c r="L389" s="176"/>
      <c r="M389" s="176"/>
      <c r="N389" s="385">
        <f ca="1">IFERROR(__xludf.DUMMYFUNCTION("IMPORTRANGE(""https://docs.google.com/spreadsheets/d/1IYY_tgx_IHuhSq3AJ5eI5OnqOPBNLWSHKh2a30DoXe8/edit?usp=sharing"",""พังงา!M284"")"),8990)</f>
        <v>8990</v>
      </c>
      <c r="O389" s="176"/>
      <c r="P389" s="176"/>
    </row>
    <row r="390" spans="1:16" ht="21.75" customHeight="1" x14ac:dyDescent="0.35">
      <c r="A390" s="183"/>
      <c r="B390" s="184"/>
      <c r="C390" s="163" t="s">
        <v>16</v>
      </c>
      <c r="D390" s="185" t="s">
        <v>44</v>
      </c>
      <c r="E390" s="186"/>
      <c r="F390" s="186"/>
      <c r="G390" s="187"/>
      <c r="H390" s="188"/>
      <c r="I390" s="168"/>
      <c r="J390" s="168"/>
      <c r="K390" s="169"/>
      <c r="L390" s="189"/>
      <c r="M390" s="189"/>
      <c r="N390" s="189"/>
      <c r="O390" s="189"/>
      <c r="P390" s="189"/>
    </row>
    <row r="391" spans="1:16" ht="21.75" customHeight="1" x14ac:dyDescent="0.35">
      <c r="A391" s="183"/>
      <c r="B391" s="184"/>
      <c r="C391" s="184"/>
      <c r="D391" s="190">
        <v>1</v>
      </c>
      <c r="E391" s="191" t="s">
        <v>45</v>
      </c>
      <c r="F391" s="192"/>
      <c r="G391" s="193"/>
      <c r="H391" s="194"/>
      <c r="I391" s="195"/>
      <c r="J391" s="205">
        <f ca="1">IFERROR(__xludf.DUMMYFUNCTION("IMPORTRANGE(""https://docs.google.com/spreadsheets/d/1IYY_tgx_IHuhSq3AJ5eI5OnqOPBNLWSHKh2a30DoXe8/edit?usp=sharing"",""พังงา!J286"")"),0)</f>
        <v>0</v>
      </c>
      <c r="K391" s="169"/>
      <c r="L391" s="189"/>
      <c r="M391" s="189"/>
      <c r="N391" s="189"/>
      <c r="O391" s="189"/>
      <c r="P391" s="189"/>
    </row>
    <row r="392" spans="1:16" ht="21.75" customHeight="1" x14ac:dyDescent="0.35">
      <c r="A392" s="183"/>
      <c r="B392" s="184"/>
      <c r="C392" s="184"/>
      <c r="D392" s="197">
        <v>2</v>
      </c>
      <c r="E392" s="198" t="s">
        <v>46</v>
      </c>
      <c r="F392" s="199"/>
      <c r="G392" s="200"/>
      <c r="H392" s="194"/>
      <c r="I392" s="195"/>
      <c r="J392" s="196">
        <f ca="1">IFERROR(__xludf.DUMMYFUNCTION("IMPORTRANGE(""https://docs.google.com/spreadsheets/d/1IYY_tgx_IHuhSq3AJ5eI5OnqOPBNLWSHKh2a30DoXe8/edit?usp=sharing"",""พังงา!J287"")"),1)</f>
        <v>1</v>
      </c>
      <c r="K392" s="169"/>
      <c r="L392" s="189" t="s">
        <v>40</v>
      </c>
      <c r="M392" s="189"/>
      <c r="N392" s="189" t="s">
        <v>40</v>
      </c>
      <c r="O392" s="189"/>
      <c r="P392" s="189"/>
    </row>
    <row r="393" spans="1:16" ht="21.75" customHeight="1" x14ac:dyDescent="0.35">
      <c r="A393" s="183"/>
      <c r="B393" s="184"/>
      <c r="C393" s="184"/>
      <c r="D393" s="201"/>
      <c r="E393" s="202" t="s">
        <v>47</v>
      </c>
      <c r="F393" s="203"/>
      <c r="G393" s="204"/>
      <c r="H393" s="194"/>
      <c r="I393" s="195"/>
      <c r="J393" s="196">
        <f ca="1">IFERROR(__xludf.DUMMYFUNCTION("IMPORTRANGE(""https://docs.google.com/spreadsheets/d/1IYY_tgx_IHuhSq3AJ5eI5OnqOPBNLWSHKh2a30DoXe8/edit?usp=sharing"",""พังงา!J288"")"),1)</f>
        <v>1</v>
      </c>
      <c r="K393" s="169"/>
      <c r="L393" s="189"/>
      <c r="M393" s="189"/>
      <c r="N393" s="189"/>
      <c r="O393" s="189"/>
      <c r="P393" s="189"/>
    </row>
    <row r="394" spans="1:16" ht="21.75" customHeight="1" x14ac:dyDescent="0.35">
      <c r="A394" s="183"/>
      <c r="B394" s="184"/>
      <c r="C394" s="184"/>
      <c r="D394" s="201"/>
      <c r="E394" s="202" t="s">
        <v>48</v>
      </c>
      <c r="F394" s="203"/>
      <c r="G394" s="204"/>
      <c r="H394" s="194"/>
      <c r="I394" s="195"/>
      <c r="J394" s="205">
        <f ca="1">IFERROR(__xludf.DUMMYFUNCTION("IMPORTRANGE(""https://docs.google.com/spreadsheets/d/1IYY_tgx_IHuhSq3AJ5eI5OnqOPBNLWSHKh2a30DoXe8/edit?usp=sharing"",""พังงา!J289"")"),1)</f>
        <v>1</v>
      </c>
      <c r="K394" s="169"/>
      <c r="L394" s="189"/>
      <c r="M394" s="189"/>
      <c r="N394" s="189"/>
      <c r="O394" s="189"/>
      <c r="P394" s="189"/>
    </row>
    <row r="395" spans="1:16" ht="21.75" customHeight="1" x14ac:dyDescent="0.35">
      <c r="A395" s="183"/>
      <c r="B395" s="184"/>
      <c r="C395" s="184"/>
      <c r="D395" s="201"/>
      <c r="E395" s="206"/>
      <c r="F395" s="202" t="s">
        <v>146</v>
      </c>
      <c r="G395" s="203"/>
      <c r="H395" s="194"/>
      <c r="I395" s="195"/>
      <c r="J395" s="195"/>
      <c r="K395" s="169"/>
      <c r="L395" s="189"/>
      <c r="M395" s="189"/>
      <c r="N395" s="189"/>
      <c r="O395" s="189"/>
      <c r="P395" s="189"/>
    </row>
    <row r="396" spans="1:16" ht="21.75" customHeight="1" x14ac:dyDescent="0.35">
      <c r="A396" s="183"/>
      <c r="B396" s="184"/>
      <c r="C396" s="184"/>
      <c r="D396" s="201"/>
      <c r="E396" s="206"/>
      <c r="F396" s="203"/>
      <c r="G396" s="299" t="s">
        <v>70</v>
      </c>
      <c r="H396" s="194" t="s">
        <v>37</v>
      </c>
      <c r="I396" s="195">
        <f ca="1">IFERROR(__xludf.DUMMYFUNCTION("IMPORTRANGE(""https://docs.google.com/spreadsheets/d/1IYY_tgx_IHuhSq3AJ5eI5OnqOPBNLWSHKh2a30DoXe8/edit?usp=sharing"",""พังงา!I291"")"),50)</f>
        <v>50</v>
      </c>
      <c r="J396" s="205">
        <f ca="1">IFERROR(__xludf.DUMMYFUNCTION("IMPORTRANGE(""https://docs.google.com/spreadsheets/d/1IYY_tgx_IHuhSq3AJ5eI5OnqOPBNLWSHKh2a30DoXe8/edit?usp=sharing"",""พังงา!J291"")"),50)</f>
        <v>50</v>
      </c>
      <c r="K396" s="169">
        <f t="shared" ref="K396:K398" ca="1" si="110">IF(I396&gt;0,J396*100/I396,0)</f>
        <v>100</v>
      </c>
      <c r="L396" s="189"/>
      <c r="M396" s="189"/>
      <c r="N396" s="189"/>
      <c r="O396" s="189"/>
      <c r="P396" s="189"/>
    </row>
    <row r="397" spans="1:16" ht="21.75" customHeight="1" x14ac:dyDescent="0.35">
      <c r="A397" s="183"/>
      <c r="B397" s="184"/>
      <c r="C397" s="184"/>
      <c r="D397" s="201"/>
      <c r="E397" s="206"/>
      <c r="F397" s="203"/>
      <c r="G397" s="204" t="s">
        <v>53</v>
      </c>
      <c r="H397" s="194" t="s">
        <v>122</v>
      </c>
      <c r="I397" s="195">
        <f ca="1">IFERROR(__xludf.DUMMYFUNCTION("IMPORTRANGE(""https://docs.google.com/spreadsheets/d/1IYY_tgx_IHuhSq3AJ5eI5OnqOPBNLWSHKh2a30DoXe8/edit?usp=sharing"",""พังงา!I292"")"),500)</f>
        <v>500</v>
      </c>
      <c r="J397" s="205">
        <f ca="1">IFERROR(__xludf.DUMMYFUNCTION("IMPORTRANGE(""https://docs.google.com/spreadsheets/d/1IYY_tgx_IHuhSq3AJ5eI5OnqOPBNLWSHKh2a30DoXe8/edit?usp=sharing"",""พังงา!J292"")"),0)</f>
        <v>0</v>
      </c>
      <c r="K397" s="169">
        <f t="shared" ca="1" si="110"/>
        <v>0</v>
      </c>
      <c r="L397" s="189"/>
      <c r="M397" s="189"/>
      <c r="N397" s="189"/>
      <c r="O397" s="189"/>
      <c r="P397" s="189"/>
    </row>
    <row r="398" spans="1:16" ht="21.75" customHeight="1" x14ac:dyDescent="0.35">
      <c r="A398" s="183"/>
      <c r="B398" s="184"/>
      <c r="C398" s="184"/>
      <c r="D398" s="201"/>
      <c r="E398" s="206"/>
      <c r="F398" s="203"/>
      <c r="G398" s="204"/>
      <c r="H398" s="194" t="s">
        <v>37</v>
      </c>
      <c r="I398" s="195">
        <f ca="1">IFERROR(__xludf.DUMMYFUNCTION("IMPORTRANGE(""https://docs.google.com/spreadsheets/d/1IYY_tgx_IHuhSq3AJ5eI5OnqOPBNLWSHKh2a30DoXe8/edit?usp=sharing"",""พังงา!I293"")"),50)</f>
        <v>50</v>
      </c>
      <c r="J398" s="205">
        <f ca="1">IFERROR(__xludf.DUMMYFUNCTION("IMPORTRANGE(""https://docs.google.com/spreadsheets/d/1IYY_tgx_IHuhSq3AJ5eI5OnqOPBNLWSHKh2a30DoXe8/edit?usp=sharing"",""พังงา!J293"")"),0)</f>
        <v>0</v>
      </c>
      <c r="K398" s="169">
        <f t="shared" ca="1" si="110"/>
        <v>0</v>
      </c>
      <c r="L398" s="189"/>
      <c r="M398" s="189"/>
      <c r="N398" s="189"/>
      <c r="O398" s="189"/>
      <c r="P398" s="189"/>
    </row>
    <row r="399" spans="1:16" ht="21.75" customHeight="1" x14ac:dyDescent="0.35">
      <c r="A399" s="183"/>
      <c r="B399" s="184"/>
      <c r="C399" s="184"/>
      <c r="D399" s="201"/>
      <c r="E399" s="202" t="s">
        <v>54</v>
      </c>
      <c r="F399" s="203"/>
      <c r="G399" s="204"/>
      <c r="H399" s="194"/>
      <c r="I399" s="195"/>
      <c r="J399" s="205">
        <f ca="1">IFERROR(__xludf.DUMMYFUNCTION("IMPORTRANGE(""https://docs.google.com/spreadsheets/d/1IYY_tgx_IHuhSq3AJ5eI5OnqOPBNLWSHKh2a30DoXe8/edit?usp=sharing"",""พังงา!J294"")"),0)</f>
        <v>0</v>
      </c>
      <c r="K399" s="169"/>
      <c r="L399" s="189"/>
      <c r="M399" s="189"/>
      <c r="N399" s="189"/>
      <c r="O399" s="189"/>
      <c r="P399" s="189"/>
    </row>
    <row r="400" spans="1:16" ht="21.75" customHeight="1" x14ac:dyDescent="0.35">
      <c r="A400" s="183"/>
      <c r="B400" s="184"/>
      <c r="C400" s="184"/>
      <c r="D400" s="213">
        <v>3</v>
      </c>
      <c r="E400" s="214" t="s">
        <v>55</v>
      </c>
      <c r="F400" s="215"/>
      <c r="G400" s="216"/>
      <c r="H400" s="194"/>
      <c r="I400" s="195"/>
      <c r="J400" s="217">
        <f ca="1">IFERROR(__xludf.DUMMYFUNCTION("IMPORTRANGE(""https://docs.google.com/spreadsheets/d/1IYY_tgx_IHuhSq3AJ5eI5OnqOPBNLWSHKh2a30DoXe8/edit?usp=sharing"",""พังงา!J295"")"),0)</f>
        <v>0</v>
      </c>
      <c r="K400" s="169"/>
      <c r="L400" s="189"/>
      <c r="M400" s="189"/>
      <c r="N400" s="189"/>
      <c r="O400" s="189"/>
      <c r="P400" s="189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IFERROR(__xludf.DUMMYFUNCTION("IMPORTRANGE(""https://docs.google.com/spreadsheets/d/1IYY_tgx_IHuhSq3AJ5eI5OnqOPBNLWSHKh2a30DoXe8/edit?usp=sharing"",""พังงา!I296"")"),90)</f>
        <v>90</v>
      </c>
      <c r="J401" s="377">
        <f ca="1">IFERROR(__xludf.DUMMYFUNCTION("IMPORTRANGE(""https://docs.google.com/spreadsheets/d/1IYY_tgx_IHuhSq3AJ5eI5OnqOPBNLWSHKh2a30DoXe8/edit?usp=sharing"",""พังงา!J296"")"),0)</f>
        <v>0</v>
      </c>
      <c r="K401" s="378">
        <f t="shared" ref="K401:K402" ca="1" si="111">IF(I401&gt;0,J401*100/I401,0)</f>
        <v>0</v>
      </c>
      <c r="L401" s="379">
        <f ca="1">IFERROR(__xludf.DUMMYFUNCTION("IMPORTRANGE(""https://docs.google.com/spreadsheets/d/1IYY_tgx_IHuhSq3AJ5eI5OnqOPBNLWSHKh2a30DoXe8/edit?usp=sharing"",""พังงา!L296"")"),116320)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IFERROR(__xludf.DUMMYFUNCTION("IMPORTRANGE(""https://docs.google.com/spreadsheets/d/1IYY_tgx_IHuhSq3AJ5eI5OnqOPBNLWSHKh2a30DoXe8/edit?usp=sharing"",""พังงา!M296"")"),1600)</f>
        <v>1600</v>
      </c>
      <c r="O401" s="379">
        <f ca="1">+IF(L401&gt;0,N401*100/L401,0)</f>
        <v>1.3755158184319121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IFERROR(__xludf.DUMMYFUNCTION("IMPORTRANGE(""https://docs.google.com/spreadsheets/d/1IYY_tgx_IHuhSq3AJ5eI5OnqOPBNLWSHKh2a30DoXe8/edit?usp=sharing"",""พังงา!I297"")"),30)</f>
        <v>30</v>
      </c>
      <c r="J402" s="377">
        <f ca="1">IFERROR(__xludf.DUMMYFUNCTION("IMPORTRANGE(""https://docs.google.com/spreadsheets/d/1IYY_tgx_IHuhSq3AJ5eI5OnqOPBNLWSHKh2a30DoXe8/edit?usp=sharing"",""พังงา!J297"")"),0)</f>
        <v>0</v>
      </c>
      <c r="K402" s="378">
        <f t="shared" ca="1" si="111"/>
        <v>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164" t="s">
        <v>38</v>
      </c>
      <c r="E403" s="165"/>
      <c r="F403" s="165"/>
      <c r="G403" s="166" t="s">
        <v>39</v>
      </c>
      <c r="H403" s="167" t="s">
        <v>12</v>
      </c>
      <c r="I403" s="168" t="s">
        <v>40</v>
      </c>
      <c r="J403" s="168"/>
      <c r="K403" s="169"/>
      <c r="L403" s="170">
        <f ca="1">IFERROR(__xludf.DUMMYFUNCTION("IMPORTRANGE(""https://docs.google.com/spreadsheets/d/1IYY_tgx_IHuhSq3AJ5eI5OnqOPBNLWSHKh2a30DoXe8/edit?usp=sharing"",""พังงา!L298"")"),0)</f>
        <v>0</v>
      </c>
      <c r="M403" s="170"/>
      <c r="N403" s="176">
        <f ca="1">IFERROR(__xludf.DUMMYFUNCTION("IMPORTRANGE(""https://docs.google.com/spreadsheets/d/1IYY_tgx_IHuhSq3AJ5eI5OnqOPBNLWSHKh2a30DoXe8/edit?usp=sharing"",""พังงา!M298"")"),0)</f>
        <v>0</v>
      </c>
      <c r="O403" s="176">
        <f t="shared" ref="O403:O406" ca="1" si="112">+IF(L403&gt;0,N403*100/L403,0)</f>
        <v>0</v>
      </c>
      <c r="P403" s="176"/>
    </row>
    <row r="404" spans="1:16" ht="21.75" customHeight="1" x14ac:dyDescent="0.35">
      <c r="A404" s="162"/>
      <c r="B404" s="163"/>
      <c r="C404" s="163"/>
      <c r="D404" s="172"/>
      <c r="E404" s="165"/>
      <c r="F404" s="165" t="s">
        <v>40</v>
      </c>
      <c r="G404" s="166" t="s">
        <v>41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IFERROR(__xludf.DUMMYFUNCTION("IMPORTRANGE(""https://docs.google.com/spreadsheets/d/1IYY_tgx_IHuhSq3AJ5eI5OnqOPBNLWSHKh2a30DoXe8/edit?usp=sharing"",""พังงา!L299"")"),116320)</f>
        <v>116320</v>
      </c>
      <c r="M404" s="171"/>
      <c r="N404" s="176">
        <f ca="1">IFERROR(__xludf.DUMMYFUNCTION("IMPORTRANGE(""https://docs.google.com/spreadsheets/d/1IYY_tgx_IHuhSq3AJ5eI5OnqOPBNLWSHKh2a30DoXe8/edit?usp=sharing"",""พังงา!M299"")"),1600)</f>
        <v>1600</v>
      </c>
      <c r="O404" s="176">
        <f t="shared" ca="1" si="112"/>
        <v>1.3755158184319121</v>
      </c>
      <c r="P404" s="176"/>
    </row>
    <row r="405" spans="1:16" ht="21.75" customHeight="1" x14ac:dyDescent="0.35">
      <c r="A405" s="162"/>
      <c r="B405" s="163"/>
      <c r="C405" s="163"/>
      <c r="D405" s="172"/>
      <c r="E405" s="165"/>
      <c r="F405" s="165"/>
      <c r="G405" s="380" t="s">
        <v>129</v>
      </c>
      <c r="H405" s="167" t="s">
        <v>12</v>
      </c>
      <c r="I405" s="168"/>
      <c r="J405" s="168"/>
      <c r="K405" s="169"/>
      <c r="L405" s="176">
        <f ca="1">IFERROR(__xludf.DUMMYFUNCTION("IMPORTRANGE(""https://docs.google.com/spreadsheets/d/1IYY_tgx_IHuhSq3AJ5eI5OnqOPBNLWSHKh2a30DoXe8/edit?usp=sharing"",""พังงา!L300"")"),0)</f>
        <v>0</v>
      </c>
      <c r="M405" s="176"/>
      <c r="N405" s="176">
        <f ca="1">IFERROR(__xludf.DUMMYFUNCTION("IMPORTRANGE(""https://docs.google.com/spreadsheets/d/1IYY_tgx_IHuhSq3AJ5eI5OnqOPBNLWSHKh2a30DoXe8/edit?usp=sharing"",""พังงา!M300"")"),0)</f>
        <v>0</v>
      </c>
      <c r="O405" s="176">
        <f t="shared" ca="1" si="112"/>
        <v>0</v>
      </c>
      <c r="P405" s="176"/>
    </row>
    <row r="406" spans="1:16" ht="21.75" customHeight="1" x14ac:dyDescent="0.35">
      <c r="A406" s="162"/>
      <c r="B406" s="163"/>
      <c r="C406" s="163"/>
      <c r="D406" s="172"/>
      <c r="E406" s="165"/>
      <c r="F406" s="165"/>
      <c r="G406" s="380" t="s">
        <v>130</v>
      </c>
      <c r="H406" s="167" t="s">
        <v>12</v>
      </c>
      <c r="I406" s="168"/>
      <c r="J406" s="168"/>
      <c r="K406" s="169"/>
      <c r="L406" s="176">
        <f ca="1">IFERROR(__xludf.DUMMYFUNCTION("IMPORTRANGE(""https://docs.google.com/spreadsheets/d/1IYY_tgx_IHuhSq3AJ5eI5OnqOPBNLWSHKh2a30DoXe8/edit?usp=sharing"",""พังงา!L301"")"),116320)</f>
        <v>116320</v>
      </c>
      <c r="M406" s="176"/>
      <c r="N406" s="176">
        <f ca="1">IFERROR(__xludf.DUMMYFUNCTION("IMPORTRANGE(""https://docs.google.com/spreadsheets/d/1IYY_tgx_IHuhSq3AJ5eI5OnqOPBNLWSHKh2a30DoXe8/edit?usp=sharing"",""พังงา!M301"")"),1600)</f>
        <v>1600</v>
      </c>
      <c r="O406" s="176">
        <f t="shared" ca="1" si="112"/>
        <v>1.3755158184319121</v>
      </c>
      <c r="P406" s="176"/>
    </row>
    <row r="407" spans="1:16" ht="21.75" customHeight="1" x14ac:dyDescent="0.35">
      <c r="A407" s="381"/>
      <c r="B407" s="382"/>
      <c r="C407" s="163"/>
      <c r="D407" s="383"/>
      <c r="E407" s="165"/>
      <c r="F407" s="165"/>
      <c r="G407" s="384" t="s">
        <v>131</v>
      </c>
      <c r="H407" s="167" t="s">
        <v>12</v>
      </c>
      <c r="I407" s="195"/>
      <c r="J407" s="195"/>
      <c r="K407" s="231"/>
      <c r="L407" s="176"/>
      <c r="M407" s="176"/>
      <c r="N407" s="385">
        <f ca="1">IFERROR(__xludf.DUMMYFUNCTION("IMPORTRANGE(""https://docs.google.com/spreadsheets/d/1IYY_tgx_IHuhSq3AJ5eI5OnqOPBNLWSHKh2a30DoXe8/edit?usp=sharing"",""พังงา!M302"")"),0)</f>
        <v>0</v>
      </c>
      <c r="O407" s="176"/>
      <c r="P407" s="176"/>
    </row>
    <row r="408" spans="1:16" ht="21.75" customHeight="1" x14ac:dyDescent="0.35">
      <c r="A408" s="381"/>
      <c r="B408" s="382"/>
      <c r="C408" s="163"/>
      <c r="D408" s="383"/>
      <c r="E408" s="165"/>
      <c r="F408" s="165"/>
      <c r="G408" s="384" t="s">
        <v>132</v>
      </c>
      <c r="H408" s="167" t="s">
        <v>12</v>
      </c>
      <c r="I408" s="195"/>
      <c r="J408" s="195"/>
      <c r="K408" s="231"/>
      <c r="L408" s="176"/>
      <c r="M408" s="176"/>
      <c r="N408" s="385">
        <f ca="1">IFERROR(__xludf.DUMMYFUNCTION("IMPORTRANGE(""https://docs.google.com/spreadsheets/d/1IYY_tgx_IHuhSq3AJ5eI5OnqOPBNLWSHKh2a30DoXe8/edit?usp=sharing"",""พังงา!M303"")"),0)</f>
        <v>0</v>
      </c>
      <c r="O408" s="176"/>
      <c r="P408" s="176"/>
    </row>
    <row r="409" spans="1:16" ht="21.75" customHeight="1" x14ac:dyDescent="0.35">
      <c r="A409" s="381"/>
      <c r="B409" s="382"/>
      <c r="C409" s="163"/>
      <c r="D409" s="383"/>
      <c r="E409" s="165"/>
      <c r="F409" s="165"/>
      <c r="G409" s="384" t="s">
        <v>133</v>
      </c>
      <c r="H409" s="167" t="s">
        <v>12</v>
      </c>
      <c r="I409" s="195"/>
      <c r="J409" s="195"/>
      <c r="K409" s="231"/>
      <c r="L409" s="176"/>
      <c r="M409" s="176"/>
      <c r="N409" s="385">
        <f ca="1">IFERROR(__xludf.DUMMYFUNCTION("IMPORTRANGE(""https://docs.google.com/spreadsheets/d/1IYY_tgx_IHuhSq3AJ5eI5OnqOPBNLWSHKh2a30DoXe8/edit?usp=sharing"",""พังงา!M304"")"),0)</f>
        <v>0</v>
      </c>
      <c r="O409" s="176"/>
      <c r="P409" s="176"/>
    </row>
    <row r="410" spans="1:16" ht="21.75" customHeight="1" x14ac:dyDescent="0.35">
      <c r="A410" s="381"/>
      <c r="B410" s="382"/>
      <c r="C410" s="163"/>
      <c r="D410" s="383"/>
      <c r="E410" s="165"/>
      <c r="F410" s="165"/>
      <c r="G410" s="384" t="s">
        <v>134</v>
      </c>
      <c r="H410" s="167" t="s">
        <v>12</v>
      </c>
      <c r="I410" s="195"/>
      <c r="J410" s="195"/>
      <c r="K410" s="231"/>
      <c r="L410" s="176"/>
      <c r="M410" s="176"/>
      <c r="N410" s="385">
        <f ca="1">IFERROR(__xludf.DUMMYFUNCTION("IMPORTRANGE(""https://docs.google.com/spreadsheets/d/1IYY_tgx_IHuhSq3AJ5eI5OnqOPBNLWSHKh2a30DoXe8/edit?usp=sharing"",""พังงา!M305"")"),1600)</f>
        <v>1600</v>
      </c>
      <c r="O410" s="176"/>
      <c r="P410" s="176"/>
    </row>
    <row r="411" spans="1:16" ht="21.75" customHeight="1" x14ac:dyDescent="0.35">
      <c r="A411" s="183"/>
      <c r="B411" s="184"/>
      <c r="C411" s="163" t="s">
        <v>16</v>
      </c>
      <c r="D411" s="185" t="s">
        <v>44</v>
      </c>
      <c r="E411" s="186"/>
      <c r="F411" s="186"/>
      <c r="G411" s="187"/>
      <c r="H411" s="188"/>
      <c r="I411" s="168"/>
      <c r="J411" s="168"/>
      <c r="K411" s="169"/>
      <c r="L411" s="189"/>
      <c r="M411" s="189"/>
      <c r="N411" s="189"/>
      <c r="O411" s="189"/>
      <c r="P411" s="189"/>
    </row>
    <row r="412" spans="1:16" ht="21.75" customHeight="1" x14ac:dyDescent="0.35">
      <c r="A412" s="183"/>
      <c r="B412" s="184"/>
      <c r="C412" s="184"/>
      <c r="D412" s="190">
        <v>1</v>
      </c>
      <c r="E412" s="191" t="s">
        <v>45</v>
      </c>
      <c r="F412" s="192"/>
      <c r="G412" s="193"/>
      <c r="H412" s="194"/>
      <c r="I412" s="195"/>
      <c r="J412" s="205">
        <f ca="1">IFERROR(__xludf.DUMMYFUNCTION("IMPORTRANGE(""https://docs.google.com/spreadsheets/d/1IYY_tgx_IHuhSq3AJ5eI5OnqOPBNLWSHKh2a30DoXe8/edit?usp=sharing"",""พังงา!J307"")"),0)</f>
        <v>0</v>
      </c>
      <c r="K412" s="169"/>
      <c r="L412" s="189"/>
      <c r="M412" s="189"/>
      <c r="N412" s="189"/>
      <c r="O412" s="189"/>
      <c r="P412" s="189"/>
    </row>
    <row r="413" spans="1:16" ht="21.75" customHeight="1" x14ac:dyDescent="0.35">
      <c r="A413" s="183"/>
      <c r="B413" s="184"/>
      <c r="C413" s="184"/>
      <c r="D413" s="197">
        <v>2</v>
      </c>
      <c r="E413" s="198" t="s">
        <v>46</v>
      </c>
      <c r="F413" s="199"/>
      <c r="G413" s="200"/>
      <c r="H413" s="194"/>
      <c r="I413" s="195"/>
      <c r="J413" s="196">
        <f ca="1">IFERROR(__xludf.DUMMYFUNCTION("IMPORTRANGE(""https://docs.google.com/spreadsheets/d/1IYY_tgx_IHuhSq3AJ5eI5OnqOPBNLWSHKh2a30DoXe8/edit?usp=sharing"",""พังงา!J308"")"),1)</f>
        <v>1</v>
      </c>
      <c r="K413" s="169"/>
      <c r="L413" s="189" t="s">
        <v>40</v>
      </c>
      <c r="M413" s="189"/>
      <c r="N413" s="189" t="s">
        <v>40</v>
      </c>
      <c r="O413" s="189"/>
      <c r="P413" s="189"/>
    </row>
    <row r="414" spans="1:16" ht="21.75" customHeight="1" x14ac:dyDescent="0.35">
      <c r="A414" s="183"/>
      <c r="B414" s="184"/>
      <c r="C414" s="184"/>
      <c r="D414" s="201"/>
      <c r="E414" s="202" t="s">
        <v>47</v>
      </c>
      <c r="F414" s="203"/>
      <c r="G414" s="204"/>
      <c r="H414" s="194"/>
      <c r="I414" s="195"/>
      <c r="J414" s="196">
        <f ca="1">IFERROR(__xludf.DUMMYFUNCTION("IMPORTRANGE(""https://docs.google.com/spreadsheets/d/1IYY_tgx_IHuhSq3AJ5eI5OnqOPBNLWSHKh2a30DoXe8/edit?usp=sharing"",""พังงา!J309"")"),1)</f>
        <v>1</v>
      </c>
      <c r="K414" s="169"/>
      <c r="L414" s="189"/>
      <c r="M414" s="189"/>
      <c r="N414" s="189"/>
      <c r="O414" s="189"/>
      <c r="P414" s="189"/>
    </row>
    <row r="415" spans="1:16" ht="21.75" customHeight="1" x14ac:dyDescent="0.35">
      <c r="A415" s="183"/>
      <c r="B415" s="184"/>
      <c r="C415" s="184"/>
      <c r="D415" s="201"/>
      <c r="E415" s="202" t="s">
        <v>48</v>
      </c>
      <c r="F415" s="203"/>
      <c r="G415" s="204"/>
      <c r="H415" s="194"/>
      <c r="I415" s="195"/>
      <c r="J415" s="205">
        <f ca="1">IFERROR(__xludf.DUMMYFUNCTION("IMPORTRANGE(""https://docs.google.com/spreadsheets/d/1IYY_tgx_IHuhSq3AJ5eI5OnqOPBNLWSHKh2a30DoXe8/edit?usp=sharing"",""พังงา!J310"")"),1)</f>
        <v>1</v>
      </c>
      <c r="K415" s="169"/>
      <c r="L415" s="189"/>
      <c r="M415" s="189"/>
      <c r="N415" s="189"/>
      <c r="O415" s="189"/>
      <c r="P415" s="189"/>
    </row>
    <row r="416" spans="1:16" ht="21.75" customHeight="1" x14ac:dyDescent="0.35">
      <c r="A416" s="183"/>
      <c r="B416" s="184"/>
      <c r="C416" s="184"/>
      <c r="D416" s="201"/>
      <c r="E416" s="206"/>
      <c r="F416" s="202" t="s">
        <v>70</v>
      </c>
      <c r="G416" s="394"/>
      <c r="H416" s="395" t="s">
        <v>37</v>
      </c>
      <c r="I416" s="208">
        <f ca="1">IFERROR(__xludf.DUMMYFUNCTION("IMPORTRANGE(""https://docs.google.com/spreadsheets/d/1IYY_tgx_IHuhSq3AJ5eI5OnqOPBNLWSHKh2a30DoXe8/edit?usp=sharing"",""พังงา!I311"")"),30)</f>
        <v>30</v>
      </c>
      <c r="J416" s="208">
        <f ca="1">IFERROR(__xludf.DUMMYFUNCTION("IMPORTRANGE(""https://docs.google.com/spreadsheets/d/1IYY_tgx_IHuhSq3AJ5eI5OnqOPBNLWSHKh2a30DoXe8/edit?usp=sharing"",""พังงา!J311"")"),0)</f>
        <v>0</v>
      </c>
      <c r="K416" s="209">
        <f t="shared" ref="K416:K432" ca="1" si="113">IF(I416&gt;0,J416*100/I416,0)</f>
        <v>0</v>
      </c>
      <c r="L416" s="189"/>
      <c r="M416" s="189"/>
      <c r="N416" s="189"/>
      <c r="O416" s="189"/>
      <c r="P416" s="189"/>
    </row>
    <row r="417" spans="1:16" ht="21.75" customHeight="1" x14ac:dyDescent="0.45">
      <c r="A417" s="183"/>
      <c r="B417" s="184"/>
      <c r="C417" s="184"/>
      <c r="D417" s="201"/>
      <c r="E417" s="206"/>
      <c r="F417" s="396" t="s">
        <v>148</v>
      </c>
      <c r="G417" s="204"/>
      <c r="H417" s="207" t="s">
        <v>37</v>
      </c>
      <c r="I417" s="397">
        <f ca="1">IFERROR(__xludf.DUMMYFUNCTION("IMPORTRANGE(""https://docs.google.com/spreadsheets/d/1IYY_tgx_IHuhSq3AJ5eI5OnqOPBNLWSHKh2a30DoXe8/edit?usp=sharing"",""พังงา!I312"")"),10)</f>
        <v>10</v>
      </c>
      <c r="J417" s="398">
        <f ca="1">IFERROR(__xludf.DUMMYFUNCTION("IMPORTRANGE(""https://docs.google.com/spreadsheets/d/1IYY_tgx_IHuhSq3AJ5eI5OnqOPBNLWSHKh2a30DoXe8/edit?usp=sharing"",""พังงา!J312"")"),0)</f>
        <v>0</v>
      </c>
      <c r="K417" s="209">
        <f t="shared" ca="1" si="113"/>
        <v>0</v>
      </c>
      <c r="L417" s="189"/>
      <c r="M417" s="189"/>
      <c r="N417" s="189"/>
      <c r="O417" s="189"/>
      <c r="P417" s="189"/>
    </row>
    <row r="418" spans="1:16" ht="21.75" customHeight="1" x14ac:dyDescent="0.45">
      <c r="A418" s="183"/>
      <c r="B418" s="184"/>
      <c r="C418" s="184"/>
      <c r="D418" s="201"/>
      <c r="E418" s="206"/>
      <c r="F418" s="203"/>
      <c r="G418" s="204"/>
      <c r="H418" s="207" t="s">
        <v>122</v>
      </c>
      <c r="I418" s="397">
        <f ca="1">IFERROR(__xludf.DUMMYFUNCTION("IMPORTRANGE(""https://docs.google.com/spreadsheets/d/1IYY_tgx_IHuhSq3AJ5eI5OnqOPBNLWSHKh2a30DoXe8/edit?usp=sharing"",""พังงา!I313"")"),30)</f>
        <v>30</v>
      </c>
      <c r="J418" s="399">
        <f ca="1">IFERROR(__xludf.DUMMYFUNCTION("IMPORTRANGE(""https://docs.google.com/spreadsheets/d/1IYY_tgx_IHuhSq3AJ5eI5OnqOPBNLWSHKh2a30DoXe8/edit?usp=sharing"",""พังงา!J313"")"),0)</f>
        <v>0</v>
      </c>
      <c r="K418" s="209">
        <f t="shared" ca="1" si="113"/>
        <v>0</v>
      </c>
      <c r="L418" s="189"/>
      <c r="M418" s="189"/>
      <c r="N418" s="189"/>
      <c r="O418" s="189"/>
      <c r="P418" s="189"/>
    </row>
    <row r="419" spans="1:16" ht="21.75" customHeight="1" x14ac:dyDescent="0.45">
      <c r="A419" s="183"/>
      <c r="B419" s="184"/>
      <c r="C419" s="184"/>
      <c r="D419" s="201"/>
      <c r="E419" s="206"/>
      <c r="F419" s="203"/>
      <c r="G419" s="233" t="s">
        <v>149</v>
      </c>
      <c r="H419" s="188" t="s">
        <v>37</v>
      </c>
      <c r="I419" s="347">
        <f ca="1">IFERROR(__xludf.DUMMYFUNCTION("IMPORTRANGE(""https://docs.google.com/spreadsheets/d/1IYY_tgx_IHuhSq3AJ5eI5OnqOPBNLWSHKh2a30DoXe8/edit?usp=sharing"",""พังงา!I314"")"),10)</f>
        <v>10</v>
      </c>
      <c r="J419" s="400">
        <f ca="1">IFERROR(__xludf.DUMMYFUNCTION("IMPORTRANGE(""https://docs.google.com/spreadsheets/d/1IYY_tgx_IHuhSq3AJ5eI5OnqOPBNLWSHKh2a30DoXe8/edit?usp=sharing"",""พังงา!J314"")"),0)</f>
        <v>0</v>
      </c>
      <c r="K419" s="169">
        <f t="shared" ca="1" si="113"/>
        <v>0</v>
      </c>
      <c r="L419" s="189"/>
      <c r="M419" s="189"/>
      <c r="N419" s="189"/>
      <c r="O419" s="189"/>
      <c r="P419" s="189"/>
    </row>
    <row r="420" spans="1:16" ht="21.75" customHeight="1" x14ac:dyDescent="0.45">
      <c r="A420" s="241"/>
      <c r="B420" s="242"/>
      <c r="C420" s="242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IFERROR(__xludf.DUMMYFUNCTION("IMPORTRANGE(""https://docs.google.com/spreadsheets/d/1IYY_tgx_IHuhSq3AJ5eI5OnqOPBNLWSHKh2a30DoXe8/edit?usp=sharing"",""พังงา!I315"")"),10)</f>
        <v>10</v>
      </c>
      <c r="J420" s="400">
        <f ca="1">IFERROR(__xludf.DUMMYFUNCTION("IMPORTRANGE(""https://docs.google.com/spreadsheets/d/1IYY_tgx_IHuhSq3AJ5eI5OnqOPBNLWSHKh2a30DoXe8/edit?usp=sharing"",""พังงา!J315"")"),0)</f>
        <v>0</v>
      </c>
      <c r="K420" s="294">
        <f t="shared" ca="1" si="113"/>
        <v>0</v>
      </c>
      <c r="L420" s="252"/>
      <c r="M420" s="252"/>
      <c r="N420" s="252"/>
      <c r="O420" s="252"/>
      <c r="P420" s="252"/>
    </row>
    <row r="421" spans="1:16" ht="21.75" customHeight="1" x14ac:dyDescent="0.45">
      <c r="A421" s="183"/>
      <c r="B421" s="184"/>
      <c r="C421" s="184"/>
      <c r="D421" s="201"/>
      <c r="E421" s="206"/>
      <c r="F421" s="396" t="s">
        <v>151</v>
      </c>
      <c r="G421" s="204"/>
      <c r="H421" s="207" t="s">
        <v>37</v>
      </c>
      <c r="I421" s="397">
        <f ca="1">IFERROR(__xludf.DUMMYFUNCTION("IMPORTRANGE(""https://docs.google.com/spreadsheets/d/1IYY_tgx_IHuhSq3AJ5eI5OnqOPBNLWSHKh2a30DoXe8/edit?usp=sharing"",""พังงา!I316"")"),10)</f>
        <v>10</v>
      </c>
      <c r="J421" s="398">
        <f ca="1">IFERROR(__xludf.DUMMYFUNCTION("IMPORTRANGE(""https://docs.google.com/spreadsheets/d/1IYY_tgx_IHuhSq3AJ5eI5OnqOPBNLWSHKh2a30DoXe8/edit?usp=sharing"",""พังงา!J316"")"),0)</f>
        <v>0</v>
      </c>
      <c r="K421" s="209">
        <f t="shared" ca="1" si="113"/>
        <v>0</v>
      </c>
      <c r="L421" s="189"/>
      <c r="M421" s="189"/>
      <c r="N421" s="189"/>
      <c r="O421" s="189"/>
      <c r="P421" s="189"/>
    </row>
    <row r="422" spans="1:16" ht="21.75" customHeight="1" x14ac:dyDescent="0.45">
      <c r="A422" s="183"/>
      <c r="B422" s="184"/>
      <c r="C422" s="184"/>
      <c r="D422" s="201"/>
      <c r="E422" s="206"/>
      <c r="F422" s="203"/>
      <c r="G422" s="204"/>
      <c r="H422" s="207" t="s">
        <v>122</v>
      </c>
      <c r="I422" s="397">
        <f ca="1">IFERROR(__xludf.DUMMYFUNCTION("IMPORTRANGE(""https://docs.google.com/spreadsheets/d/1IYY_tgx_IHuhSq3AJ5eI5OnqOPBNLWSHKh2a30DoXe8/edit?usp=sharing"",""พังงา!I317"")"),30)</f>
        <v>30</v>
      </c>
      <c r="J422" s="399">
        <f ca="1">IFERROR(__xludf.DUMMYFUNCTION("IMPORTRANGE(""https://docs.google.com/spreadsheets/d/1IYY_tgx_IHuhSq3AJ5eI5OnqOPBNLWSHKh2a30DoXe8/edit?usp=sharing"",""พังงา!J317"")"),0)</f>
        <v>0</v>
      </c>
      <c r="K422" s="209">
        <f t="shared" ca="1" si="113"/>
        <v>0</v>
      </c>
      <c r="L422" s="189"/>
      <c r="M422" s="189"/>
      <c r="N422" s="189"/>
      <c r="O422" s="189"/>
      <c r="P422" s="189"/>
    </row>
    <row r="423" spans="1:16" ht="21.75" customHeight="1" x14ac:dyDescent="0.45">
      <c r="A423" s="183"/>
      <c r="B423" s="184"/>
      <c r="C423" s="184"/>
      <c r="D423" s="201"/>
      <c r="E423" s="206"/>
      <c r="F423" s="203"/>
      <c r="G423" s="233" t="s">
        <v>152</v>
      </c>
      <c r="H423" s="188" t="s">
        <v>37</v>
      </c>
      <c r="I423" s="347">
        <f ca="1">IFERROR(__xludf.DUMMYFUNCTION("IMPORTRANGE(""https://docs.google.com/spreadsheets/d/1IYY_tgx_IHuhSq3AJ5eI5OnqOPBNLWSHKh2a30DoXe8/edit?usp=sharing"",""พังงา!I318"")"),10)</f>
        <v>10</v>
      </c>
      <c r="J423" s="400">
        <f ca="1">IFERROR(__xludf.DUMMYFUNCTION("IMPORTRANGE(""https://docs.google.com/spreadsheets/d/1IYY_tgx_IHuhSq3AJ5eI5OnqOPBNLWSHKh2a30DoXe8/edit?usp=sharing"",""พังงา!J318"")"),0)</f>
        <v>0</v>
      </c>
      <c r="K423" s="169">
        <f t="shared" ca="1" si="113"/>
        <v>0</v>
      </c>
      <c r="L423" s="189"/>
      <c r="M423" s="189"/>
      <c r="N423" s="189"/>
      <c r="O423" s="189"/>
      <c r="P423" s="189"/>
    </row>
    <row r="424" spans="1:16" ht="21.75" customHeight="1" x14ac:dyDescent="0.45">
      <c r="A424" s="183"/>
      <c r="B424" s="184"/>
      <c r="C424" s="184"/>
      <c r="D424" s="201"/>
      <c r="E424" s="206"/>
      <c r="F424" s="203"/>
      <c r="G424" s="233" t="s">
        <v>153</v>
      </c>
      <c r="H424" s="188" t="s">
        <v>37</v>
      </c>
      <c r="I424" s="347">
        <f ca="1">IFERROR(__xludf.DUMMYFUNCTION("IMPORTRANGE(""https://docs.google.com/spreadsheets/d/1IYY_tgx_IHuhSq3AJ5eI5OnqOPBNLWSHKh2a30DoXe8/edit?usp=sharing"",""พังงา!I319"")"),10)</f>
        <v>10</v>
      </c>
      <c r="J424" s="400">
        <f ca="1">IFERROR(__xludf.DUMMYFUNCTION("IMPORTRANGE(""https://docs.google.com/spreadsheets/d/1IYY_tgx_IHuhSq3AJ5eI5OnqOPBNLWSHKh2a30DoXe8/edit?usp=sharing"",""พังงา!J319"")"),0)</f>
        <v>0</v>
      </c>
      <c r="K424" s="169">
        <f t="shared" ca="1" si="113"/>
        <v>0</v>
      </c>
      <c r="L424" s="189"/>
      <c r="M424" s="189"/>
      <c r="N424" s="189"/>
      <c r="O424" s="189"/>
      <c r="P424" s="189"/>
    </row>
    <row r="425" spans="1:16" ht="21.75" customHeight="1" x14ac:dyDescent="0.45">
      <c r="A425" s="183"/>
      <c r="B425" s="184"/>
      <c r="C425" s="184"/>
      <c r="D425" s="201"/>
      <c r="E425" s="206"/>
      <c r="F425" s="203"/>
      <c r="G425" s="233" t="s">
        <v>154</v>
      </c>
      <c r="H425" s="188" t="s">
        <v>37</v>
      </c>
      <c r="I425" s="347">
        <f ca="1">IFERROR(__xludf.DUMMYFUNCTION("IMPORTRANGE(""https://docs.google.com/spreadsheets/d/1IYY_tgx_IHuhSq3AJ5eI5OnqOPBNLWSHKh2a30DoXe8/edit?usp=sharing"",""พังงา!I320"")"),10)</f>
        <v>10</v>
      </c>
      <c r="J425" s="400">
        <f ca="1">IFERROR(__xludf.DUMMYFUNCTION("IMPORTRANGE(""https://docs.google.com/spreadsheets/d/1IYY_tgx_IHuhSq3AJ5eI5OnqOPBNLWSHKh2a30DoXe8/edit?usp=sharing"",""พังงา!J320"")"),0)</f>
        <v>0</v>
      </c>
      <c r="K425" s="169">
        <f t="shared" ca="1" si="113"/>
        <v>0</v>
      </c>
      <c r="L425" s="189"/>
      <c r="M425" s="189"/>
      <c r="N425" s="189"/>
      <c r="O425" s="189"/>
      <c r="P425" s="189"/>
    </row>
    <row r="426" spans="1:16" ht="21.75" customHeight="1" x14ac:dyDescent="0.45">
      <c r="A426" s="183"/>
      <c r="B426" s="184"/>
      <c r="C426" s="184"/>
      <c r="D426" s="201"/>
      <c r="E426" s="206"/>
      <c r="F426" s="405" t="s">
        <v>155</v>
      </c>
      <c r="G426" s="204"/>
      <c r="H426" s="207" t="s">
        <v>37</v>
      </c>
      <c r="I426" s="397">
        <f ca="1">IFERROR(__xludf.DUMMYFUNCTION("IMPORTRANGE(""https://docs.google.com/spreadsheets/d/1IYY_tgx_IHuhSq3AJ5eI5OnqOPBNLWSHKh2a30DoXe8/edit?usp=sharing"",""พังงา!I321"")"),10)</f>
        <v>10</v>
      </c>
      <c r="J426" s="398">
        <f ca="1">IFERROR(__xludf.DUMMYFUNCTION("IMPORTRANGE(""https://docs.google.com/spreadsheets/d/1IYY_tgx_IHuhSq3AJ5eI5OnqOPBNLWSHKh2a30DoXe8/edit?usp=sharing"",""พังงา!J321"")"),0)</f>
        <v>0</v>
      </c>
      <c r="K426" s="209">
        <f t="shared" ca="1" si="113"/>
        <v>0</v>
      </c>
      <c r="L426" s="189"/>
      <c r="M426" s="189"/>
      <c r="N426" s="189"/>
      <c r="O426" s="189"/>
      <c r="P426" s="189"/>
    </row>
    <row r="427" spans="1:16" ht="21.75" customHeight="1" x14ac:dyDescent="0.45">
      <c r="A427" s="183"/>
      <c r="B427" s="184"/>
      <c r="C427" s="184"/>
      <c r="D427" s="201"/>
      <c r="E427" s="206"/>
      <c r="F427" s="203"/>
      <c r="G427" s="204"/>
      <c r="H427" s="207" t="s">
        <v>122</v>
      </c>
      <c r="I427" s="397">
        <f ca="1">IFERROR(__xludf.DUMMYFUNCTION("IMPORTRANGE(""https://docs.google.com/spreadsheets/d/1IYY_tgx_IHuhSq3AJ5eI5OnqOPBNLWSHKh2a30DoXe8/edit?usp=sharing"",""พังงา!I322"")"),30)</f>
        <v>30</v>
      </c>
      <c r="J427" s="399">
        <f ca="1">IFERROR(__xludf.DUMMYFUNCTION("IMPORTRANGE(""https://docs.google.com/spreadsheets/d/1IYY_tgx_IHuhSq3AJ5eI5OnqOPBNLWSHKh2a30DoXe8/edit?usp=sharing"",""พังงา!J322"")"),0)</f>
        <v>0</v>
      </c>
      <c r="K427" s="209">
        <f t="shared" ca="1" si="113"/>
        <v>0</v>
      </c>
      <c r="L427" s="189"/>
      <c r="M427" s="189"/>
      <c r="N427" s="189"/>
      <c r="O427" s="189"/>
      <c r="P427" s="189"/>
    </row>
    <row r="428" spans="1:16" ht="21.75" customHeight="1" x14ac:dyDescent="0.45">
      <c r="A428" s="183"/>
      <c r="B428" s="184"/>
      <c r="C428" s="184"/>
      <c r="D428" s="201"/>
      <c r="E428" s="206"/>
      <c r="F428" s="203"/>
      <c r="G428" s="233" t="s">
        <v>156</v>
      </c>
      <c r="H428" s="188" t="s">
        <v>37</v>
      </c>
      <c r="I428" s="406">
        <f ca="1">IFERROR(__xludf.DUMMYFUNCTION("IMPORTRANGE(""https://docs.google.com/spreadsheets/d/1IYY_tgx_IHuhSq3AJ5eI5OnqOPBNLWSHKh2a30DoXe8/edit?usp=sharing"",""พังงา!I323"")"),10)</f>
        <v>10</v>
      </c>
      <c r="J428" s="400">
        <f ca="1">IFERROR(__xludf.DUMMYFUNCTION("IMPORTRANGE(""https://docs.google.com/spreadsheets/d/1IYY_tgx_IHuhSq3AJ5eI5OnqOPBNLWSHKh2a30DoXe8/edit?usp=sharing"",""พังงา!J323"")"),0)</f>
        <v>0</v>
      </c>
      <c r="K428" s="169">
        <f t="shared" ca="1" si="113"/>
        <v>0</v>
      </c>
      <c r="L428" s="189"/>
      <c r="M428" s="189"/>
      <c r="N428" s="189"/>
      <c r="O428" s="189"/>
      <c r="P428" s="189"/>
    </row>
    <row r="429" spans="1:16" ht="21.75" customHeight="1" x14ac:dyDescent="0.45">
      <c r="A429" s="183"/>
      <c r="B429" s="184"/>
      <c r="C429" s="184"/>
      <c r="D429" s="201"/>
      <c r="E429" s="206"/>
      <c r="F429" s="203"/>
      <c r="G429" s="233" t="s">
        <v>157</v>
      </c>
      <c r="H429" s="188" t="s">
        <v>37</v>
      </c>
      <c r="I429" s="406">
        <f ca="1">IFERROR(__xludf.DUMMYFUNCTION("IMPORTRANGE(""https://docs.google.com/spreadsheets/d/1IYY_tgx_IHuhSq3AJ5eI5OnqOPBNLWSHKh2a30DoXe8/edit?usp=sharing"",""พังงา!I324"")"),10)</f>
        <v>10</v>
      </c>
      <c r="J429" s="400">
        <f ca="1">IFERROR(__xludf.DUMMYFUNCTION("IMPORTRANGE(""https://docs.google.com/spreadsheets/d/1IYY_tgx_IHuhSq3AJ5eI5OnqOPBNLWSHKh2a30DoXe8/edit?usp=sharing"",""พังงา!J324"")"),0)</f>
        <v>0</v>
      </c>
      <c r="K429" s="169">
        <f t="shared" ca="1" si="113"/>
        <v>0</v>
      </c>
      <c r="L429" s="189"/>
      <c r="M429" s="189"/>
      <c r="N429" s="189"/>
      <c r="O429" s="189"/>
      <c r="P429" s="189"/>
    </row>
    <row r="430" spans="1:16" ht="21.75" customHeight="1" x14ac:dyDescent="0.45">
      <c r="A430" s="183"/>
      <c r="B430" s="184"/>
      <c r="C430" s="184"/>
      <c r="D430" s="201"/>
      <c r="E430" s="206"/>
      <c r="F430" s="202" t="s">
        <v>53</v>
      </c>
      <c r="G430" s="394"/>
      <c r="H430" s="407" t="s">
        <v>37</v>
      </c>
      <c r="I430" s="208">
        <f ca="1">IFERROR(__xludf.DUMMYFUNCTION("IMPORTRANGE(""https://docs.google.com/spreadsheets/d/1IYY_tgx_IHuhSq3AJ5eI5OnqOPBNLWSHKh2a30DoXe8/edit?usp=sharing"",""พังงา!I325"")"),20)</f>
        <v>20</v>
      </c>
      <c r="J430" s="398">
        <f ca="1">IFERROR(__xludf.DUMMYFUNCTION("IMPORTRANGE(""https://docs.google.com/spreadsheets/d/1IYY_tgx_IHuhSq3AJ5eI5OnqOPBNLWSHKh2a30DoXe8/edit?usp=sharing"",""พังงา!J325"")"),0)</f>
        <v>0</v>
      </c>
      <c r="K430" s="209">
        <f t="shared" ca="1" si="113"/>
        <v>0</v>
      </c>
      <c r="L430" s="189"/>
      <c r="M430" s="189"/>
      <c r="N430" s="189"/>
      <c r="O430" s="189"/>
      <c r="P430" s="189"/>
    </row>
    <row r="431" spans="1:16" ht="21.75" customHeight="1" x14ac:dyDescent="0.45">
      <c r="A431" s="408"/>
      <c r="B431" s="409"/>
      <c r="C431" s="409"/>
      <c r="D431" s="410"/>
      <c r="E431" s="206"/>
      <c r="F431" s="203"/>
      <c r="G431" s="233" t="s">
        <v>158</v>
      </c>
      <c r="H431" s="188" t="s">
        <v>37</v>
      </c>
      <c r="I431" s="406">
        <f ca="1">IFERROR(__xludf.DUMMYFUNCTION("IMPORTRANGE(""https://docs.google.com/spreadsheets/d/1IYY_tgx_IHuhSq3AJ5eI5OnqOPBNLWSHKh2a30DoXe8/edit?usp=sharing"",""พังงา!I326"")"),10)</f>
        <v>10</v>
      </c>
      <c r="J431" s="400">
        <f ca="1">IFERROR(__xludf.DUMMYFUNCTION("IMPORTRANGE(""https://docs.google.com/spreadsheets/d/1IYY_tgx_IHuhSq3AJ5eI5OnqOPBNLWSHKh2a30DoXe8/edit?usp=sharing"",""พังงา!J326"")"),0)</f>
        <v>0</v>
      </c>
      <c r="K431" s="169">
        <f t="shared" ca="1" si="113"/>
        <v>0</v>
      </c>
      <c r="L431" s="189"/>
      <c r="M431" s="189"/>
      <c r="N431" s="189"/>
      <c r="O431" s="189"/>
      <c r="P431" s="189"/>
    </row>
    <row r="432" spans="1:16" ht="21.75" customHeight="1" x14ac:dyDescent="0.45">
      <c r="A432" s="408"/>
      <c r="B432" s="409"/>
      <c r="C432" s="409"/>
      <c r="D432" s="410"/>
      <c r="E432" s="206"/>
      <c r="F432" s="203"/>
      <c r="G432" s="233" t="s">
        <v>159</v>
      </c>
      <c r="H432" s="188" t="s">
        <v>37</v>
      </c>
      <c r="I432" s="406">
        <f ca="1">IFERROR(__xludf.DUMMYFUNCTION("IMPORTRANGE(""https://docs.google.com/spreadsheets/d/1IYY_tgx_IHuhSq3AJ5eI5OnqOPBNLWSHKh2a30DoXe8/edit?usp=sharing"",""พังงา!I327"")"),10)</f>
        <v>10</v>
      </c>
      <c r="J432" s="400">
        <f ca="1">IFERROR(__xludf.DUMMYFUNCTION("IMPORTRANGE(""https://docs.google.com/spreadsheets/d/1IYY_tgx_IHuhSq3AJ5eI5OnqOPBNLWSHKh2a30DoXe8/edit?usp=sharing"",""พังงา!J327"")"),0)</f>
        <v>0</v>
      </c>
      <c r="K432" s="169">
        <f t="shared" ca="1" si="113"/>
        <v>0</v>
      </c>
      <c r="L432" s="189"/>
      <c r="M432" s="189"/>
      <c r="N432" s="189"/>
      <c r="O432" s="189"/>
      <c r="P432" s="189"/>
    </row>
    <row r="433" spans="1:16" ht="21.75" customHeight="1" x14ac:dyDescent="0.35">
      <c r="A433" s="183"/>
      <c r="B433" s="184"/>
      <c r="C433" s="184"/>
      <c r="D433" s="201"/>
      <c r="E433" s="202" t="s">
        <v>54</v>
      </c>
      <c r="F433" s="203"/>
      <c r="G433" s="204"/>
      <c r="H433" s="194"/>
      <c r="I433" s="195"/>
      <c r="J433" s="205">
        <f ca="1">IFERROR(__xludf.DUMMYFUNCTION("IMPORTRANGE(""https://docs.google.com/spreadsheets/d/1IYY_tgx_IHuhSq3AJ5eI5OnqOPBNLWSHKh2a30DoXe8/edit?usp=sharing"",""พังงา!J328"")"),0)</f>
        <v>0</v>
      </c>
      <c r="K433" s="169"/>
      <c r="L433" s="189"/>
      <c r="M433" s="189"/>
      <c r="N433" s="189"/>
      <c r="O433" s="189"/>
      <c r="P433" s="189"/>
    </row>
    <row r="434" spans="1:16" ht="21.75" customHeight="1" x14ac:dyDescent="0.35">
      <c r="A434" s="183"/>
      <c r="B434" s="184"/>
      <c r="C434" s="184"/>
      <c r="D434" s="213">
        <v>3</v>
      </c>
      <c r="E434" s="214" t="s">
        <v>55</v>
      </c>
      <c r="F434" s="215"/>
      <c r="G434" s="216"/>
      <c r="H434" s="194"/>
      <c r="I434" s="195"/>
      <c r="J434" s="217">
        <f ca="1">IFERROR(__xludf.DUMMYFUNCTION("IMPORTRANGE(""https://docs.google.com/spreadsheets/d/1IYY_tgx_IHuhSq3AJ5eI5OnqOPBNLWSHKh2a30DoXe8/edit?usp=sharing"",""พังงา!J329"")"),0)</f>
        <v>0</v>
      </c>
      <c r="K434" s="169"/>
      <c r="L434" s="189"/>
      <c r="M434" s="189"/>
      <c r="N434" s="189"/>
      <c r="O434" s="189"/>
      <c r="P434" s="189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IFERROR(__xludf.DUMMYFUNCTION("IMPORTRANGE(""https://docs.google.com/spreadsheets/d/1IYY_tgx_IHuhSq3AJ5eI5OnqOPBNLWSHKh2a30DoXe8/edit?usp=sharing"",""พังงา!I330"")"),15)</f>
        <v>15</v>
      </c>
      <c r="J435" s="416">
        <f ca="1">IFERROR(__xludf.DUMMYFUNCTION("IMPORTRANGE(""https://docs.google.com/spreadsheets/d/1IYY_tgx_IHuhSq3AJ5eI5OnqOPBNLWSHKh2a30DoXe8/edit?usp=sharing"",""พังงา!J330"")"),0)</f>
        <v>0</v>
      </c>
      <c r="K435" s="417">
        <f ca="1">IF(I435&gt;0,J435*100/I435,0)</f>
        <v>0</v>
      </c>
      <c r="L435" s="418">
        <f ca="1">IFERROR(__xludf.DUMMYFUNCTION("IMPORTRANGE(""https://docs.google.com/spreadsheets/d/1IYY_tgx_IHuhSq3AJ5eI5OnqOPBNLWSHKh2a30DoXe8/edit?usp=sharing"",""พังงา!L330"")"),88000)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IFERROR(__xludf.DUMMYFUNCTION("IMPORTRANGE(""https://docs.google.com/spreadsheets/d/1IYY_tgx_IHuhSq3AJ5eI5OnqOPBNLWSHKh2a30DoXe8/edit?usp=sharing"",""พังงา!M330"")"),6120)</f>
        <v>6120</v>
      </c>
      <c r="O435" s="418">
        <f t="shared" ref="O435:O439" ca="1" si="114">+IF(L435&gt;0,N435*100/L435,0)</f>
        <v>6.9545454545454541</v>
      </c>
      <c r="P435" s="418"/>
    </row>
    <row r="436" spans="1:16" ht="21.75" customHeight="1" x14ac:dyDescent="0.35">
      <c r="A436" s="162"/>
      <c r="B436" s="163"/>
      <c r="C436" s="163" t="s">
        <v>16</v>
      </c>
      <c r="D436" s="164" t="s">
        <v>38</v>
      </c>
      <c r="E436" s="165"/>
      <c r="F436" s="165"/>
      <c r="G436" s="166" t="s">
        <v>39</v>
      </c>
      <c r="H436" s="167" t="s">
        <v>12</v>
      </c>
      <c r="I436" s="168" t="s">
        <v>40</v>
      </c>
      <c r="J436" s="168"/>
      <c r="K436" s="169"/>
      <c r="L436" s="170">
        <f ca="1">IFERROR(__xludf.DUMMYFUNCTION("IMPORTRANGE(""https://docs.google.com/spreadsheets/d/1IYY_tgx_IHuhSq3AJ5eI5OnqOPBNLWSHKh2a30DoXe8/edit?usp=sharing"",""พังงา!L331"")"),0)</f>
        <v>0</v>
      </c>
      <c r="M436" s="170"/>
      <c r="N436" s="176">
        <f ca="1">IFERROR(__xludf.DUMMYFUNCTION("IMPORTRANGE(""https://docs.google.com/spreadsheets/d/1IYY_tgx_IHuhSq3AJ5eI5OnqOPBNLWSHKh2a30DoXe8/edit?usp=sharing"",""พังงา!M331"")"),0)</f>
        <v>0</v>
      </c>
      <c r="O436" s="176">
        <f t="shared" ca="1" si="114"/>
        <v>0</v>
      </c>
      <c r="P436" s="176"/>
    </row>
    <row r="437" spans="1:16" ht="21.75" customHeight="1" x14ac:dyDescent="0.35">
      <c r="A437" s="162"/>
      <c r="B437" s="163"/>
      <c r="C437" s="163"/>
      <c r="D437" s="172"/>
      <c r="E437" s="165"/>
      <c r="F437" s="165" t="s">
        <v>40</v>
      </c>
      <c r="G437" s="166" t="s">
        <v>41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IFERROR(__xludf.DUMMYFUNCTION("IMPORTRANGE(""https://docs.google.com/spreadsheets/d/1IYY_tgx_IHuhSq3AJ5eI5OnqOPBNLWSHKh2a30DoXe8/edit?usp=sharing"",""พังงา!L332"")"),88000)</f>
        <v>88000</v>
      </c>
      <c r="M437" s="171"/>
      <c r="N437" s="176">
        <f ca="1">IFERROR(__xludf.DUMMYFUNCTION("IMPORTRANGE(""https://docs.google.com/spreadsheets/d/1IYY_tgx_IHuhSq3AJ5eI5OnqOPBNLWSHKh2a30DoXe8/edit?usp=sharing"",""พังงา!M332"")"),6120)</f>
        <v>6120</v>
      </c>
      <c r="O437" s="176">
        <f t="shared" ca="1" si="114"/>
        <v>6.9545454545454541</v>
      </c>
      <c r="P437" s="176"/>
    </row>
    <row r="438" spans="1:16" ht="21.75" customHeight="1" x14ac:dyDescent="0.35">
      <c r="A438" s="162"/>
      <c r="B438" s="163"/>
      <c r="C438" s="163"/>
      <c r="D438" s="172"/>
      <c r="E438" s="165"/>
      <c r="F438" s="165"/>
      <c r="G438" s="380" t="s">
        <v>129</v>
      </c>
      <c r="H438" s="167" t="s">
        <v>12</v>
      </c>
      <c r="I438" s="168"/>
      <c r="J438" s="168"/>
      <c r="K438" s="169"/>
      <c r="L438" s="176">
        <f ca="1">IFERROR(__xludf.DUMMYFUNCTION("IMPORTRANGE(""https://docs.google.com/spreadsheets/d/1IYY_tgx_IHuhSq3AJ5eI5OnqOPBNLWSHKh2a30DoXe8/edit?usp=sharing"",""พังงา!L333"")"),0)</f>
        <v>0</v>
      </c>
      <c r="M438" s="176"/>
      <c r="N438" s="176">
        <f ca="1">IFERROR(__xludf.DUMMYFUNCTION("IMPORTRANGE(""https://docs.google.com/spreadsheets/d/1IYY_tgx_IHuhSq3AJ5eI5OnqOPBNLWSHKh2a30DoXe8/edit?usp=sharing"",""พังงา!M333"")"),0)</f>
        <v>0</v>
      </c>
      <c r="O438" s="176">
        <f t="shared" ca="1" si="114"/>
        <v>0</v>
      </c>
      <c r="P438" s="176"/>
    </row>
    <row r="439" spans="1:16" ht="21.75" customHeight="1" x14ac:dyDescent="0.35">
      <c r="A439" s="162"/>
      <c r="B439" s="163"/>
      <c r="C439" s="163"/>
      <c r="D439" s="172"/>
      <c r="E439" s="165"/>
      <c r="F439" s="165"/>
      <c r="G439" s="380" t="s">
        <v>130</v>
      </c>
      <c r="H439" s="167" t="s">
        <v>12</v>
      </c>
      <c r="I439" s="168"/>
      <c r="J439" s="168"/>
      <c r="K439" s="169"/>
      <c r="L439" s="176">
        <f ca="1">IFERROR(__xludf.DUMMYFUNCTION("IMPORTRANGE(""https://docs.google.com/spreadsheets/d/1IYY_tgx_IHuhSq3AJ5eI5OnqOPBNLWSHKh2a30DoXe8/edit?usp=sharing"",""พังงา!L334"")"),88000)</f>
        <v>88000</v>
      </c>
      <c r="M439" s="176"/>
      <c r="N439" s="176">
        <f ca="1">IFERROR(__xludf.DUMMYFUNCTION("IMPORTRANGE(""https://docs.google.com/spreadsheets/d/1IYY_tgx_IHuhSq3AJ5eI5OnqOPBNLWSHKh2a30DoXe8/edit?usp=sharing"",""พังงา!M334"")"),6120)</f>
        <v>6120</v>
      </c>
      <c r="O439" s="176">
        <f t="shared" ca="1" si="114"/>
        <v>6.9545454545454541</v>
      </c>
      <c r="P439" s="176"/>
    </row>
    <row r="440" spans="1:16" ht="21.75" customHeight="1" x14ac:dyDescent="0.35">
      <c r="A440" s="381"/>
      <c r="B440" s="382"/>
      <c r="C440" s="163"/>
      <c r="D440" s="383"/>
      <c r="E440" s="165"/>
      <c r="F440" s="165"/>
      <c r="G440" s="384" t="s">
        <v>131</v>
      </c>
      <c r="H440" s="167" t="s">
        <v>12</v>
      </c>
      <c r="I440" s="195"/>
      <c r="J440" s="195"/>
      <c r="K440" s="231"/>
      <c r="L440" s="176"/>
      <c r="M440" s="176"/>
      <c r="N440" s="385">
        <f ca="1">IFERROR(__xludf.DUMMYFUNCTION("IMPORTRANGE(""https://docs.google.com/spreadsheets/d/1IYY_tgx_IHuhSq3AJ5eI5OnqOPBNLWSHKh2a30DoXe8/edit?usp=sharing"",""พังงา!M335"")"),0)</f>
        <v>0</v>
      </c>
      <c r="O440" s="176"/>
      <c r="P440" s="176"/>
    </row>
    <row r="441" spans="1:16" ht="21.75" customHeight="1" x14ac:dyDescent="0.35">
      <c r="A441" s="381"/>
      <c r="B441" s="382"/>
      <c r="C441" s="163"/>
      <c r="D441" s="383"/>
      <c r="E441" s="165"/>
      <c r="F441" s="165"/>
      <c r="G441" s="384" t="s">
        <v>132</v>
      </c>
      <c r="H441" s="167" t="s">
        <v>12</v>
      </c>
      <c r="I441" s="195"/>
      <c r="J441" s="195"/>
      <c r="K441" s="231"/>
      <c r="L441" s="176"/>
      <c r="M441" s="176"/>
      <c r="N441" s="385">
        <f ca="1">IFERROR(__xludf.DUMMYFUNCTION("IMPORTRANGE(""https://docs.google.com/spreadsheets/d/1IYY_tgx_IHuhSq3AJ5eI5OnqOPBNLWSHKh2a30DoXe8/edit?usp=sharing"",""พังงา!M336"")"),0)</f>
        <v>0</v>
      </c>
      <c r="O441" s="176"/>
      <c r="P441" s="176"/>
    </row>
    <row r="442" spans="1:16" ht="21.75" customHeight="1" x14ac:dyDescent="0.35">
      <c r="A442" s="381"/>
      <c r="B442" s="382"/>
      <c r="C442" s="163"/>
      <c r="D442" s="383"/>
      <c r="E442" s="165"/>
      <c r="F442" s="165"/>
      <c r="G442" s="384" t="s">
        <v>133</v>
      </c>
      <c r="H442" s="167" t="s">
        <v>12</v>
      </c>
      <c r="I442" s="195"/>
      <c r="J442" s="195"/>
      <c r="K442" s="231"/>
      <c r="L442" s="176"/>
      <c r="M442" s="176"/>
      <c r="N442" s="385">
        <f ca="1">IFERROR(__xludf.DUMMYFUNCTION("IMPORTRANGE(""https://docs.google.com/spreadsheets/d/1IYY_tgx_IHuhSq3AJ5eI5OnqOPBNLWSHKh2a30DoXe8/edit?usp=sharing"",""พังงา!M337"")"),0)</f>
        <v>0</v>
      </c>
      <c r="O442" s="176"/>
      <c r="P442" s="176"/>
    </row>
    <row r="443" spans="1:16" ht="21.75" customHeight="1" x14ac:dyDescent="0.35">
      <c r="A443" s="381"/>
      <c r="B443" s="382"/>
      <c r="C443" s="163"/>
      <c r="D443" s="383"/>
      <c r="E443" s="165"/>
      <c r="F443" s="165"/>
      <c r="G443" s="384" t="s">
        <v>134</v>
      </c>
      <c r="H443" s="167" t="s">
        <v>12</v>
      </c>
      <c r="I443" s="195"/>
      <c r="J443" s="195"/>
      <c r="K443" s="231"/>
      <c r="L443" s="176"/>
      <c r="M443" s="176"/>
      <c r="N443" s="385">
        <f ca="1">IFERROR(__xludf.DUMMYFUNCTION("IMPORTRANGE(""https://docs.google.com/spreadsheets/d/1IYY_tgx_IHuhSq3AJ5eI5OnqOPBNLWSHKh2a30DoXe8/edit?usp=sharing"",""พังงา!M338"")"),6120)</f>
        <v>6120</v>
      </c>
      <c r="O443" s="176"/>
      <c r="P443" s="176"/>
    </row>
    <row r="444" spans="1:16" ht="21.75" customHeight="1" x14ac:dyDescent="0.35">
      <c r="A444" s="183"/>
      <c r="B444" s="184"/>
      <c r="C444" s="163" t="s">
        <v>16</v>
      </c>
      <c r="D444" s="185" t="s">
        <v>44</v>
      </c>
      <c r="E444" s="186"/>
      <c r="F444" s="186"/>
      <c r="G444" s="187"/>
      <c r="H444" s="188"/>
      <c r="I444" s="168"/>
      <c r="J444" s="168"/>
      <c r="K444" s="169"/>
      <c r="L444" s="189"/>
      <c r="M444" s="189"/>
      <c r="N444" s="189"/>
      <c r="O444" s="189"/>
      <c r="P444" s="189"/>
    </row>
    <row r="445" spans="1:16" ht="21.75" customHeight="1" x14ac:dyDescent="0.35">
      <c r="A445" s="183"/>
      <c r="B445" s="184"/>
      <c r="C445" s="184"/>
      <c r="D445" s="190">
        <v>1</v>
      </c>
      <c r="E445" s="191" t="s">
        <v>45</v>
      </c>
      <c r="F445" s="192"/>
      <c r="G445" s="193"/>
      <c r="H445" s="194"/>
      <c r="I445" s="195"/>
      <c r="J445" s="217">
        <f ca="1">IFERROR(__xludf.DUMMYFUNCTION("IMPORTRANGE(""https://docs.google.com/spreadsheets/d/1IYY_tgx_IHuhSq3AJ5eI5OnqOPBNLWSHKh2a30DoXe8/edit?usp=sharing"",""พังงา!J340"")"),0)</f>
        <v>0</v>
      </c>
      <c r="K445" s="169"/>
      <c r="L445" s="189"/>
      <c r="M445" s="189"/>
      <c r="N445" s="189"/>
      <c r="O445" s="189"/>
      <c r="P445" s="189"/>
    </row>
    <row r="446" spans="1:16" ht="21.75" customHeight="1" x14ac:dyDescent="0.35">
      <c r="A446" s="183"/>
      <c r="B446" s="184"/>
      <c r="C446" s="184"/>
      <c r="D446" s="197">
        <v>2</v>
      </c>
      <c r="E446" s="198" t="s">
        <v>46</v>
      </c>
      <c r="F446" s="199"/>
      <c r="G446" s="200"/>
      <c r="H446" s="194"/>
      <c r="I446" s="195"/>
      <c r="J446" s="419">
        <f ca="1">IFERROR(__xludf.DUMMYFUNCTION("IMPORTRANGE(""https://docs.google.com/spreadsheets/d/1IYY_tgx_IHuhSq3AJ5eI5OnqOPBNLWSHKh2a30DoXe8/edit?usp=sharing"",""พังงา!J341"")"),1)</f>
        <v>1</v>
      </c>
      <c r="K446" s="169"/>
      <c r="L446" s="189" t="s">
        <v>40</v>
      </c>
      <c r="M446" s="189"/>
      <c r="N446" s="189" t="s">
        <v>40</v>
      </c>
      <c r="O446" s="189"/>
      <c r="P446" s="189"/>
    </row>
    <row r="447" spans="1:16" ht="21.75" customHeight="1" x14ac:dyDescent="0.35">
      <c r="A447" s="183"/>
      <c r="B447" s="184"/>
      <c r="C447" s="184"/>
      <c r="D447" s="201"/>
      <c r="E447" s="202" t="s">
        <v>161</v>
      </c>
      <c r="F447" s="203"/>
      <c r="G447" s="204"/>
      <c r="H447" s="194"/>
      <c r="I447" s="195"/>
      <c r="J447" s="196">
        <f ca="1">IFERROR(__xludf.DUMMYFUNCTION("IMPORTRANGE(""https://docs.google.com/spreadsheets/d/1IYY_tgx_IHuhSq3AJ5eI5OnqOPBNLWSHKh2a30DoXe8/edit?usp=sharing"",""พังงา!J342"")"),1)</f>
        <v>1</v>
      </c>
      <c r="K447" s="169"/>
      <c r="L447" s="189"/>
      <c r="M447" s="189"/>
      <c r="N447" s="189"/>
      <c r="O447" s="189"/>
      <c r="P447" s="189"/>
    </row>
    <row r="448" spans="1:16" ht="21.75" customHeight="1" x14ac:dyDescent="0.35">
      <c r="A448" s="183"/>
      <c r="B448" s="184"/>
      <c r="C448" s="184"/>
      <c r="D448" s="201"/>
      <c r="E448" s="202" t="s">
        <v>48</v>
      </c>
      <c r="F448" s="203"/>
      <c r="G448" s="204"/>
      <c r="H448" s="194"/>
      <c r="I448" s="195"/>
      <c r="J448" s="196">
        <f ca="1">IFERROR(__xludf.DUMMYFUNCTION("IMPORTRANGE(""https://docs.google.com/spreadsheets/d/1IYY_tgx_IHuhSq3AJ5eI5OnqOPBNLWSHKh2a30DoXe8/edit?usp=sharing"",""พังงา!J343"")"),1)</f>
        <v>1</v>
      </c>
      <c r="K448" s="169"/>
      <c r="L448" s="189"/>
      <c r="M448" s="189"/>
      <c r="N448" s="189"/>
      <c r="O448" s="189"/>
      <c r="P448" s="189"/>
    </row>
    <row r="449" spans="1:16" ht="21.75" customHeight="1" x14ac:dyDescent="0.35">
      <c r="A449" s="183"/>
      <c r="B449" s="184"/>
      <c r="C449" s="184"/>
      <c r="D449" s="201"/>
      <c r="E449" s="206"/>
      <c r="F449" s="420" t="s">
        <v>101</v>
      </c>
      <c r="G449" s="204"/>
      <c r="H449" s="194" t="s">
        <v>37</v>
      </c>
      <c r="I449" s="397">
        <f ca="1">IFERROR(__xludf.DUMMYFUNCTION("IMPORTRANGE(""https://docs.google.com/spreadsheets/d/1IYY_tgx_IHuhSq3AJ5eI5OnqOPBNLWSHKh2a30DoXe8/edit?usp=sharing"",""พังงา!I344"")"),15)</f>
        <v>15</v>
      </c>
      <c r="J449" s="208">
        <f ca="1">IFERROR(__xludf.DUMMYFUNCTION("IMPORTRANGE(""https://docs.google.com/spreadsheets/d/1IYY_tgx_IHuhSq3AJ5eI5OnqOPBNLWSHKh2a30DoXe8/edit?usp=sharing"",""พังงา!J344"")"),0)</f>
        <v>0</v>
      </c>
      <c r="K449" s="169">
        <f t="shared" ref="K449:K452" ca="1" si="115">IF(I449&gt;0,J449*100/I449,0)</f>
        <v>0</v>
      </c>
      <c r="L449" s="189"/>
      <c r="M449" s="189"/>
      <c r="N449" s="189"/>
      <c r="O449" s="189"/>
      <c r="P449" s="189"/>
    </row>
    <row r="450" spans="1:16" ht="21.75" customHeight="1" x14ac:dyDescent="0.35">
      <c r="A450" s="183"/>
      <c r="B450" s="184"/>
      <c r="C450" s="184"/>
      <c r="D450" s="201"/>
      <c r="E450" s="206"/>
      <c r="F450" s="203"/>
      <c r="G450" s="233" t="s">
        <v>162</v>
      </c>
      <c r="H450" s="194" t="s">
        <v>37</v>
      </c>
      <c r="I450" s="347">
        <f ca="1">IFERROR(__xludf.DUMMYFUNCTION("IMPORTRANGE(""https://docs.google.com/spreadsheets/d/1IYY_tgx_IHuhSq3AJ5eI5OnqOPBNLWSHKh2a30DoXe8/edit?usp=sharing"",""พังงา!I345"")"),15)</f>
        <v>15</v>
      </c>
      <c r="J450" s="196">
        <f ca="1">IFERROR(__xludf.DUMMYFUNCTION("IMPORTRANGE(""https://docs.google.com/spreadsheets/d/1IYY_tgx_IHuhSq3AJ5eI5OnqOPBNLWSHKh2a30DoXe8/edit?usp=sharing"",""พังงา!J345"")"),0)</f>
        <v>0</v>
      </c>
      <c r="K450" s="169">
        <f t="shared" ca="1" si="115"/>
        <v>0</v>
      </c>
      <c r="L450" s="189"/>
      <c r="M450" s="189"/>
      <c r="N450" s="189"/>
      <c r="O450" s="189"/>
      <c r="P450" s="189"/>
    </row>
    <row r="451" spans="1:16" ht="21.75" customHeight="1" x14ac:dyDescent="0.35">
      <c r="A451" s="183"/>
      <c r="B451" s="184"/>
      <c r="C451" s="184"/>
      <c r="D451" s="201"/>
      <c r="E451" s="206"/>
      <c r="F451" s="203"/>
      <c r="G451" s="287" t="s">
        <v>163</v>
      </c>
      <c r="H451" s="194" t="s">
        <v>37</v>
      </c>
      <c r="I451" s="347">
        <f ca="1">IFERROR(__xludf.DUMMYFUNCTION("IMPORTRANGE(""https://docs.google.com/spreadsheets/d/1IYY_tgx_IHuhSq3AJ5eI5OnqOPBNLWSHKh2a30DoXe8/edit?usp=sharing"",""พังงา!I346"")"),0)</f>
        <v>0</v>
      </c>
      <c r="J451" s="195">
        <f ca="1">IFERROR(__xludf.DUMMYFUNCTION("IMPORTRANGE(""https://docs.google.com/spreadsheets/d/1IYY_tgx_IHuhSq3AJ5eI5OnqOPBNLWSHKh2a30DoXe8/edit?usp=sharing"",""พังงา!J346"")"),0)</f>
        <v>0</v>
      </c>
      <c r="K451" s="169">
        <f t="shared" ca="1" si="115"/>
        <v>0</v>
      </c>
      <c r="L451" s="189"/>
      <c r="M451" s="189"/>
      <c r="N451" s="189"/>
      <c r="O451" s="189"/>
      <c r="P451" s="189"/>
    </row>
    <row r="452" spans="1:16" ht="21.75" customHeight="1" x14ac:dyDescent="0.35">
      <c r="A452" s="183"/>
      <c r="B452" s="184"/>
      <c r="C452" s="184"/>
      <c r="D452" s="201"/>
      <c r="E452" s="206"/>
      <c r="F452" s="203"/>
      <c r="G452" s="204" t="s">
        <v>164</v>
      </c>
      <c r="H452" s="194" t="s">
        <v>37</v>
      </c>
      <c r="I452" s="195">
        <f ca="1">IFERROR(__xludf.DUMMYFUNCTION("IMPORTRANGE(""https://docs.google.com/spreadsheets/d/1IYY_tgx_IHuhSq3AJ5eI5OnqOPBNLWSHKh2a30DoXe8/edit?usp=sharing"",""พังงา!I347"")"),0)</f>
        <v>0</v>
      </c>
      <c r="J452" s="195">
        <f ca="1">IFERROR(__xludf.DUMMYFUNCTION("IMPORTRANGE(""https://docs.google.com/spreadsheets/d/1IYY_tgx_IHuhSq3AJ5eI5OnqOPBNLWSHKh2a30DoXe8/edit?usp=sharing"",""พังงา!J347"")"),0)</f>
        <v>0</v>
      </c>
      <c r="K452" s="169">
        <f t="shared" ca="1" si="115"/>
        <v>0</v>
      </c>
      <c r="L452" s="189"/>
      <c r="M452" s="189"/>
      <c r="N452" s="189"/>
      <c r="O452" s="189"/>
      <c r="P452" s="189"/>
    </row>
    <row r="453" spans="1:16" ht="21.75" customHeight="1" x14ac:dyDescent="0.35">
      <c r="A453" s="183"/>
      <c r="B453" s="184"/>
      <c r="C453" s="184"/>
      <c r="D453" s="201"/>
      <c r="E453" s="202" t="s">
        <v>54</v>
      </c>
      <c r="F453" s="203"/>
      <c r="G453" s="204"/>
      <c r="H453" s="194"/>
      <c r="I453" s="195"/>
      <c r="J453" s="205">
        <f ca="1">IFERROR(__xludf.DUMMYFUNCTION("IMPORTRANGE(""https://docs.google.com/spreadsheets/d/1IYY_tgx_IHuhSq3AJ5eI5OnqOPBNLWSHKh2a30DoXe8/edit?usp=sharing"",""พังงา!J348"")"),0)</f>
        <v>0</v>
      </c>
      <c r="K453" s="169"/>
      <c r="L453" s="189"/>
      <c r="M453" s="189"/>
      <c r="N453" s="189"/>
      <c r="O453" s="189"/>
      <c r="P453" s="189"/>
    </row>
    <row r="454" spans="1:16" ht="21.75" customHeight="1" x14ac:dyDescent="0.35">
      <c r="A454" s="183"/>
      <c r="B454" s="184"/>
      <c r="C454" s="184"/>
      <c r="D454" s="213">
        <v>3</v>
      </c>
      <c r="E454" s="214" t="s">
        <v>55</v>
      </c>
      <c r="F454" s="215"/>
      <c r="G454" s="216"/>
      <c r="H454" s="194"/>
      <c r="I454" s="195"/>
      <c r="J454" s="217">
        <f ca="1">IFERROR(__xludf.DUMMYFUNCTION("IMPORTRANGE(""https://docs.google.com/spreadsheets/d/1IYY_tgx_IHuhSq3AJ5eI5OnqOPBNLWSHKh2a30DoXe8/edit?usp=sharing"",""พังงา!J349"")"),0)</f>
        <v>0</v>
      </c>
      <c r="K454" s="169"/>
      <c r="L454" s="189"/>
      <c r="M454" s="189"/>
      <c r="N454" s="189"/>
      <c r="O454" s="189"/>
      <c r="P454" s="189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IFERROR(__xludf.DUMMYFUNCTION("IMPORTRANGE(""https://docs.google.com/spreadsheets/d/1IYY_tgx_IHuhSq3AJ5eI5OnqOPBNLWSHKh2a30DoXe8/edit?usp=sharing"",""พังงา!I350"")"),20879)</f>
        <v>20879</v>
      </c>
      <c r="J455" s="377">
        <f ca="1">IFERROR(__xludf.DUMMYFUNCTION("IMPORTRANGE(""https://docs.google.com/spreadsheets/d/1IYY_tgx_IHuhSq3AJ5eI5OnqOPBNLWSHKh2a30DoXe8/edit?usp=sharing"",""พังงา!J350"")"),0)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IFERROR(__xludf.DUMMYFUNCTION("IMPORTRANGE(""https://docs.google.com/spreadsheets/d/1IYY_tgx_IHuhSq3AJ5eI5OnqOPBNLWSHKh2a30DoXe8/edit?usp=sharing"",""พังงา!L350"")"),163622)</f>
        <v>163622</v>
      </c>
      <c r="M455" s="379"/>
      <c r="N455" s="379">
        <f ca="1">IFERROR(__xludf.DUMMYFUNCTION("IMPORTRANGE(""https://docs.google.com/spreadsheets/d/1IYY_tgx_IHuhSq3AJ5eI5OnqOPBNLWSHKh2a30DoXe8/edit?usp=sharing"",""พังงา!M350"")"),2600)</f>
        <v>2600</v>
      </c>
      <c r="O455" s="379">
        <f t="shared" ref="O455:O459" ca="1" si="116">+IF(L455&gt;0,N455*100/L455,0)</f>
        <v>1.5890283702680568</v>
      </c>
      <c r="P455" s="379"/>
    </row>
    <row r="456" spans="1:16" ht="21.75" customHeight="1" x14ac:dyDescent="0.35">
      <c r="A456" s="162"/>
      <c r="B456" s="163"/>
      <c r="C456" s="163" t="s">
        <v>16</v>
      </c>
      <c r="D456" s="164" t="s">
        <v>38</v>
      </c>
      <c r="E456" s="165"/>
      <c r="F456" s="165"/>
      <c r="G456" s="166" t="s">
        <v>39</v>
      </c>
      <c r="H456" s="167" t="s">
        <v>12</v>
      </c>
      <c r="I456" s="168" t="s">
        <v>40</v>
      </c>
      <c r="J456" s="168"/>
      <c r="K456" s="169"/>
      <c r="L456" s="170">
        <f ca="1">IFERROR(__xludf.DUMMYFUNCTION("IMPORTRANGE(""https://docs.google.com/spreadsheets/d/1IYY_tgx_IHuhSq3AJ5eI5OnqOPBNLWSHKh2a30DoXe8/edit?usp=sharing"",""พังงา!L351"")"),0)</f>
        <v>0</v>
      </c>
      <c r="M456" s="170"/>
      <c r="N456" s="176">
        <f ca="1">IFERROR(__xludf.DUMMYFUNCTION("IMPORTRANGE(""https://docs.google.com/spreadsheets/d/1IYY_tgx_IHuhSq3AJ5eI5OnqOPBNLWSHKh2a30DoXe8/edit?usp=sharing"",""พังงา!M351"")"),0)</f>
        <v>0</v>
      </c>
      <c r="O456" s="176">
        <f t="shared" ca="1" si="116"/>
        <v>0</v>
      </c>
      <c r="P456" s="176"/>
    </row>
    <row r="457" spans="1:16" ht="21.75" customHeight="1" x14ac:dyDescent="0.35">
      <c r="A457" s="162"/>
      <c r="B457" s="163"/>
      <c r="C457" s="163"/>
      <c r="D457" s="172"/>
      <c r="E457" s="165"/>
      <c r="F457" s="165" t="s">
        <v>40</v>
      </c>
      <c r="G457" s="166" t="s">
        <v>41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IFERROR(__xludf.DUMMYFUNCTION("IMPORTRANGE(""https://docs.google.com/spreadsheets/d/1IYY_tgx_IHuhSq3AJ5eI5OnqOPBNLWSHKh2a30DoXe8/edit?usp=sharing"",""พังงา!L352"")"),163622)</f>
        <v>163622</v>
      </c>
      <c r="M457" s="171"/>
      <c r="N457" s="176">
        <f ca="1">IFERROR(__xludf.DUMMYFUNCTION("IMPORTRANGE(""https://docs.google.com/spreadsheets/d/1IYY_tgx_IHuhSq3AJ5eI5OnqOPBNLWSHKh2a30DoXe8/edit?usp=sharing"",""พังงา!M352"")"),2600)</f>
        <v>2600</v>
      </c>
      <c r="O457" s="176">
        <f t="shared" ca="1" si="116"/>
        <v>1.5890283702680568</v>
      </c>
      <c r="P457" s="176"/>
    </row>
    <row r="458" spans="1:16" ht="21.75" customHeight="1" x14ac:dyDescent="0.35">
      <c r="A458" s="162"/>
      <c r="B458" s="163"/>
      <c r="C458" s="163"/>
      <c r="D458" s="172"/>
      <c r="E458" s="165"/>
      <c r="F458" s="165"/>
      <c r="G458" s="380" t="s">
        <v>129</v>
      </c>
      <c r="H458" s="167" t="s">
        <v>12</v>
      </c>
      <c r="I458" s="168"/>
      <c r="J458" s="168"/>
      <c r="K458" s="169"/>
      <c r="L458" s="176">
        <f ca="1">IFERROR(__xludf.DUMMYFUNCTION("IMPORTRANGE(""https://docs.google.com/spreadsheets/d/1IYY_tgx_IHuhSq3AJ5eI5OnqOPBNLWSHKh2a30DoXe8/edit?usp=sharing"",""พังงา!L353"")"),0)</f>
        <v>0</v>
      </c>
      <c r="M458" s="176"/>
      <c r="N458" s="176">
        <f ca="1">IFERROR(__xludf.DUMMYFUNCTION("IMPORTRANGE(""https://docs.google.com/spreadsheets/d/1IYY_tgx_IHuhSq3AJ5eI5OnqOPBNLWSHKh2a30DoXe8/edit?usp=sharing"",""พังงา!M353"")"),0)</f>
        <v>0</v>
      </c>
      <c r="O458" s="176">
        <f t="shared" ca="1" si="116"/>
        <v>0</v>
      </c>
      <c r="P458" s="176"/>
    </row>
    <row r="459" spans="1:16" ht="21.75" customHeight="1" x14ac:dyDescent="0.35">
      <c r="A459" s="162"/>
      <c r="B459" s="163"/>
      <c r="C459" s="163"/>
      <c r="D459" s="172"/>
      <c r="E459" s="165"/>
      <c r="F459" s="165"/>
      <c r="G459" s="380" t="s">
        <v>130</v>
      </c>
      <c r="H459" s="167" t="s">
        <v>12</v>
      </c>
      <c r="I459" s="168"/>
      <c r="J459" s="168"/>
      <c r="K459" s="169"/>
      <c r="L459" s="176">
        <f ca="1">IFERROR(__xludf.DUMMYFUNCTION("IMPORTRANGE(""https://docs.google.com/spreadsheets/d/1IYY_tgx_IHuhSq3AJ5eI5OnqOPBNLWSHKh2a30DoXe8/edit?usp=sharing"",""พังงา!L354"")"),163622)</f>
        <v>163622</v>
      </c>
      <c r="M459" s="176"/>
      <c r="N459" s="176">
        <f ca="1">IFERROR(__xludf.DUMMYFUNCTION("IMPORTRANGE(""https://docs.google.com/spreadsheets/d/1IYY_tgx_IHuhSq3AJ5eI5OnqOPBNLWSHKh2a30DoXe8/edit?usp=sharing"",""พังงา!M354"")"),2600)</f>
        <v>2600</v>
      </c>
      <c r="O459" s="176">
        <f t="shared" ca="1" si="116"/>
        <v>1.5890283702680568</v>
      </c>
      <c r="P459" s="176"/>
    </row>
    <row r="460" spans="1:16" ht="21.75" customHeight="1" x14ac:dyDescent="0.35">
      <c r="A460" s="381"/>
      <c r="B460" s="382"/>
      <c r="C460" s="163"/>
      <c r="D460" s="383"/>
      <c r="E460" s="165"/>
      <c r="F460" s="165"/>
      <c r="G460" s="384" t="s">
        <v>131</v>
      </c>
      <c r="H460" s="167" t="s">
        <v>12</v>
      </c>
      <c r="I460" s="195"/>
      <c r="J460" s="195"/>
      <c r="K460" s="231"/>
      <c r="L460" s="176"/>
      <c r="M460" s="176"/>
      <c r="N460" s="173">
        <f ca="1">IFERROR(__xludf.DUMMYFUNCTION("IMPORTRANGE(""https://docs.google.com/spreadsheets/d/1IYY_tgx_IHuhSq3AJ5eI5OnqOPBNLWSHKh2a30DoXe8/edit?usp=sharing"",""พังงา!M355"")"),0)</f>
        <v>0</v>
      </c>
      <c r="O460" s="176"/>
      <c r="P460" s="176"/>
    </row>
    <row r="461" spans="1:16" ht="21.75" customHeight="1" x14ac:dyDescent="0.35">
      <c r="A461" s="381"/>
      <c r="B461" s="382"/>
      <c r="C461" s="163"/>
      <c r="D461" s="383"/>
      <c r="E461" s="165"/>
      <c r="F461" s="165"/>
      <c r="G461" s="384" t="s">
        <v>132</v>
      </c>
      <c r="H461" s="167" t="s">
        <v>12</v>
      </c>
      <c r="I461" s="195"/>
      <c r="J461" s="195"/>
      <c r="K461" s="231"/>
      <c r="L461" s="176"/>
      <c r="M461" s="176"/>
      <c r="N461" s="173">
        <f ca="1">IFERROR(__xludf.DUMMYFUNCTION("IMPORTRANGE(""https://docs.google.com/spreadsheets/d/1IYY_tgx_IHuhSq3AJ5eI5OnqOPBNLWSHKh2a30DoXe8/edit?usp=sharing"",""พังงา!M356"")"),0)</f>
        <v>0</v>
      </c>
      <c r="O461" s="176"/>
      <c r="P461" s="176"/>
    </row>
    <row r="462" spans="1:16" ht="21.75" customHeight="1" x14ac:dyDescent="0.35">
      <c r="A462" s="381"/>
      <c r="B462" s="382"/>
      <c r="C462" s="163"/>
      <c r="D462" s="383"/>
      <c r="E462" s="165"/>
      <c r="F462" s="165"/>
      <c r="G462" s="384" t="s">
        <v>133</v>
      </c>
      <c r="H462" s="167" t="s">
        <v>12</v>
      </c>
      <c r="I462" s="195"/>
      <c r="J462" s="195"/>
      <c r="K462" s="231"/>
      <c r="L462" s="176"/>
      <c r="M462" s="176"/>
      <c r="N462" s="385">
        <f ca="1">IFERROR(__xludf.DUMMYFUNCTION("IMPORTRANGE(""https://docs.google.com/spreadsheets/d/1IYY_tgx_IHuhSq3AJ5eI5OnqOPBNLWSHKh2a30DoXe8/edit?usp=sharing"",""พังงา!M357"")"),0)</f>
        <v>0</v>
      </c>
      <c r="O462" s="176"/>
      <c r="P462" s="176"/>
    </row>
    <row r="463" spans="1:16" ht="21.75" customHeight="1" x14ac:dyDescent="0.35">
      <c r="A463" s="381"/>
      <c r="B463" s="382"/>
      <c r="C463" s="163"/>
      <c r="D463" s="383"/>
      <c r="E463" s="165"/>
      <c r="F463" s="165"/>
      <c r="G463" s="384" t="s">
        <v>134</v>
      </c>
      <c r="H463" s="167" t="s">
        <v>12</v>
      </c>
      <c r="I463" s="195"/>
      <c r="J463" s="195"/>
      <c r="K463" s="231"/>
      <c r="L463" s="176"/>
      <c r="M463" s="176"/>
      <c r="N463" s="385">
        <f ca="1">IFERROR(__xludf.DUMMYFUNCTION("IMPORTRANGE(""https://docs.google.com/spreadsheets/d/1IYY_tgx_IHuhSq3AJ5eI5OnqOPBNLWSHKh2a30DoXe8/edit?usp=sharing"",""พังงา!M358"")"),2600)</f>
        <v>2600</v>
      </c>
      <c r="O463" s="176"/>
      <c r="P463" s="176"/>
    </row>
    <row r="464" spans="1:16" ht="21.75" customHeight="1" x14ac:dyDescent="0.35">
      <c r="A464" s="183"/>
      <c r="B464" s="184"/>
      <c r="C464" s="421" t="s">
        <v>166</v>
      </c>
      <c r="D464" s="421"/>
      <c r="E464" s="422"/>
      <c r="F464" s="422"/>
      <c r="G464" s="423"/>
      <c r="H464" s="273" t="s">
        <v>122</v>
      </c>
      <c r="I464" s="274">
        <f ca="1">IFERROR(__xludf.DUMMYFUNCTION("IMPORTRANGE(""https://docs.google.com/spreadsheets/d/1IYY_tgx_IHuhSq3AJ5eI5OnqOPBNLWSHKh2a30DoXe8/edit?usp=sharing"",""พังงา!I359"")"),20879)</f>
        <v>20879</v>
      </c>
      <c r="J464" s="274">
        <f ca="1">IFERROR(__xludf.DUMMYFUNCTION("IMPORTRANGE(""https://docs.google.com/spreadsheets/d/1IYY_tgx_IHuhSq3AJ5eI5OnqOPBNLWSHKh2a30DoXe8/edit?usp=sharing"",""พังงา!J359"")"),0)</f>
        <v>0</v>
      </c>
      <c r="K464" s="275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1" t="s">
        <v>167</v>
      </c>
      <c r="F465" s="203"/>
      <c r="G465" s="204"/>
      <c r="H465" s="424" t="s">
        <v>122</v>
      </c>
      <c r="I465" s="425">
        <f ca="1">IFERROR(__xludf.DUMMYFUNCTION("IMPORTRANGE(""https://docs.google.com/spreadsheets/d/1IYY_tgx_IHuhSq3AJ5eI5OnqOPBNLWSHKh2a30DoXe8/edit?usp=sharing"",""พังงา!I360"")"),20879)</f>
        <v>20879</v>
      </c>
      <c r="J465" s="426">
        <f ca="1">IFERROR(__xludf.DUMMYFUNCTION("IMPORTRANGE(""https://docs.google.com/spreadsheets/d/1IYY_tgx_IHuhSq3AJ5eI5OnqOPBNLWSHKh2a30DoXe8/edit?usp=sharing"",""พังงา!J360"")"),20879.33)</f>
        <v>20879.330000000002</v>
      </c>
      <c r="K465" s="209">
        <f t="shared" ca="1" si="117"/>
        <v>100.00158053546627</v>
      </c>
      <c r="L465" s="189"/>
      <c r="M465" s="189"/>
      <c r="N465" s="189"/>
      <c r="O465" s="189"/>
      <c r="P465" s="189"/>
    </row>
    <row r="466" spans="1:16" ht="21.75" customHeight="1" x14ac:dyDescent="0.35">
      <c r="A466" s="408"/>
      <c r="B466" s="409"/>
      <c r="C466" s="409"/>
      <c r="D466" s="410"/>
      <c r="E466" s="203"/>
      <c r="F466" s="203"/>
      <c r="G466" s="204"/>
      <c r="H466" s="424" t="s">
        <v>36</v>
      </c>
      <c r="I466" s="425">
        <f ca="1">IFERROR(__xludf.DUMMYFUNCTION("IMPORTRANGE(""https://docs.google.com/spreadsheets/d/1IYY_tgx_IHuhSq3AJ5eI5OnqOPBNLWSHKh2a30DoXe8/edit?usp=sharing"",""พังงา!I361"")"),2093)</f>
        <v>2093</v>
      </c>
      <c r="J466" s="426">
        <f ca="1">IFERROR(__xludf.DUMMYFUNCTION("IMPORTRANGE(""https://docs.google.com/spreadsheets/d/1IYY_tgx_IHuhSq3AJ5eI5OnqOPBNLWSHKh2a30DoXe8/edit?usp=sharing"",""พังงา!J361"")"),2093)</f>
        <v>2093</v>
      </c>
      <c r="K466" s="209">
        <f t="shared" ca="1" si="117"/>
        <v>100</v>
      </c>
      <c r="L466" s="189"/>
      <c r="M466" s="189"/>
      <c r="N466" s="189"/>
      <c r="O466" s="189"/>
      <c r="P466" s="189"/>
    </row>
    <row r="467" spans="1:16" ht="21.75" customHeight="1" x14ac:dyDescent="0.35">
      <c r="A467" s="408"/>
      <c r="B467" s="409"/>
      <c r="C467" s="409"/>
      <c r="D467" s="410"/>
      <c r="E467" s="203"/>
      <c r="F467" s="396" t="s">
        <v>168</v>
      </c>
      <c r="G467" s="427"/>
      <c r="H467" s="428" t="s">
        <v>122</v>
      </c>
      <c r="I467" s="210">
        <f ca="1">IFERROR(__xludf.DUMMYFUNCTION("IMPORTRANGE(""https://docs.google.com/spreadsheets/d/1IYY_tgx_IHuhSq3AJ5eI5OnqOPBNLWSHKh2a30DoXe8/edit?usp=sharing"",""พังงา!I362"")"),0)</f>
        <v>0</v>
      </c>
      <c r="J467" s="196">
        <f ca="1">IFERROR(__xludf.DUMMYFUNCTION("IMPORTRANGE(""https://docs.google.com/spreadsheets/d/1IYY_tgx_IHuhSq3AJ5eI5OnqOPBNLWSHKh2a30DoXe8/edit?usp=sharing"",""พังงา!J362"")"),19998.83)</f>
        <v>19998.830000000002</v>
      </c>
      <c r="K467" s="169">
        <f t="shared" ca="1" si="117"/>
        <v>0</v>
      </c>
      <c r="L467" s="189"/>
      <c r="M467" s="189"/>
      <c r="N467" s="189"/>
      <c r="O467" s="189"/>
      <c r="P467" s="189"/>
    </row>
    <row r="468" spans="1:16" ht="21.75" customHeight="1" x14ac:dyDescent="0.35">
      <c r="A468" s="408"/>
      <c r="B468" s="409"/>
      <c r="C468" s="409"/>
      <c r="D468" s="410"/>
      <c r="E468" s="203"/>
      <c r="F468" s="203"/>
      <c r="G468" s="427"/>
      <c r="H468" s="428" t="s">
        <v>36</v>
      </c>
      <c r="I468" s="210">
        <f ca="1">IFERROR(__xludf.DUMMYFUNCTION("IMPORTRANGE(""https://docs.google.com/spreadsheets/d/1IYY_tgx_IHuhSq3AJ5eI5OnqOPBNLWSHKh2a30DoXe8/edit?usp=sharing"",""พังงา!I363"")"),0)</f>
        <v>0</v>
      </c>
      <c r="J468" s="196">
        <f ca="1">IFERROR(__xludf.DUMMYFUNCTION("IMPORTRANGE(""https://docs.google.com/spreadsheets/d/1IYY_tgx_IHuhSq3AJ5eI5OnqOPBNLWSHKh2a30DoXe8/edit?usp=sharing"",""พังงา!J363"")"),1988)</f>
        <v>1988</v>
      </c>
      <c r="K468" s="169">
        <f t="shared" ca="1" si="117"/>
        <v>0</v>
      </c>
      <c r="L468" s="189"/>
      <c r="M468" s="189"/>
      <c r="N468" s="189"/>
      <c r="O468" s="189"/>
      <c r="P468" s="189"/>
    </row>
    <row r="469" spans="1:16" ht="21.75" customHeight="1" x14ac:dyDescent="0.35">
      <c r="A469" s="408"/>
      <c r="B469" s="409"/>
      <c r="C469" s="409"/>
      <c r="D469" s="410"/>
      <c r="E469" s="203"/>
      <c r="F469" s="396" t="s">
        <v>169</v>
      </c>
      <c r="G469" s="427"/>
      <c r="H469" s="428" t="s">
        <v>122</v>
      </c>
      <c r="I469" s="210">
        <f ca="1">IFERROR(__xludf.DUMMYFUNCTION("IMPORTRANGE(""https://docs.google.com/spreadsheets/d/1IYY_tgx_IHuhSq3AJ5eI5OnqOPBNLWSHKh2a30DoXe8/edit?usp=sharing"",""พังงา!I364"")"),0)</f>
        <v>0</v>
      </c>
      <c r="J469" s="196">
        <f ca="1">IFERROR(__xludf.DUMMYFUNCTION("IMPORTRANGE(""https://docs.google.com/spreadsheets/d/1IYY_tgx_IHuhSq3AJ5eI5OnqOPBNLWSHKh2a30DoXe8/edit?usp=sharing"",""พังงา!J364"")"),539.73)</f>
        <v>539.73</v>
      </c>
      <c r="K469" s="169">
        <f t="shared" ca="1" si="117"/>
        <v>0</v>
      </c>
      <c r="L469" s="189"/>
      <c r="M469" s="189"/>
      <c r="N469" s="189"/>
      <c r="O469" s="189"/>
      <c r="P469" s="189"/>
    </row>
    <row r="470" spans="1:16" ht="21.75" customHeight="1" x14ac:dyDescent="0.35">
      <c r="A470" s="408"/>
      <c r="B470" s="409"/>
      <c r="C470" s="409"/>
      <c r="D470" s="410"/>
      <c r="E470" s="203"/>
      <c r="F470" s="203"/>
      <c r="G470" s="427"/>
      <c r="H470" s="428" t="s">
        <v>36</v>
      </c>
      <c r="I470" s="210">
        <f ca="1">IFERROR(__xludf.DUMMYFUNCTION("IMPORTRANGE(""https://docs.google.com/spreadsheets/d/1IYY_tgx_IHuhSq3AJ5eI5OnqOPBNLWSHKh2a30DoXe8/edit?usp=sharing"",""พังงา!I365"")"),0)</f>
        <v>0</v>
      </c>
      <c r="J470" s="196">
        <f ca="1">IFERROR(__xludf.DUMMYFUNCTION("IMPORTRANGE(""https://docs.google.com/spreadsheets/d/1IYY_tgx_IHuhSq3AJ5eI5OnqOPBNLWSHKh2a30DoXe8/edit?usp=sharing"",""พังงา!J365"")"),57)</f>
        <v>57</v>
      </c>
      <c r="K470" s="169">
        <f t="shared" ca="1" si="117"/>
        <v>0</v>
      </c>
      <c r="L470" s="189"/>
      <c r="M470" s="189"/>
      <c r="N470" s="189"/>
      <c r="O470" s="189"/>
      <c r="P470" s="189"/>
    </row>
    <row r="471" spans="1:16" ht="21.75" customHeight="1" x14ac:dyDescent="0.35">
      <c r="A471" s="408"/>
      <c r="B471" s="409"/>
      <c r="C471" s="409"/>
      <c r="D471" s="410"/>
      <c r="E471" s="203"/>
      <c r="F471" s="396" t="s">
        <v>170</v>
      </c>
      <c r="G471" s="427"/>
      <c r="H471" s="428" t="s">
        <v>122</v>
      </c>
      <c r="I471" s="210">
        <f ca="1">IFERROR(__xludf.DUMMYFUNCTION("IMPORTRANGE(""https://docs.google.com/spreadsheets/d/1IYY_tgx_IHuhSq3AJ5eI5OnqOPBNLWSHKh2a30DoXe8/edit?usp=sharing"",""พังงา!I366"")"),0)</f>
        <v>0</v>
      </c>
      <c r="J471" s="196">
        <f ca="1">IFERROR(__xludf.DUMMYFUNCTION("IMPORTRANGE(""https://docs.google.com/spreadsheets/d/1IYY_tgx_IHuhSq3AJ5eI5OnqOPBNLWSHKh2a30DoXe8/edit?usp=sharing"",""พังงา!J366"")"),340.77)</f>
        <v>340.77</v>
      </c>
      <c r="K471" s="169">
        <f t="shared" ca="1" si="117"/>
        <v>0</v>
      </c>
      <c r="L471" s="189"/>
      <c r="M471" s="189"/>
      <c r="N471" s="189"/>
      <c r="O471" s="189"/>
      <c r="P471" s="189"/>
    </row>
    <row r="472" spans="1:16" ht="21.75" customHeight="1" x14ac:dyDescent="0.35">
      <c r="A472" s="408"/>
      <c r="B472" s="409"/>
      <c r="C472" s="409"/>
      <c r="D472" s="410"/>
      <c r="E472" s="203"/>
      <c r="F472" s="203"/>
      <c r="G472" s="203"/>
      <c r="H472" s="428" t="s">
        <v>36</v>
      </c>
      <c r="I472" s="210">
        <f ca="1">IFERROR(__xludf.DUMMYFUNCTION("IMPORTRANGE(""https://docs.google.com/spreadsheets/d/1IYY_tgx_IHuhSq3AJ5eI5OnqOPBNLWSHKh2a30DoXe8/edit?usp=sharing"",""พังงา!I367"")"),0)</f>
        <v>0</v>
      </c>
      <c r="J472" s="196">
        <f ca="1">IFERROR(__xludf.DUMMYFUNCTION("IMPORTRANGE(""https://docs.google.com/spreadsheets/d/1IYY_tgx_IHuhSq3AJ5eI5OnqOPBNLWSHKh2a30DoXe8/edit?usp=sharing"",""พังงา!J367"")"),48)</f>
        <v>48</v>
      </c>
      <c r="K472" s="169">
        <f t="shared" ca="1" si="117"/>
        <v>0</v>
      </c>
      <c r="L472" s="189"/>
      <c r="M472" s="189"/>
      <c r="N472" s="189"/>
      <c r="O472" s="189"/>
      <c r="P472" s="189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3"/>
      <c r="G473" s="204"/>
      <c r="H473" s="424" t="s">
        <v>122</v>
      </c>
      <c r="I473" s="426">
        <f ca="1">IFERROR(__xludf.DUMMYFUNCTION("IMPORTRANGE(""https://docs.google.com/spreadsheets/d/1IYY_tgx_IHuhSq3AJ5eI5OnqOPBNLWSHKh2a30DoXe8/edit?usp=sharing"",""พังงา!I368"")"),20879)</f>
        <v>20879</v>
      </c>
      <c r="J473" s="426">
        <f ca="1">IFERROR(__xludf.DUMMYFUNCTION("IMPORTRANGE(""https://docs.google.com/spreadsheets/d/1IYY_tgx_IHuhSq3AJ5eI5OnqOPBNLWSHKh2a30DoXe8/edit?usp=sharing"",""พังงา!J368"")"),0)</f>
        <v>0</v>
      </c>
      <c r="K473" s="209">
        <f t="shared" ca="1" si="117"/>
        <v>0</v>
      </c>
      <c r="L473" s="189"/>
      <c r="M473" s="189"/>
      <c r="N473" s="189"/>
      <c r="O473" s="189"/>
      <c r="P473" s="189"/>
    </row>
    <row r="474" spans="1:16" ht="21.75" customHeight="1" x14ac:dyDescent="0.35">
      <c r="A474" s="408"/>
      <c r="B474" s="409"/>
      <c r="C474" s="409"/>
      <c r="D474" s="410"/>
      <c r="E474" s="203"/>
      <c r="F474" s="203"/>
      <c r="G474" s="204"/>
      <c r="H474" s="424" t="s">
        <v>36</v>
      </c>
      <c r="I474" s="425">
        <f ca="1">IFERROR(__xludf.DUMMYFUNCTION("IMPORTRANGE(""https://docs.google.com/spreadsheets/d/1IYY_tgx_IHuhSq3AJ5eI5OnqOPBNLWSHKh2a30DoXe8/edit?usp=sharing"",""พังงา!I369"")"),2093)</f>
        <v>2093</v>
      </c>
      <c r="J474" s="426">
        <f ca="1">IFERROR(__xludf.DUMMYFUNCTION("IMPORTRANGE(""https://docs.google.com/spreadsheets/d/1IYY_tgx_IHuhSq3AJ5eI5OnqOPBNLWSHKh2a30DoXe8/edit?usp=sharing"",""พังงา!J369"")"),0)</f>
        <v>0</v>
      </c>
      <c r="K474" s="169">
        <f t="shared" ca="1" si="117"/>
        <v>0</v>
      </c>
      <c r="L474" s="189"/>
      <c r="M474" s="189"/>
      <c r="N474" s="189"/>
      <c r="O474" s="189"/>
      <c r="P474" s="189"/>
    </row>
    <row r="475" spans="1:16" ht="21.75" customHeight="1" x14ac:dyDescent="0.35">
      <c r="A475" s="408"/>
      <c r="B475" s="409"/>
      <c r="C475" s="409"/>
      <c r="D475" s="410"/>
      <c r="E475" s="203"/>
      <c r="F475" s="202" t="s">
        <v>172</v>
      </c>
      <c r="G475" s="427"/>
      <c r="H475" s="428" t="s">
        <v>122</v>
      </c>
      <c r="I475" s="210">
        <f ca="1">IFERROR(__xludf.DUMMYFUNCTION("IMPORTRANGE(""https://docs.google.com/spreadsheets/d/1IYY_tgx_IHuhSq3AJ5eI5OnqOPBNLWSHKh2a30DoXe8/edit?usp=sharing"",""พังงา!I370"")"),0)</f>
        <v>0</v>
      </c>
      <c r="J475" s="196">
        <f ca="1">IFERROR(__xludf.DUMMYFUNCTION("IMPORTRANGE(""https://docs.google.com/spreadsheets/d/1IYY_tgx_IHuhSq3AJ5eI5OnqOPBNLWSHKh2a30DoXe8/edit?usp=sharing"",""พังงา!J370"")"),0)</f>
        <v>0</v>
      </c>
      <c r="K475" s="169">
        <f t="shared" ca="1" si="117"/>
        <v>0</v>
      </c>
      <c r="L475" s="189"/>
      <c r="M475" s="189"/>
      <c r="N475" s="189"/>
      <c r="O475" s="189"/>
      <c r="P475" s="189"/>
    </row>
    <row r="476" spans="1:16" ht="21.75" customHeight="1" x14ac:dyDescent="0.35">
      <c r="A476" s="408"/>
      <c r="B476" s="409"/>
      <c r="C476" s="409"/>
      <c r="D476" s="410"/>
      <c r="E476" s="203"/>
      <c r="F476" s="203"/>
      <c r="G476" s="427"/>
      <c r="H476" s="428" t="s">
        <v>36</v>
      </c>
      <c r="I476" s="210">
        <f ca="1">IFERROR(__xludf.DUMMYFUNCTION("IMPORTRANGE(""https://docs.google.com/spreadsheets/d/1IYY_tgx_IHuhSq3AJ5eI5OnqOPBNLWSHKh2a30DoXe8/edit?usp=sharing"",""พังงา!I371"")"),0)</f>
        <v>0</v>
      </c>
      <c r="J476" s="196">
        <f ca="1">IFERROR(__xludf.DUMMYFUNCTION("IMPORTRANGE(""https://docs.google.com/spreadsheets/d/1IYY_tgx_IHuhSq3AJ5eI5OnqOPBNLWSHKh2a30DoXe8/edit?usp=sharing"",""พังงา!J371"")"),0)</f>
        <v>0</v>
      </c>
      <c r="K476" s="169">
        <f t="shared" ca="1" si="117"/>
        <v>0</v>
      </c>
      <c r="L476" s="189"/>
      <c r="M476" s="189"/>
      <c r="N476" s="189"/>
      <c r="O476" s="189"/>
      <c r="P476" s="189"/>
    </row>
    <row r="477" spans="1:16" ht="21.75" customHeight="1" x14ac:dyDescent="0.35">
      <c r="A477" s="408"/>
      <c r="B477" s="409"/>
      <c r="C477" s="409"/>
      <c r="D477" s="410"/>
      <c r="E477" s="203"/>
      <c r="F477" s="202" t="s">
        <v>173</v>
      </c>
      <c r="G477" s="427"/>
      <c r="H477" s="428" t="s">
        <v>122</v>
      </c>
      <c r="I477" s="210">
        <f ca="1">IFERROR(__xludf.DUMMYFUNCTION("IMPORTRANGE(""https://docs.google.com/spreadsheets/d/1IYY_tgx_IHuhSq3AJ5eI5OnqOPBNLWSHKh2a30DoXe8/edit?usp=sharing"",""พังงา!I372"")"),0)</f>
        <v>0</v>
      </c>
      <c r="J477" s="196">
        <f ca="1">IFERROR(__xludf.DUMMYFUNCTION("IMPORTRANGE(""https://docs.google.com/spreadsheets/d/1IYY_tgx_IHuhSq3AJ5eI5OnqOPBNLWSHKh2a30DoXe8/edit?usp=sharing"",""พังงา!J372"")"),0)</f>
        <v>0</v>
      </c>
      <c r="K477" s="169">
        <f t="shared" ca="1" si="117"/>
        <v>0</v>
      </c>
      <c r="L477" s="189"/>
      <c r="M477" s="189"/>
      <c r="N477" s="189"/>
      <c r="O477" s="189"/>
      <c r="P477" s="189"/>
    </row>
    <row r="478" spans="1:16" ht="21.75" customHeight="1" x14ac:dyDescent="0.35">
      <c r="A478" s="408"/>
      <c r="B478" s="409"/>
      <c r="C478" s="409"/>
      <c r="D478" s="410"/>
      <c r="E478" s="203"/>
      <c r="F478" s="203"/>
      <c r="G478" s="427"/>
      <c r="H478" s="428" t="s">
        <v>36</v>
      </c>
      <c r="I478" s="210">
        <f ca="1">IFERROR(__xludf.DUMMYFUNCTION("IMPORTRANGE(""https://docs.google.com/spreadsheets/d/1IYY_tgx_IHuhSq3AJ5eI5OnqOPBNLWSHKh2a30DoXe8/edit?usp=sharing"",""พังงา!I373"")"),0)</f>
        <v>0</v>
      </c>
      <c r="J478" s="196">
        <f ca="1">IFERROR(__xludf.DUMMYFUNCTION("IMPORTRANGE(""https://docs.google.com/spreadsheets/d/1IYY_tgx_IHuhSq3AJ5eI5OnqOPBNLWSHKh2a30DoXe8/edit?usp=sharing"",""พังงา!J373"")"),0)</f>
        <v>0</v>
      </c>
      <c r="K478" s="169">
        <f t="shared" ca="1" si="117"/>
        <v>0</v>
      </c>
      <c r="L478" s="189"/>
      <c r="M478" s="189"/>
      <c r="N478" s="189"/>
      <c r="O478" s="189"/>
      <c r="P478" s="189"/>
    </row>
    <row r="479" spans="1:16" ht="21.75" customHeight="1" x14ac:dyDescent="0.35">
      <c r="A479" s="408"/>
      <c r="B479" s="409"/>
      <c r="C479" s="409"/>
      <c r="D479" s="410"/>
      <c r="E479" s="203"/>
      <c r="F479" s="202" t="s">
        <v>174</v>
      </c>
      <c r="G479" s="427"/>
      <c r="H479" s="428" t="s">
        <v>122</v>
      </c>
      <c r="I479" s="210">
        <f ca="1">IFERROR(__xludf.DUMMYFUNCTION("IMPORTRANGE(""https://docs.google.com/spreadsheets/d/1IYY_tgx_IHuhSq3AJ5eI5OnqOPBNLWSHKh2a30DoXe8/edit?usp=sharing"",""พังงา!I374"")"),0)</f>
        <v>0</v>
      </c>
      <c r="J479" s="196">
        <f ca="1">IFERROR(__xludf.DUMMYFUNCTION("IMPORTRANGE(""https://docs.google.com/spreadsheets/d/1IYY_tgx_IHuhSq3AJ5eI5OnqOPBNLWSHKh2a30DoXe8/edit?usp=sharing"",""พังงา!J374"")"),0)</f>
        <v>0</v>
      </c>
      <c r="K479" s="169">
        <f t="shared" ca="1" si="117"/>
        <v>0</v>
      </c>
      <c r="L479" s="189"/>
      <c r="M479" s="189"/>
      <c r="N479" s="189"/>
      <c r="O479" s="189"/>
      <c r="P479" s="189"/>
    </row>
    <row r="480" spans="1:16" ht="21.75" customHeight="1" x14ac:dyDescent="0.35">
      <c r="A480" s="408"/>
      <c r="B480" s="409"/>
      <c r="C480" s="409"/>
      <c r="D480" s="410"/>
      <c r="E480" s="203"/>
      <c r="F480" s="203"/>
      <c r="G480" s="204"/>
      <c r="H480" s="428" t="s">
        <v>36</v>
      </c>
      <c r="I480" s="210">
        <f ca="1">IFERROR(__xludf.DUMMYFUNCTION("IMPORTRANGE(""https://docs.google.com/spreadsheets/d/1IYY_tgx_IHuhSq3AJ5eI5OnqOPBNLWSHKh2a30DoXe8/edit?usp=sharing"",""พังงา!I375"")"),0)</f>
        <v>0</v>
      </c>
      <c r="J480" s="196">
        <f ca="1">IFERROR(__xludf.DUMMYFUNCTION("IMPORTRANGE(""https://docs.google.com/spreadsheets/d/1IYY_tgx_IHuhSq3AJ5eI5OnqOPBNLWSHKh2a30DoXe8/edit?usp=sharing"",""พังงา!J375"")"),0)</f>
        <v>0</v>
      </c>
      <c r="K480" s="169">
        <f t="shared" ca="1" si="117"/>
        <v>0</v>
      </c>
      <c r="L480" s="189"/>
      <c r="M480" s="189"/>
      <c r="N480" s="189"/>
      <c r="O480" s="189"/>
      <c r="P480" s="189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IFERROR(__xludf.DUMMYFUNCTION("IMPORTRANGE(""https://docs.google.com/spreadsheets/d/1IYY_tgx_IHuhSq3AJ5eI5OnqOPBNLWSHKh2a30DoXe8/edit?usp=sharing"",""พังงา!I376"")"),20879)</f>
        <v>20879</v>
      </c>
      <c r="J481" s="426">
        <f ca="1">IFERROR(__xludf.DUMMYFUNCTION("IMPORTRANGE(""https://docs.google.com/spreadsheets/d/1IYY_tgx_IHuhSq3AJ5eI5OnqOPBNLWSHKh2a30DoXe8/edit?usp=sharing"",""พังงา!J376"")"),0)</f>
        <v>0</v>
      </c>
      <c r="K481" s="209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3"/>
      <c r="F482" s="203"/>
      <c r="G482" s="204"/>
      <c r="H482" s="424" t="s">
        <v>36</v>
      </c>
      <c r="I482" s="425">
        <f ca="1">IFERROR(__xludf.DUMMYFUNCTION("IMPORTRANGE(""https://docs.google.com/spreadsheets/d/1IYY_tgx_IHuhSq3AJ5eI5OnqOPBNLWSHKh2a30DoXe8/edit?usp=sharing"",""พังงา!I377"")"),2093)</f>
        <v>2093</v>
      </c>
      <c r="J482" s="426">
        <f ca="1">IFERROR(__xludf.DUMMYFUNCTION("IMPORTRANGE(""https://docs.google.com/spreadsheets/d/1IYY_tgx_IHuhSq3AJ5eI5OnqOPBNLWSHKh2a30DoXe8/edit?usp=sharing"",""พังงา!J377"")"),0)</f>
        <v>0</v>
      </c>
      <c r="K482" s="169">
        <f t="shared" ca="1" si="117"/>
        <v>0</v>
      </c>
      <c r="L482" s="189"/>
      <c r="M482" s="189"/>
      <c r="N482" s="189"/>
      <c r="O482" s="189"/>
      <c r="P482" s="189"/>
    </row>
    <row r="483" spans="1:16" ht="21.75" customHeight="1" x14ac:dyDescent="0.35">
      <c r="A483" s="408"/>
      <c r="B483" s="409"/>
      <c r="C483" s="409"/>
      <c r="D483" s="410"/>
      <c r="E483" s="203"/>
      <c r="F483" s="202" t="s">
        <v>176</v>
      </c>
      <c r="G483" s="427"/>
      <c r="H483" s="428" t="s">
        <v>122</v>
      </c>
      <c r="I483" s="210">
        <f ca="1">IFERROR(__xludf.DUMMYFUNCTION("IMPORTRANGE(""https://docs.google.com/spreadsheets/d/1IYY_tgx_IHuhSq3AJ5eI5OnqOPBNLWSHKh2a30DoXe8/edit?usp=sharing"",""พังงา!I378"")"),0)</f>
        <v>0</v>
      </c>
      <c r="J483" s="196">
        <f ca="1">IFERROR(__xludf.DUMMYFUNCTION("IMPORTRANGE(""https://docs.google.com/spreadsheets/d/1IYY_tgx_IHuhSq3AJ5eI5OnqOPBNLWSHKh2a30DoXe8/edit?usp=sharing"",""พังงา!J378"")"),0)</f>
        <v>0</v>
      </c>
      <c r="K483" s="169">
        <f t="shared" ca="1" si="117"/>
        <v>0</v>
      </c>
      <c r="L483" s="189"/>
      <c r="M483" s="189"/>
      <c r="N483" s="189"/>
      <c r="O483" s="189"/>
      <c r="P483" s="189"/>
    </row>
    <row r="484" spans="1:16" ht="21.75" customHeight="1" x14ac:dyDescent="0.35">
      <c r="A484" s="408"/>
      <c r="B484" s="409"/>
      <c r="C484" s="409"/>
      <c r="D484" s="410"/>
      <c r="E484" s="203"/>
      <c r="F484" s="203"/>
      <c r="G484" s="427"/>
      <c r="H484" s="428" t="s">
        <v>36</v>
      </c>
      <c r="I484" s="210">
        <f ca="1">IFERROR(__xludf.DUMMYFUNCTION("IMPORTRANGE(""https://docs.google.com/spreadsheets/d/1IYY_tgx_IHuhSq3AJ5eI5OnqOPBNLWSHKh2a30DoXe8/edit?usp=sharing"",""พังงา!I379"")"),0)</f>
        <v>0</v>
      </c>
      <c r="J484" s="196">
        <f ca="1">IFERROR(__xludf.DUMMYFUNCTION("IMPORTRANGE(""https://docs.google.com/spreadsheets/d/1IYY_tgx_IHuhSq3AJ5eI5OnqOPBNLWSHKh2a30DoXe8/edit?usp=sharing"",""พังงา!J379"")"),0)</f>
        <v>0</v>
      </c>
      <c r="K484" s="169">
        <f t="shared" ca="1" si="117"/>
        <v>0</v>
      </c>
      <c r="L484" s="189"/>
      <c r="M484" s="189"/>
      <c r="N484" s="189"/>
      <c r="O484" s="189"/>
      <c r="P484" s="189"/>
    </row>
    <row r="485" spans="1:16" ht="21.75" customHeight="1" x14ac:dyDescent="0.35">
      <c r="A485" s="408"/>
      <c r="B485" s="409"/>
      <c r="C485" s="409"/>
      <c r="D485" s="410"/>
      <c r="E485" s="203"/>
      <c r="F485" s="202" t="s">
        <v>177</v>
      </c>
      <c r="G485" s="427"/>
      <c r="H485" s="428" t="s">
        <v>122</v>
      </c>
      <c r="I485" s="210">
        <f ca="1">IFERROR(__xludf.DUMMYFUNCTION("IMPORTRANGE(""https://docs.google.com/spreadsheets/d/1IYY_tgx_IHuhSq3AJ5eI5OnqOPBNLWSHKh2a30DoXe8/edit?usp=sharing"",""พังงา!I380"")"),0)</f>
        <v>0</v>
      </c>
      <c r="J485" s="196">
        <f ca="1">IFERROR(__xludf.DUMMYFUNCTION("IMPORTRANGE(""https://docs.google.com/spreadsheets/d/1IYY_tgx_IHuhSq3AJ5eI5OnqOPBNLWSHKh2a30DoXe8/edit?usp=sharing"",""พังงา!J380"")"),0)</f>
        <v>0</v>
      </c>
      <c r="K485" s="169">
        <f t="shared" ca="1" si="117"/>
        <v>0</v>
      </c>
      <c r="L485" s="189"/>
      <c r="M485" s="189"/>
      <c r="N485" s="189"/>
      <c r="O485" s="189"/>
      <c r="P485" s="189"/>
    </row>
    <row r="486" spans="1:16" ht="21.75" customHeight="1" x14ac:dyDescent="0.35">
      <c r="A486" s="408"/>
      <c r="B486" s="409"/>
      <c r="C486" s="409"/>
      <c r="D486" s="410"/>
      <c r="E486" s="203"/>
      <c r="F486" s="203"/>
      <c r="G486" s="427"/>
      <c r="H486" s="428" t="s">
        <v>36</v>
      </c>
      <c r="I486" s="210">
        <f ca="1">IFERROR(__xludf.DUMMYFUNCTION("IMPORTRANGE(""https://docs.google.com/spreadsheets/d/1IYY_tgx_IHuhSq3AJ5eI5OnqOPBNLWSHKh2a30DoXe8/edit?usp=sharing"",""พังงา!I381"")"),0)</f>
        <v>0</v>
      </c>
      <c r="J486" s="196">
        <f ca="1">IFERROR(__xludf.DUMMYFUNCTION("IMPORTRANGE(""https://docs.google.com/spreadsheets/d/1IYY_tgx_IHuhSq3AJ5eI5OnqOPBNLWSHKh2a30DoXe8/edit?usp=sharing"",""พังงา!J381"")"),0)</f>
        <v>0</v>
      </c>
      <c r="K486" s="169">
        <f t="shared" ca="1" si="117"/>
        <v>0</v>
      </c>
      <c r="L486" s="189"/>
      <c r="M486" s="189"/>
      <c r="N486" s="189"/>
      <c r="O486" s="189"/>
      <c r="P486" s="189"/>
    </row>
    <row r="487" spans="1:16" ht="21.75" customHeight="1" x14ac:dyDescent="0.35">
      <c r="A487" s="408"/>
      <c r="B487" s="409"/>
      <c r="C487" s="409"/>
      <c r="D487" s="410"/>
      <c r="E487" s="203"/>
      <c r="F487" s="202" t="s">
        <v>178</v>
      </c>
      <c r="G487" s="427"/>
      <c r="H487" s="428" t="s">
        <v>122</v>
      </c>
      <c r="I487" s="210">
        <f ca="1">IFERROR(__xludf.DUMMYFUNCTION("IMPORTRANGE(""https://docs.google.com/spreadsheets/d/1IYY_tgx_IHuhSq3AJ5eI5OnqOPBNLWSHKh2a30DoXe8/edit?usp=sharing"",""พังงา!I382"")"),0)</f>
        <v>0</v>
      </c>
      <c r="J487" s="426">
        <f ca="1">IFERROR(__xludf.DUMMYFUNCTION("IMPORTRANGE(""https://docs.google.com/spreadsheets/d/1IYY_tgx_IHuhSq3AJ5eI5OnqOPBNLWSHKh2a30DoXe8/edit?usp=sharing"",""พังงา!J382"")"),0)</f>
        <v>0</v>
      </c>
      <c r="K487" s="169">
        <f t="shared" ca="1" si="117"/>
        <v>0</v>
      </c>
      <c r="L487" s="189"/>
      <c r="M487" s="189"/>
      <c r="N487" s="189"/>
      <c r="O487" s="189"/>
      <c r="P487" s="189"/>
    </row>
    <row r="488" spans="1:16" ht="21.75" customHeight="1" x14ac:dyDescent="0.35">
      <c r="A488" s="408"/>
      <c r="B488" s="409"/>
      <c r="C488" s="409"/>
      <c r="D488" s="410"/>
      <c r="E488" s="203"/>
      <c r="F488" s="203"/>
      <c r="G488" s="203"/>
      <c r="H488" s="428" t="s">
        <v>36</v>
      </c>
      <c r="I488" s="210">
        <f ca="1">IFERROR(__xludf.DUMMYFUNCTION("IMPORTRANGE(""https://docs.google.com/spreadsheets/d/1IYY_tgx_IHuhSq3AJ5eI5OnqOPBNLWSHKh2a30DoXe8/edit?usp=sharing"",""พังงา!I383"")"),0)</f>
        <v>0</v>
      </c>
      <c r="J488" s="426">
        <f ca="1">IFERROR(__xludf.DUMMYFUNCTION("IMPORTRANGE(""https://docs.google.com/spreadsheets/d/1IYY_tgx_IHuhSq3AJ5eI5OnqOPBNLWSHKh2a30DoXe8/edit?usp=sharing"",""พังงา!J383"")"),0)</f>
        <v>0</v>
      </c>
      <c r="K488" s="169">
        <f t="shared" ca="1" si="117"/>
        <v>0</v>
      </c>
      <c r="L488" s="189"/>
      <c r="M488" s="189"/>
      <c r="N488" s="189"/>
      <c r="O488" s="189"/>
      <c r="P488" s="189"/>
    </row>
    <row r="489" spans="1:16" ht="21.75" customHeight="1" x14ac:dyDescent="0.35">
      <c r="A489" s="408"/>
      <c r="B489" s="409"/>
      <c r="C489" s="409"/>
      <c r="D489" s="410"/>
      <c r="E489" s="203"/>
      <c r="F489" s="203"/>
      <c r="G489" s="202" t="s">
        <v>179</v>
      </c>
      <c r="H489" s="428" t="s">
        <v>122</v>
      </c>
      <c r="I489" s="210">
        <f ca="1">IFERROR(__xludf.DUMMYFUNCTION("IMPORTRANGE(""https://docs.google.com/spreadsheets/d/1IYY_tgx_IHuhSq3AJ5eI5OnqOPBNLWSHKh2a30DoXe8/edit?usp=sharing"",""พังงา!I384"")"),0)</f>
        <v>0</v>
      </c>
      <c r="J489" s="196">
        <f ca="1">IFERROR(__xludf.DUMMYFUNCTION("IMPORTRANGE(""https://docs.google.com/spreadsheets/d/1IYY_tgx_IHuhSq3AJ5eI5OnqOPBNLWSHKh2a30DoXe8/edit?usp=sharing"",""พังงา!J384"")"),0)</f>
        <v>0</v>
      </c>
      <c r="K489" s="169">
        <f t="shared" ca="1" si="117"/>
        <v>0</v>
      </c>
      <c r="L489" s="189"/>
      <c r="M489" s="189"/>
      <c r="N489" s="189"/>
      <c r="O489" s="189"/>
      <c r="P489" s="189"/>
    </row>
    <row r="490" spans="1:16" ht="21.75" customHeight="1" x14ac:dyDescent="0.35">
      <c r="A490" s="408"/>
      <c r="B490" s="409"/>
      <c r="C490" s="409"/>
      <c r="D490" s="410"/>
      <c r="E490" s="203"/>
      <c r="F490" s="203"/>
      <c r="G490" s="203"/>
      <c r="H490" s="428" t="s">
        <v>36</v>
      </c>
      <c r="I490" s="210">
        <f ca="1">IFERROR(__xludf.DUMMYFUNCTION("IMPORTRANGE(""https://docs.google.com/spreadsheets/d/1IYY_tgx_IHuhSq3AJ5eI5OnqOPBNLWSHKh2a30DoXe8/edit?usp=sharing"",""พังงา!I385"")"),0)</f>
        <v>0</v>
      </c>
      <c r="J490" s="196">
        <f ca="1">IFERROR(__xludf.DUMMYFUNCTION("IMPORTRANGE(""https://docs.google.com/spreadsheets/d/1IYY_tgx_IHuhSq3AJ5eI5OnqOPBNLWSHKh2a30DoXe8/edit?usp=sharing"",""พังงา!J385"")"),0)</f>
        <v>0</v>
      </c>
      <c r="K490" s="169">
        <f t="shared" ca="1" si="117"/>
        <v>0</v>
      </c>
      <c r="L490" s="189"/>
      <c r="M490" s="189"/>
      <c r="N490" s="189"/>
      <c r="O490" s="189"/>
      <c r="P490" s="189"/>
    </row>
    <row r="491" spans="1:16" ht="21.75" customHeight="1" x14ac:dyDescent="0.35">
      <c r="A491" s="408"/>
      <c r="B491" s="409"/>
      <c r="C491" s="409"/>
      <c r="D491" s="410"/>
      <c r="E491" s="203"/>
      <c r="F491" s="203"/>
      <c r="G491" s="202" t="s">
        <v>180</v>
      </c>
      <c r="H491" s="428" t="s">
        <v>122</v>
      </c>
      <c r="I491" s="210">
        <f ca="1">IFERROR(__xludf.DUMMYFUNCTION("IMPORTRANGE(""https://docs.google.com/spreadsheets/d/1IYY_tgx_IHuhSq3AJ5eI5OnqOPBNLWSHKh2a30DoXe8/edit?usp=sharing"",""พังงา!I386"")"),0)</f>
        <v>0</v>
      </c>
      <c r="J491" s="196">
        <f ca="1">IFERROR(__xludf.DUMMYFUNCTION("IMPORTRANGE(""https://docs.google.com/spreadsheets/d/1IYY_tgx_IHuhSq3AJ5eI5OnqOPBNLWSHKh2a30DoXe8/edit?usp=sharing"",""พังงา!J386"")"),0)</f>
        <v>0</v>
      </c>
      <c r="K491" s="169">
        <f t="shared" ca="1" si="117"/>
        <v>0</v>
      </c>
      <c r="L491" s="189"/>
      <c r="M491" s="189"/>
      <c r="N491" s="189"/>
      <c r="O491" s="189"/>
      <c r="P491" s="189"/>
    </row>
    <row r="492" spans="1:16" ht="21.75" customHeight="1" x14ac:dyDescent="0.35">
      <c r="A492" s="408"/>
      <c r="B492" s="409"/>
      <c r="C492" s="409"/>
      <c r="D492" s="410"/>
      <c r="E492" s="203"/>
      <c r="F492" s="203"/>
      <c r="G492" s="204"/>
      <c r="H492" s="428" t="s">
        <v>36</v>
      </c>
      <c r="I492" s="210">
        <f ca="1">IFERROR(__xludf.DUMMYFUNCTION("IMPORTRANGE(""https://docs.google.com/spreadsheets/d/1IYY_tgx_IHuhSq3AJ5eI5OnqOPBNLWSHKh2a30DoXe8/edit?usp=sharing"",""พังงา!I387"")"),0)</f>
        <v>0</v>
      </c>
      <c r="J492" s="196">
        <f ca="1">IFERROR(__xludf.DUMMYFUNCTION("IMPORTRANGE(""https://docs.google.com/spreadsheets/d/1IYY_tgx_IHuhSq3AJ5eI5OnqOPBNLWSHKh2a30DoXe8/edit?usp=sharing"",""พังงา!J387"")"),0)</f>
        <v>0</v>
      </c>
      <c r="K492" s="169">
        <f t="shared" ca="1" si="117"/>
        <v>0</v>
      </c>
      <c r="L492" s="189"/>
      <c r="M492" s="189"/>
      <c r="N492" s="189"/>
      <c r="O492" s="189"/>
      <c r="P492" s="189"/>
    </row>
    <row r="493" spans="1:16" ht="21.75" customHeight="1" x14ac:dyDescent="0.35">
      <c r="A493" s="408"/>
      <c r="B493" s="409"/>
      <c r="C493" s="409"/>
      <c r="D493" s="410"/>
      <c r="E493" s="203"/>
      <c r="F493" s="202" t="s">
        <v>181</v>
      </c>
      <c r="G493" s="427"/>
      <c r="H493" s="428" t="s">
        <v>122</v>
      </c>
      <c r="I493" s="210">
        <f ca="1">IFERROR(__xludf.DUMMYFUNCTION("IMPORTRANGE(""https://docs.google.com/spreadsheets/d/1IYY_tgx_IHuhSq3AJ5eI5OnqOPBNLWSHKh2a30DoXe8/edit?usp=sharing"",""พังงา!I388"")"),0)</f>
        <v>0</v>
      </c>
      <c r="J493" s="196">
        <f ca="1">IFERROR(__xludf.DUMMYFUNCTION("IMPORTRANGE(""https://docs.google.com/spreadsheets/d/1IYY_tgx_IHuhSq3AJ5eI5OnqOPBNLWSHKh2a30DoXe8/edit?usp=sharing"",""พังงา!J388"")"),0)</f>
        <v>0</v>
      </c>
      <c r="K493" s="169">
        <f t="shared" ca="1" si="117"/>
        <v>0</v>
      </c>
      <c r="L493" s="189"/>
      <c r="M493" s="189"/>
      <c r="N493" s="189"/>
      <c r="O493" s="189"/>
      <c r="P493" s="189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IFERROR(__xludf.DUMMYFUNCTION("IMPORTRANGE(""https://docs.google.com/spreadsheets/d/1IYY_tgx_IHuhSq3AJ5eI5OnqOPBNLWSHKh2a30DoXe8/edit?usp=sharing"",""พังงา!I389"")"),0)</f>
        <v>0</v>
      </c>
      <c r="J494" s="442">
        <f ca="1">IFERROR(__xludf.DUMMYFUNCTION("IMPORTRANGE(""https://docs.google.com/spreadsheets/d/1IYY_tgx_IHuhSq3AJ5eI5OnqOPBNLWSHKh2a30DoXe8/edit?usp=sharing"",""พังงา!J389"")"),0)</f>
        <v>0</v>
      </c>
      <c r="K494" s="294">
        <f t="shared" ca="1" si="117"/>
        <v>0</v>
      </c>
      <c r="L494" s="252"/>
      <c r="M494" s="252"/>
      <c r="N494" s="252"/>
      <c r="O494" s="252"/>
      <c r="P494" s="252"/>
    </row>
    <row r="495" spans="1:16" ht="21.75" customHeight="1" x14ac:dyDescent="0.35">
      <c r="A495" s="408"/>
      <c r="B495" s="409"/>
      <c r="C495" s="409"/>
      <c r="D495" s="410"/>
      <c r="E495" s="203"/>
      <c r="F495" s="203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IFERROR(__xludf.DUMMYFUNCTION("IMPORTRANGE(""https://docs.google.com/spreadsheets/d/1IYY_tgx_IHuhSq3AJ5eI5OnqOPBNLWSHKh2a30DoXe8/edit?usp=sharing"",""พังงา!I390"")"),0)</f>
        <v>0</v>
      </c>
      <c r="J495" s="442">
        <f ca="1">IFERROR(__xludf.DUMMYFUNCTION("IMPORTRANGE(""https://docs.google.com/spreadsheets/d/1IYY_tgx_IHuhSq3AJ5eI5OnqOPBNLWSHKh2a30DoXe8/edit?usp=sharing"",""พังงา!J390"")"),0)</f>
        <v>0</v>
      </c>
      <c r="K495" s="169">
        <f t="shared" ca="1" si="117"/>
        <v>0</v>
      </c>
      <c r="L495" s="189"/>
      <c r="M495" s="189"/>
      <c r="N495" s="189"/>
      <c r="O495" s="189"/>
      <c r="P495" s="189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IFERROR(__xludf.DUMMYFUNCTION("IMPORTRANGE(""https://docs.google.com/spreadsheets/d/1IYY_tgx_IHuhSq3AJ5eI5OnqOPBNLWSHKh2a30DoXe8/edit?usp=sharing"",""พังงา!I391"")"),0)</f>
        <v>0</v>
      </c>
      <c r="J496" s="442">
        <f ca="1">IFERROR(__xludf.DUMMYFUNCTION("IMPORTRANGE(""https://docs.google.com/spreadsheets/d/1IYY_tgx_IHuhSq3AJ5eI5OnqOPBNLWSHKh2a30DoXe8/edit?usp=sharing"",""พังงา!J391"")"),0)</f>
        <v>0</v>
      </c>
      <c r="K496" s="294">
        <f t="shared" ca="1" si="117"/>
        <v>0</v>
      </c>
      <c r="L496" s="252"/>
      <c r="M496" s="252"/>
      <c r="N496" s="252"/>
      <c r="O496" s="252"/>
      <c r="P496" s="252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IFERROR(__xludf.DUMMYFUNCTION("IMPORTRANGE(""https://docs.google.com/spreadsheets/d/1IYY_tgx_IHuhSq3AJ5eI5OnqOPBNLWSHKh2a30DoXe8/edit?usp=sharing"",""พังงา!I392"")"),80)</f>
        <v>80</v>
      </c>
      <c r="J497" s="449">
        <f ca="1">IFERROR(__xludf.DUMMYFUNCTION("IMPORTRANGE(""https://docs.google.com/spreadsheets/d/1IYY_tgx_IHuhSq3AJ5eI5OnqOPBNLWSHKh2a30DoXe8/edit?usp=sharing"",""พังงา!J392"")"),0)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3"/>
      <c r="B498" s="184"/>
      <c r="C498" s="184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IFERROR(__xludf.DUMMYFUNCTION("IMPORTRANGE(""https://docs.google.com/spreadsheets/d/1IYY_tgx_IHuhSq3AJ5eI5OnqOPBNLWSHKh2a30DoXe8/edit?usp=sharing"",""พังงา!I393"")"),80)</f>
        <v>80</v>
      </c>
      <c r="J498" s="426">
        <f ca="1">IFERROR(__xludf.DUMMYFUNCTION("IMPORTRANGE(""https://docs.google.com/spreadsheets/d/1IYY_tgx_IHuhSq3AJ5eI5OnqOPBNLWSHKh2a30DoXe8/edit?usp=sharing"",""พังงา!J393"")"),0)</f>
        <v>0</v>
      </c>
      <c r="K498" s="169">
        <f t="shared" ca="1" si="117"/>
        <v>0</v>
      </c>
      <c r="L498" s="189"/>
      <c r="M498" s="189"/>
      <c r="N498" s="189"/>
      <c r="O498" s="189"/>
      <c r="P498" s="189"/>
    </row>
    <row r="499" spans="1:16" ht="21.75" customHeight="1" x14ac:dyDescent="0.35">
      <c r="A499" s="183"/>
      <c r="B499" s="184"/>
      <c r="C499" s="184"/>
      <c r="D499" s="201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IFERROR(__xludf.DUMMYFUNCTION("IMPORTRANGE(""https://docs.google.com/spreadsheets/d/1IYY_tgx_IHuhSq3AJ5eI5OnqOPBNLWSHKh2a30DoXe8/edit?usp=sharing"",""พังงา!I394"")"),10)</f>
        <v>10</v>
      </c>
      <c r="J499" s="426">
        <f ca="1">IFERROR(__xludf.DUMMYFUNCTION("IMPORTRANGE(""https://docs.google.com/spreadsheets/d/1IYY_tgx_IHuhSq3AJ5eI5OnqOPBNLWSHKh2a30DoXe8/edit?usp=sharing"",""พังงา!J394"")"),0)</f>
        <v>0</v>
      </c>
      <c r="K499" s="209">
        <f t="shared" ca="1" si="117"/>
        <v>0</v>
      </c>
      <c r="L499" s="189"/>
      <c r="M499" s="189"/>
      <c r="N499" s="189"/>
      <c r="O499" s="189"/>
      <c r="P499" s="189"/>
    </row>
    <row r="500" spans="1:16" ht="21.75" customHeight="1" x14ac:dyDescent="0.35">
      <c r="A500" s="183"/>
      <c r="B500" s="184"/>
      <c r="C500" s="184"/>
      <c r="D500" s="410"/>
      <c r="E500" s="410" t="s">
        <v>185</v>
      </c>
      <c r="F500" s="203"/>
      <c r="G500" s="204"/>
      <c r="H500" s="428" t="s">
        <v>122</v>
      </c>
      <c r="I500" s="210">
        <f ca="1">IFERROR(__xludf.DUMMYFUNCTION("IMPORTRANGE(""https://docs.google.com/spreadsheets/d/1IYY_tgx_IHuhSq3AJ5eI5OnqOPBNLWSHKh2a30DoXe8/edit?usp=sharing"",""พังงา!I395"")"),0)</f>
        <v>0</v>
      </c>
      <c r="J500" s="168">
        <f ca="1">IFERROR(__xludf.DUMMYFUNCTION("IMPORTRANGE(""https://docs.google.com/spreadsheets/d/1IYY_tgx_IHuhSq3AJ5eI5OnqOPBNLWSHKh2a30DoXe8/edit?usp=sharing"",""พังงา!J395"")"),0)</f>
        <v>0</v>
      </c>
      <c r="K500" s="169">
        <f t="shared" ca="1" si="117"/>
        <v>0</v>
      </c>
      <c r="L500" s="189"/>
      <c r="M500" s="189"/>
      <c r="N500" s="189"/>
      <c r="O500" s="189"/>
      <c r="P500" s="189"/>
    </row>
    <row r="501" spans="1:16" ht="21.75" customHeight="1" x14ac:dyDescent="0.35">
      <c r="A501" s="183"/>
      <c r="B501" s="184"/>
      <c r="C501" s="184"/>
      <c r="D501" s="201"/>
      <c r="E501" s="203"/>
      <c r="F501" s="203"/>
      <c r="G501" s="204"/>
      <c r="H501" s="428" t="s">
        <v>36</v>
      </c>
      <c r="I501" s="210">
        <f ca="1">IFERROR(__xludf.DUMMYFUNCTION("IMPORTRANGE(""https://docs.google.com/spreadsheets/d/1IYY_tgx_IHuhSq3AJ5eI5OnqOPBNLWSHKh2a30DoXe8/edit?usp=sharing"",""พังงา!I396"")"),0)</f>
        <v>0</v>
      </c>
      <c r="J501" s="168">
        <f ca="1">IFERROR(__xludf.DUMMYFUNCTION("IMPORTRANGE(""https://docs.google.com/spreadsheets/d/1IYY_tgx_IHuhSq3AJ5eI5OnqOPBNLWSHKh2a30DoXe8/edit?usp=sharing"",""พังงา!J396"")"),0)</f>
        <v>0</v>
      </c>
      <c r="K501" s="169">
        <f t="shared" ca="1" si="117"/>
        <v>0</v>
      </c>
      <c r="L501" s="189"/>
      <c r="M501" s="189"/>
      <c r="N501" s="189"/>
      <c r="O501" s="189"/>
      <c r="P501" s="189"/>
    </row>
    <row r="502" spans="1:16" ht="21.75" customHeight="1" x14ac:dyDescent="0.35">
      <c r="A502" s="183"/>
      <c r="B502" s="184"/>
      <c r="C502" s="184"/>
      <c r="D502" s="201"/>
      <c r="E502" s="203"/>
      <c r="F502" s="405" t="s">
        <v>186</v>
      </c>
      <c r="G502" s="427"/>
      <c r="H502" s="428" t="s">
        <v>122</v>
      </c>
      <c r="I502" s="210">
        <f ca="1">IFERROR(__xludf.DUMMYFUNCTION("IMPORTRANGE(""https://docs.google.com/spreadsheets/d/1IYY_tgx_IHuhSq3AJ5eI5OnqOPBNLWSHKh2a30DoXe8/edit?usp=sharing"",""พังงา!I397"")"),0)</f>
        <v>0</v>
      </c>
      <c r="J502" s="196">
        <f ca="1">IFERROR(__xludf.DUMMYFUNCTION("IMPORTRANGE(""https://docs.google.com/spreadsheets/d/1IYY_tgx_IHuhSq3AJ5eI5OnqOPBNLWSHKh2a30DoXe8/edit?usp=sharing"",""พังงา!J397"")"),0)</f>
        <v>0</v>
      </c>
      <c r="K502" s="169">
        <f t="shared" ca="1" si="117"/>
        <v>0</v>
      </c>
      <c r="L502" s="189"/>
      <c r="M502" s="189"/>
      <c r="N502" s="189"/>
      <c r="O502" s="189"/>
      <c r="P502" s="189"/>
    </row>
    <row r="503" spans="1:16" ht="21.75" customHeight="1" x14ac:dyDescent="0.35">
      <c r="A503" s="183"/>
      <c r="B503" s="184"/>
      <c r="C503" s="184"/>
      <c r="D503" s="201"/>
      <c r="E503" s="203"/>
      <c r="F503" s="203"/>
      <c r="G503" s="427"/>
      <c r="H503" s="428" t="s">
        <v>36</v>
      </c>
      <c r="I503" s="195">
        <f ca="1">IFERROR(__xludf.DUMMYFUNCTION("IMPORTRANGE(""https://docs.google.com/spreadsheets/d/1IYY_tgx_IHuhSq3AJ5eI5OnqOPBNLWSHKh2a30DoXe8/edit?usp=sharing"",""พังงา!I398"")"),0)</f>
        <v>0</v>
      </c>
      <c r="J503" s="205">
        <f ca="1">IFERROR(__xludf.DUMMYFUNCTION("IMPORTRANGE(""https://docs.google.com/spreadsheets/d/1IYY_tgx_IHuhSq3AJ5eI5OnqOPBNLWSHKh2a30DoXe8/edit?usp=sharing"",""พังงา!J398"")"),0)</f>
        <v>0</v>
      </c>
      <c r="K503" s="169">
        <f t="shared" ca="1" si="117"/>
        <v>0</v>
      </c>
      <c r="L503" s="189"/>
      <c r="M503" s="189"/>
      <c r="N503" s="189"/>
      <c r="O503" s="189"/>
      <c r="P503" s="189"/>
    </row>
    <row r="504" spans="1:16" ht="21.75" customHeight="1" x14ac:dyDescent="0.35">
      <c r="A504" s="183"/>
      <c r="B504" s="184"/>
      <c r="C504" s="184"/>
      <c r="D504" s="201"/>
      <c r="E504" s="203"/>
      <c r="F504" s="396" t="s">
        <v>187</v>
      </c>
      <c r="G504" s="427"/>
      <c r="H504" s="428" t="s">
        <v>122</v>
      </c>
      <c r="I504" s="211">
        <f ca="1">IFERROR(__xludf.DUMMYFUNCTION("IMPORTRANGE(""https://docs.google.com/spreadsheets/d/1IYY_tgx_IHuhSq3AJ5eI5OnqOPBNLWSHKh2a30DoXe8/edit?usp=sharing"",""พังงา!I399"")"),0)</f>
        <v>0</v>
      </c>
      <c r="J504" s="196">
        <f ca="1">IFERROR(__xludf.DUMMYFUNCTION("IMPORTRANGE(""https://docs.google.com/spreadsheets/d/1IYY_tgx_IHuhSq3AJ5eI5OnqOPBNLWSHKh2a30DoXe8/edit?usp=sharing"",""พังงา!J399"")"),0)</f>
        <v>0</v>
      </c>
      <c r="K504" s="169">
        <f t="shared" ca="1" si="117"/>
        <v>0</v>
      </c>
      <c r="L504" s="189"/>
      <c r="M504" s="189"/>
      <c r="N504" s="189"/>
      <c r="O504" s="189"/>
      <c r="P504" s="189"/>
    </row>
    <row r="505" spans="1:16" ht="21.75" customHeight="1" x14ac:dyDescent="0.35">
      <c r="A505" s="183"/>
      <c r="B505" s="184"/>
      <c r="C505" s="184"/>
      <c r="D505" s="201"/>
      <c r="E505" s="203"/>
      <c r="F505" s="203"/>
      <c r="G505" s="427"/>
      <c r="H505" s="428" t="s">
        <v>36</v>
      </c>
      <c r="I505" s="195">
        <f ca="1">IFERROR(__xludf.DUMMYFUNCTION("IMPORTRANGE(""https://docs.google.com/spreadsheets/d/1IYY_tgx_IHuhSq3AJ5eI5OnqOPBNLWSHKh2a30DoXe8/edit?usp=sharing"",""พังงา!I400"")"),0)</f>
        <v>0</v>
      </c>
      <c r="J505" s="205">
        <f ca="1">IFERROR(__xludf.DUMMYFUNCTION("IMPORTRANGE(""https://docs.google.com/spreadsheets/d/1IYY_tgx_IHuhSq3AJ5eI5OnqOPBNLWSHKh2a30DoXe8/edit?usp=sharing"",""พังงา!J400"")"),0)</f>
        <v>0</v>
      </c>
      <c r="K505" s="169">
        <f t="shared" ca="1" si="117"/>
        <v>0</v>
      </c>
      <c r="L505" s="189"/>
      <c r="M505" s="189"/>
      <c r="N505" s="189"/>
      <c r="O505" s="189"/>
      <c r="P505" s="189"/>
    </row>
    <row r="506" spans="1:16" ht="21.75" customHeight="1" x14ac:dyDescent="0.35">
      <c r="A506" s="183"/>
      <c r="B506" s="184"/>
      <c r="C506" s="184"/>
      <c r="D506" s="201"/>
      <c r="E506" s="203"/>
      <c r="F506" s="405" t="s">
        <v>188</v>
      </c>
      <c r="G506" s="427"/>
      <c r="H506" s="428" t="s">
        <v>122</v>
      </c>
      <c r="I506" s="211">
        <f ca="1">IFERROR(__xludf.DUMMYFUNCTION("IMPORTRANGE(""https://docs.google.com/spreadsheets/d/1IYY_tgx_IHuhSq3AJ5eI5OnqOPBNLWSHKh2a30DoXe8/edit?usp=sharing"",""พังงา!I401"")"),0)</f>
        <v>0</v>
      </c>
      <c r="J506" s="196">
        <f ca="1">IFERROR(__xludf.DUMMYFUNCTION("IMPORTRANGE(""https://docs.google.com/spreadsheets/d/1IYY_tgx_IHuhSq3AJ5eI5OnqOPBNLWSHKh2a30DoXe8/edit?usp=sharing"",""พังงา!J401"")"),0)</f>
        <v>0</v>
      </c>
      <c r="K506" s="169">
        <f t="shared" ca="1" si="117"/>
        <v>0</v>
      </c>
      <c r="L506" s="189"/>
      <c r="M506" s="189"/>
      <c r="N506" s="189"/>
      <c r="O506" s="189"/>
      <c r="P506" s="189"/>
    </row>
    <row r="507" spans="1:16" ht="21.75" customHeight="1" x14ac:dyDescent="0.35">
      <c r="A507" s="183"/>
      <c r="B507" s="184"/>
      <c r="C507" s="184"/>
      <c r="D507" s="201"/>
      <c r="E507" s="203"/>
      <c r="F507" s="203"/>
      <c r="G507" s="203"/>
      <c r="H507" s="428" t="s">
        <v>36</v>
      </c>
      <c r="I507" s="195">
        <f ca="1">IFERROR(__xludf.DUMMYFUNCTION("IMPORTRANGE(""https://docs.google.com/spreadsheets/d/1IYY_tgx_IHuhSq3AJ5eI5OnqOPBNLWSHKh2a30DoXe8/edit?usp=sharing"",""พังงา!I402"")"),0)</f>
        <v>0</v>
      </c>
      <c r="J507" s="205">
        <f ca="1">IFERROR(__xludf.DUMMYFUNCTION("IMPORTRANGE(""https://docs.google.com/spreadsheets/d/1IYY_tgx_IHuhSq3AJ5eI5OnqOPBNLWSHKh2a30DoXe8/edit?usp=sharing"",""พังงา!J402"")"),0)</f>
        <v>0</v>
      </c>
      <c r="K507" s="169">
        <f t="shared" ca="1" si="117"/>
        <v>0</v>
      </c>
      <c r="L507" s="189"/>
      <c r="M507" s="189"/>
      <c r="N507" s="189"/>
      <c r="O507" s="189"/>
      <c r="P507" s="189"/>
    </row>
    <row r="508" spans="1:16" ht="21.75" customHeight="1" x14ac:dyDescent="0.35">
      <c r="A508" s="183"/>
      <c r="B508" s="184"/>
      <c r="C508" s="184"/>
      <c r="D508" s="201"/>
      <c r="E508" s="202" t="s">
        <v>189</v>
      </c>
      <c r="F508" s="203"/>
      <c r="G508" s="427"/>
      <c r="H508" s="428" t="s">
        <v>122</v>
      </c>
      <c r="I508" s="195">
        <f ca="1">IFERROR(__xludf.DUMMYFUNCTION("IMPORTRANGE(""https://docs.google.com/spreadsheets/d/1IYY_tgx_IHuhSq3AJ5eI5OnqOPBNLWSHKh2a30DoXe8/edit?usp=sharing"",""พังงา!I403"")"),0)</f>
        <v>0</v>
      </c>
      <c r="J508" s="168">
        <f ca="1">IFERROR(__xludf.DUMMYFUNCTION("IMPORTRANGE(""https://docs.google.com/spreadsheets/d/1IYY_tgx_IHuhSq3AJ5eI5OnqOPBNLWSHKh2a30DoXe8/edit?usp=sharing"",""พังงา!J403"")"),0)</f>
        <v>0</v>
      </c>
      <c r="K508" s="169">
        <f t="shared" ca="1" si="117"/>
        <v>0</v>
      </c>
      <c r="L508" s="189"/>
      <c r="M508" s="189"/>
      <c r="N508" s="189"/>
      <c r="O508" s="189"/>
      <c r="P508" s="189"/>
    </row>
    <row r="509" spans="1:16" ht="21.75" customHeight="1" x14ac:dyDescent="0.35">
      <c r="A509" s="183"/>
      <c r="B509" s="184"/>
      <c r="C509" s="184"/>
      <c r="D509" s="201"/>
      <c r="E509" s="203"/>
      <c r="F509" s="203"/>
      <c r="G509" s="203"/>
      <c r="H509" s="428" t="s">
        <v>36</v>
      </c>
      <c r="I509" s="195">
        <f ca="1">IFERROR(__xludf.DUMMYFUNCTION("IMPORTRANGE(""https://docs.google.com/spreadsheets/d/1IYY_tgx_IHuhSq3AJ5eI5OnqOPBNLWSHKh2a30DoXe8/edit?usp=sharing"",""พังงา!I404"")"),0)</f>
        <v>0</v>
      </c>
      <c r="J509" s="168">
        <f ca="1">IFERROR(__xludf.DUMMYFUNCTION("IMPORTRANGE(""https://docs.google.com/spreadsheets/d/1IYY_tgx_IHuhSq3AJ5eI5OnqOPBNLWSHKh2a30DoXe8/edit?usp=sharing"",""พังงา!J404"")"),0)</f>
        <v>0</v>
      </c>
      <c r="K509" s="169">
        <f t="shared" ca="1" si="117"/>
        <v>0</v>
      </c>
      <c r="L509" s="189"/>
      <c r="M509" s="189"/>
      <c r="N509" s="189"/>
      <c r="O509" s="189"/>
      <c r="P509" s="189"/>
    </row>
    <row r="510" spans="1:16" ht="21.75" customHeight="1" x14ac:dyDescent="0.35">
      <c r="A510" s="183"/>
      <c r="B510" s="184"/>
      <c r="C510" s="184"/>
      <c r="D510" s="201"/>
      <c r="E510" s="203"/>
      <c r="F510" s="202" t="s">
        <v>190</v>
      </c>
      <c r="G510" s="203"/>
      <c r="H510" s="428" t="s">
        <v>122</v>
      </c>
      <c r="I510" s="195">
        <f ca="1">IFERROR(__xludf.DUMMYFUNCTION("IMPORTRANGE(""https://docs.google.com/spreadsheets/d/1IYY_tgx_IHuhSq3AJ5eI5OnqOPBNLWSHKh2a30DoXe8/edit?usp=sharing"",""พังงา!I405"")"),0)</f>
        <v>0</v>
      </c>
      <c r="J510" s="205">
        <f ca="1">IFERROR(__xludf.DUMMYFUNCTION("IMPORTRANGE(""https://docs.google.com/spreadsheets/d/1IYY_tgx_IHuhSq3AJ5eI5OnqOPBNLWSHKh2a30DoXe8/edit?usp=sharing"",""พังงา!J405"")"),0)</f>
        <v>0</v>
      </c>
      <c r="K510" s="169">
        <f t="shared" ca="1" si="117"/>
        <v>0</v>
      </c>
      <c r="L510" s="189"/>
      <c r="M510" s="189"/>
      <c r="N510" s="189"/>
      <c r="O510" s="189"/>
      <c r="P510" s="189"/>
    </row>
    <row r="511" spans="1:16" ht="21.75" customHeight="1" x14ac:dyDescent="0.35">
      <c r="A511" s="183"/>
      <c r="B511" s="184"/>
      <c r="C511" s="184"/>
      <c r="D511" s="201"/>
      <c r="E511" s="203"/>
      <c r="F511" s="203"/>
      <c r="G511" s="203"/>
      <c r="H511" s="428" t="s">
        <v>36</v>
      </c>
      <c r="I511" s="195">
        <f ca="1">IFERROR(__xludf.DUMMYFUNCTION("IMPORTRANGE(""https://docs.google.com/spreadsheets/d/1IYY_tgx_IHuhSq3AJ5eI5OnqOPBNLWSHKh2a30DoXe8/edit?usp=sharing"",""พังงา!I406"")"),0)</f>
        <v>0</v>
      </c>
      <c r="J511" s="205">
        <f ca="1">IFERROR(__xludf.DUMMYFUNCTION("IMPORTRANGE(""https://docs.google.com/spreadsheets/d/1IYY_tgx_IHuhSq3AJ5eI5OnqOPBNLWSHKh2a30DoXe8/edit?usp=sharing"",""พังงา!J406"")"),0)</f>
        <v>0</v>
      </c>
      <c r="K511" s="169">
        <f t="shared" ca="1" si="117"/>
        <v>0</v>
      </c>
      <c r="L511" s="189"/>
      <c r="M511" s="189"/>
      <c r="N511" s="189"/>
      <c r="O511" s="189"/>
      <c r="P511" s="189"/>
    </row>
    <row r="512" spans="1:16" ht="21.75" customHeight="1" x14ac:dyDescent="0.35">
      <c r="A512" s="183"/>
      <c r="B512" s="184"/>
      <c r="C512" s="184"/>
      <c r="D512" s="201"/>
      <c r="E512" s="203"/>
      <c r="F512" s="202" t="s">
        <v>191</v>
      </c>
      <c r="G512" s="203"/>
      <c r="H512" s="428" t="s">
        <v>122</v>
      </c>
      <c r="I512" s="195">
        <f ca="1">IFERROR(__xludf.DUMMYFUNCTION("IMPORTRANGE(""https://docs.google.com/spreadsheets/d/1IYY_tgx_IHuhSq3AJ5eI5OnqOPBNLWSHKh2a30DoXe8/edit?usp=sharing"",""พังงา!I407"")"),0)</f>
        <v>0</v>
      </c>
      <c r="J512" s="205">
        <f ca="1">IFERROR(__xludf.DUMMYFUNCTION("IMPORTRANGE(""https://docs.google.com/spreadsheets/d/1IYY_tgx_IHuhSq3AJ5eI5OnqOPBNLWSHKh2a30DoXe8/edit?usp=sharing"",""พังงา!J407"")"),0)</f>
        <v>0</v>
      </c>
      <c r="K512" s="169">
        <f t="shared" ca="1" si="117"/>
        <v>0</v>
      </c>
      <c r="L512" s="189"/>
      <c r="M512" s="189"/>
      <c r="N512" s="189"/>
      <c r="O512" s="189"/>
      <c r="P512" s="189"/>
    </row>
    <row r="513" spans="1:16" ht="21.75" customHeight="1" x14ac:dyDescent="0.35">
      <c r="A513" s="183"/>
      <c r="B513" s="184"/>
      <c r="C513" s="184"/>
      <c r="D513" s="201"/>
      <c r="E513" s="203"/>
      <c r="F513" s="203"/>
      <c r="G513" s="204"/>
      <c r="H513" s="428" t="s">
        <v>36</v>
      </c>
      <c r="I513" s="195">
        <f ca="1">IFERROR(__xludf.DUMMYFUNCTION("IMPORTRANGE(""https://docs.google.com/spreadsheets/d/1IYY_tgx_IHuhSq3AJ5eI5OnqOPBNLWSHKh2a30DoXe8/edit?usp=sharing"",""พังงา!I408"")"),0)</f>
        <v>0</v>
      </c>
      <c r="J513" s="205">
        <f ca="1">IFERROR(__xludf.DUMMYFUNCTION("IMPORTRANGE(""https://docs.google.com/spreadsheets/d/1IYY_tgx_IHuhSq3AJ5eI5OnqOPBNLWSHKh2a30DoXe8/edit?usp=sharing"",""พังงา!J408"")"),0)</f>
        <v>0</v>
      </c>
      <c r="K513" s="169">
        <f t="shared" ca="1" si="117"/>
        <v>0</v>
      </c>
      <c r="L513" s="189"/>
      <c r="M513" s="189"/>
      <c r="N513" s="189"/>
      <c r="O513" s="189"/>
      <c r="P513" s="189"/>
    </row>
    <row r="514" spans="1:16" ht="21.75" customHeight="1" x14ac:dyDescent="0.35">
      <c r="A514" s="183"/>
      <c r="B514" s="184"/>
      <c r="C514" s="184"/>
      <c r="D514" s="410"/>
      <c r="E514" s="456" t="s">
        <v>192</v>
      </c>
      <c r="F514" s="203"/>
      <c r="G514" s="204"/>
      <c r="H514" s="428" t="s">
        <v>122</v>
      </c>
      <c r="I514" s="195">
        <f ca="1">IFERROR(__xludf.DUMMYFUNCTION("IMPORTRANGE(""https://docs.google.com/spreadsheets/d/1IYY_tgx_IHuhSq3AJ5eI5OnqOPBNLWSHKh2a30DoXe8/edit?usp=sharing"",""พังงา!I409"")"),0)</f>
        <v>0</v>
      </c>
      <c r="J514" s="205">
        <f ca="1">IFERROR(__xludf.DUMMYFUNCTION("IMPORTRANGE(""https://docs.google.com/spreadsheets/d/1IYY_tgx_IHuhSq3AJ5eI5OnqOPBNLWSHKh2a30DoXe8/edit?usp=sharing"",""พังงา!J409"")"),0)</f>
        <v>0</v>
      </c>
      <c r="K514" s="169">
        <f t="shared" ca="1" si="117"/>
        <v>0</v>
      </c>
      <c r="L514" s="189"/>
      <c r="M514" s="189"/>
      <c r="N514" s="189"/>
      <c r="O514" s="189"/>
      <c r="P514" s="189"/>
    </row>
    <row r="515" spans="1:16" ht="21.75" customHeight="1" x14ac:dyDescent="0.35">
      <c r="A515" s="183"/>
      <c r="B515" s="184"/>
      <c r="C515" s="184"/>
      <c r="D515" s="201"/>
      <c r="E515" s="203"/>
      <c r="F515" s="203"/>
      <c r="G515" s="204"/>
      <c r="H515" s="428" t="s">
        <v>36</v>
      </c>
      <c r="I515" s="195">
        <f ca="1">IFERROR(__xludf.DUMMYFUNCTION("IMPORTRANGE(""https://docs.google.com/spreadsheets/d/1IYY_tgx_IHuhSq3AJ5eI5OnqOPBNLWSHKh2a30DoXe8/edit?usp=sharing"",""พังงา!I410"")"),0)</f>
        <v>0</v>
      </c>
      <c r="J515" s="205">
        <f ca="1">IFERROR(__xludf.DUMMYFUNCTION("IMPORTRANGE(""https://docs.google.com/spreadsheets/d/1IYY_tgx_IHuhSq3AJ5eI5OnqOPBNLWSHKh2a30DoXe8/edit?usp=sharing"",""พังงา!J410"")"),0)</f>
        <v>0</v>
      </c>
      <c r="K515" s="169">
        <f t="shared" ca="1" si="117"/>
        <v>0</v>
      </c>
      <c r="L515" s="189"/>
      <c r="M515" s="189"/>
      <c r="N515" s="189"/>
      <c r="O515" s="189"/>
      <c r="P515" s="189"/>
    </row>
    <row r="516" spans="1:16" ht="21.75" customHeight="1" x14ac:dyDescent="0.35">
      <c r="A516" s="183"/>
      <c r="B516" s="184"/>
      <c r="C516" s="421" t="s">
        <v>193</v>
      </c>
      <c r="D516" s="421"/>
      <c r="E516" s="457"/>
      <c r="F516" s="457"/>
      <c r="G516" s="458"/>
      <c r="H516" s="459" t="s">
        <v>122</v>
      </c>
      <c r="I516" s="274">
        <f ca="1">IFERROR(__xludf.DUMMYFUNCTION("IMPORTRANGE(""https://docs.google.com/spreadsheets/d/1IYY_tgx_IHuhSq3AJ5eI5OnqOPBNLWSHKh2a30DoXe8/edit?usp=sharing"",""พังงา!I411"")"),0)</f>
        <v>0</v>
      </c>
      <c r="J516" s="274">
        <f ca="1">IFERROR(__xludf.DUMMYFUNCTION("IMPORTRANGE(""https://docs.google.com/spreadsheets/d/1IYY_tgx_IHuhSq3AJ5eI5OnqOPBNLWSHKh2a30DoXe8/edit?usp=sharing"",""พังงา!J411"")"),0)</f>
        <v>0</v>
      </c>
      <c r="K516" s="275">
        <v>0</v>
      </c>
      <c r="L516" s="189"/>
      <c r="M516" s="189"/>
      <c r="N516" s="189"/>
      <c r="O516" s="189"/>
      <c r="P516" s="189"/>
    </row>
    <row r="517" spans="1:16" ht="21.75" customHeight="1" x14ac:dyDescent="0.35">
      <c r="A517" s="183"/>
      <c r="B517" s="184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IFERROR(__xludf.DUMMYFUNCTION("IMPORTRANGE(""https://docs.google.com/spreadsheets/d/1IYY_tgx_IHuhSq3AJ5eI5OnqOPBNLWSHKh2a30DoXe8/edit?usp=sharing"",""พังงา!I412"")"),0)</f>
        <v>0</v>
      </c>
      <c r="J517" s="290">
        <f ca="1">IFERROR(__xludf.DUMMYFUNCTION("IMPORTRANGE(""https://docs.google.com/spreadsheets/d/1IYY_tgx_IHuhSq3AJ5eI5OnqOPBNLWSHKh2a30DoXe8/edit?usp=sharing"",""พังงา!J412"")"),0)</f>
        <v>0</v>
      </c>
      <c r="K517" s="291">
        <v>0</v>
      </c>
      <c r="L517" s="189"/>
      <c r="M517" s="189"/>
      <c r="N517" s="189"/>
      <c r="O517" s="189"/>
      <c r="P517" s="189"/>
    </row>
    <row r="518" spans="1:16" ht="21.75" customHeight="1" x14ac:dyDescent="0.35">
      <c r="A518" s="183"/>
      <c r="B518" s="184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IFERROR(__xludf.DUMMYFUNCTION("IMPORTRANGE(""https://docs.google.com/spreadsheets/d/1IYY_tgx_IHuhSq3AJ5eI5OnqOPBNLWSHKh2a30DoXe8/edit?usp=sharing"",""พังงา!I413"")"),0)</f>
        <v>0</v>
      </c>
      <c r="J518" s="290">
        <f ca="1">IFERROR(__xludf.DUMMYFUNCTION("IMPORTRANGE(""https://docs.google.com/spreadsheets/d/1IYY_tgx_IHuhSq3AJ5eI5OnqOPBNLWSHKh2a30DoXe8/edit?usp=sharing"",""พังงา!J413"")"),0)</f>
        <v>0</v>
      </c>
      <c r="K518" s="291">
        <v>0</v>
      </c>
      <c r="L518" s="189"/>
      <c r="M518" s="189"/>
      <c r="N518" s="189"/>
      <c r="O518" s="189"/>
      <c r="P518" s="189"/>
    </row>
    <row r="519" spans="1:16" ht="21.75" customHeight="1" x14ac:dyDescent="0.35">
      <c r="A519" s="183"/>
      <c r="B519" s="184"/>
      <c r="C519" s="184"/>
      <c r="D519" s="201"/>
      <c r="E519" s="203"/>
      <c r="F519" s="203"/>
      <c r="G519" s="233" t="s">
        <v>196</v>
      </c>
      <c r="H519" s="428" t="s">
        <v>122</v>
      </c>
      <c r="I519" s="195">
        <f ca="1">IFERROR(__xludf.DUMMYFUNCTION("IMPORTRANGE(""https://docs.google.com/spreadsheets/d/1IYY_tgx_IHuhSq3AJ5eI5OnqOPBNLWSHKh2a30DoXe8/edit?usp=sharing"",""พังงา!I414"")"),0)</f>
        <v>0</v>
      </c>
      <c r="J519" s="195">
        <f ca="1">IFERROR(__xludf.DUMMYFUNCTION("IMPORTRANGE(""https://docs.google.com/spreadsheets/d/1IYY_tgx_IHuhSq3AJ5eI5OnqOPBNLWSHKh2a30DoXe8/edit?usp=sharing"",""พังงา!J414"")"),0)</f>
        <v>0</v>
      </c>
      <c r="K519" s="169">
        <v>0</v>
      </c>
      <c r="L519" s="189"/>
      <c r="M519" s="189"/>
      <c r="N519" s="189"/>
      <c r="O519" s="189"/>
      <c r="P519" s="189"/>
    </row>
    <row r="520" spans="1:16" ht="21.75" customHeight="1" x14ac:dyDescent="0.35">
      <c r="A520" s="183"/>
      <c r="B520" s="184"/>
      <c r="C520" s="184"/>
      <c r="D520" s="201"/>
      <c r="E520" s="203"/>
      <c r="F520" s="203"/>
      <c r="G520" s="204"/>
      <c r="H520" s="428" t="s">
        <v>36</v>
      </c>
      <c r="I520" s="195">
        <f ca="1">IFERROR(__xludf.DUMMYFUNCTION("IMPORTRANGE(""https://docs.google.com/spreadsheets/d/1IYY_tgx_IHuhSq3AJ5eI5OnqOPBNLWSHKh2a30DoXe8/edit?usp=sharing"",""พังงา!I415"")"),0)</f>
        <v>0</v>
      </c>
      <c r="J520" s="195">
        <f ca="1">IFERROR(__xludf.DUMMYFUNCTION("IMPORTRANGE(""https://docs.google.com/spreadsheets/d/1IYY_tgx_IHuhSq3AJ5eI5OnqOPBNLWSHKh2a30DoXe8/edit?usp=sharing"",""พังงา!J415"")"),0)</f>
        <v>0</v>
      </c>
      <c r="K520" s="169">
        <v>0</v>
      </c>
      <c r="L520" s="189"/>
      <c r="M520" s="189"/>
      <c r="N520" s="189"/>
      <c r="O520" s="189"/>
      <c r="P520" s="189"/>
    </row>
    <row r="521" spans="1:16" ht="21.75" customHeight="1" x14ac:dyDescent="0.35">
      <c r="A521" s="183"/>
      <c r="B521" s="184"/>
      <c r="C521" s="184"/>
      <c r="D521" s="201"/>
      <c r="E521" s="203"/>
      <c r="F521" s="203"/>
      <c r="G521" s="233" t="s">
        <v>197</v>
      </c>
      <c r="H521" s="428" t="s">
        <v>122</v>
      </c>
      <c r="I521" s="195">
        <f ca="1">IFERROR(__xludf.DUMMYFUNCTION("IMPORTRANGE(""https://docs.google.com/spreadsheets/d/1IYY_tgx_IHuhSq3AJ5eI5OnqOPBNLWSHKh2a30DoXe8/edit?usp=sharing"",""พังงา!I416"")"),0)</f>
        <v>0</v>
      </c>
      <c r="J521" s="195">
        <f ca="1">IFERROR(__xludf.DUMMYFUNCTION("IMPORTRANGE(""https://docs.google.com/spreadsheets/d/1IYY_tgx_IHuhSq3AJ5eI5OnqOPBNLWSHKh2a30DoXe8/edit?usp=sharing"",""พังงา!J416"")"),0)</f>
        <v>0</v>
      </c>
      <c r="K521" s="169">
        <v>0</v>
      </c>
      <c r="L521" s="189"/>
      <c r="M521" s="189"/>
      <c r="N521" s="189"/>
      <c r="O521" s="189"/>
      <c r="P521" s="189"/>
    </row>
    <row r="522" spans="1:16" ht="21.75" customHeight="1" x14ac:dyDescent="0.35">
      <c r="A522" s="183"/>
      <c r="B522" s="184"/>
      <c r="C522" s="184"/>
      <c r="D522" s="201"/>
      <c r="E522" s="203"/>
      <c r="F522" s="203"/>
      <c r="G522" s="204"/>
      <c r="H522" s="428" t="s">
        <v>36</v>
      </c>
      <c r="I522" s="195">
        <f ca="1">IFERROR(__xludf.DUMMYFUNCTION("IMPORTRANGE(""https://docs.google.com/spreadsheets/d/1IYY_tgx_IHuhSq3AJ5eI5OnqOPBNLWSHKh2a30DoXe8/edit?usp=sharing"",""พังงา!I417"")"),0)</f>
        <v>0</v>
      </c>
      <c r="J522" s="195">
        <f ca="1">IFERROR(__xludf.DUMMYFUNCTION("IMPORTRANGE(""https://docs.google.com/spreadsheets/d/1IYY_tgx_IHuhSq3AJ5eI5OnqOPBNLWSHKh2a30DoXe8/edit?usp=sharing"",""พังงา!J417"")"),0)</f>
        <v>0</v>
      </c>
      <c r="K522" s="169">
        <v>0</v>
      </c>
      <c r="L522" s="189"/>
      <c r="M522" s="189"/>
      <c r="N522" s="189"/>
      <c r="O522" s="189"/>
      <c r="P522" s="189"/>
    </row>
    <row r="523" spans="1:16" ht="21.75" customHeight="1" x14ac:dyDescent="0.35">
      <c r="A523" s="183"/>
      <c r="B523" s="184"/>
      <c r="C523" s="184"/>
      <c r="D523" s="201"/>
      <c r="E523" s="203"/>
      <c r="F523" s="203"/>
      <c r="G523" s="464" t="s">
        <v>198</v>
      </c>
      <c r="H523" s="428" t="s">
        <v>122</v>
      </c>
      <c r="I523" s="195">
        <f ca="1">IFERROR(__xludf.DUMMYFUNCTION("IMPORTRANGE(""https://docs.google.com/spreadsheets/d/1IYY_tgx_IHuhSq3AJ5eI5OnqOPBNLWSHKh2a30DoXe8/edit?usp=sharing"",""พังงา!I418"")"),0)</f>
        <v>0</v>
      </c>
      <c r="J523" s="195">
        <f ca="1">IFERROR(__xludf.DUMMYFUNCTION("IMPORTRANGE(""https://docs.google.com/spreadsheets/d/1IYY_tgx_IHuhSq3AJ5eI5OnqOPBNLWSHKh2a30DoXe8/edit?usp=sharing"",""พังงา!J418"")"),36)</f>
        <v>36</v>
      </c>
      <c r="K523" s="169">
        <v>0</v>
      </c>
      <c r="L523" s="189"/>
      <c r="M523" s="189"/>
      <c r="N523" s="189"/>
      <c r="O523" s="189"/>
      <c r="P523" s="189"/>
    </row>
    <row r="524" spans="1:16" ht="21.75" customHeight="1" x14ac:dyDescent="0.35">
      <c r="A524" s="183"/>
      <c r="B524" s="184"/>
      <c r="C524" s="184"/>
      <c r="D524" s="201"/>
      <c r="E524" s="203"/>
      <c r="F524" s="203"/>
      <c r="G524" s="204"/>
      <c r="H524" s="428" t="s">
        <v>36</v>
      </c>
      <c r="I524" s="195">
        <f ca="1">IFERROR(__xludf.DUMMYFUNCTION("IMPORTRANGE(""https://docs.google.com/spreadsheets/d/1IYY_tgx_IHuhSq3AJ5eI5OnqOPBNLWSHKh2a30DoXe8/edit?usp=sharing"",""พังงา!I419"")"),0)</f>
        <v>0</v>
      </c>
      <c r="J524" s="195">
        <f ca="1">IFERROR(__xludf.DUMMYFUNCTION("IMPORTRANGE(""https://docs.google.com/spreadsheets/d/1IYY_tgx_IHuhSq3AJ5eI5OnqOPBNLWSHKh2a30DoXe8/edit?usp=sharing"",""พังงา!J419"")"),4)</f>
        <v>4</v>
      </c>
      <c r="K524" s="169">
        <v>0</v>
      </c>
      <c r="L524" s="189"/>
      <c r="M524" s="189"/>
      <c r="N524" s="189"/>
      <c r="O524" s="189"/>
      <c r="P524" s="189"/>
    </row>
    <row r="525" spans="1:16" ht="21.75" customHeight="1" x14ac:dyDescent="0.35">
      <c r="A525" s="183"/>
      <c r="B525" s="184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IFERROR(__xludf.DUMMYFUNCTION("IMPORTRANGE(""https://docs.google.com/spreadsheets/d/1IYY_tgx_IHuhSq3AJ5eI5OnqOPBNLWSHKh2a30DoXe8/edit?usp=sharing"",""พังงา!I420"")"),36)</f>
        <v>36</v>
      </c>
      <c r="J525" s="290">
        <f ca="1">IFERROR(__xludf.DUMMYFUNCTION("IMPORTRANGE(""https://docs.google.com/spreadsheets/d/1IYY_tgx_IHuhSq3AJ5eI5OnqOPBNLWSHKh2a30DoXe8/edit?usp=sharing"",""พังงา!J420"")"),0)</f>
        <v>0</v>
      </c>
      <c r="K525" s="291">
        <v>0</v>
      </c>
      <c r="L525" s="189"/>
      <c r="M525" s="189"/>
      <c r="N525" s="189"/>
      <c r="O525" s="189"/>
      <c r="P525" s="189"/>
    </row>
    <row r="526" spans="1:16" ht="21.75" customHeight="1" x14ac:dyDescent="0.35">
      <c r="A526" s="183"/>
      <c r="B526" s="184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IFERROR(__xludf.DUMMYFUNCTION("IMPORTRANGE(""https://docs.google.com/spreadsheets/d/1IYY_tgx_IHuhSq3AJ5eI5OnqOPBNLWSHKh2a30DoXe8/edit?usp=sharing"",""พังงา!I421"")"),4)</f>
        <v>4</v>
      </c>
      <c r="J526" s="290">
        <f ca="1">IFERROR(__xludf.DUMMYFUNCTION("IMPORTRANGE(""https://docs.google.com/spreadsheets/d/1IYY_tgx_IHuhSq3AJ5eI5OnqOPBNLWSHKh2a30DoXe8/edit?usp=sharing"",""พังงา!J421"")"),0)</f>
        <v>0</v>
      </c>
      <c r="K526" s="291">
        <v>0</v>
      </c>
      <c r="L526" s="189"/>
      <c r="M526" s="189"/>
      <c r="N526" s="189"/>
      <c r="O526" s="189"/>
      <c r="P526" s="189"/>
    </row>
    <row r="527" spans="1:16" ht="21.75" customHeight="1" x14ac:dyDescent="0.35">
      <c r="A527" s="183"/>
      <c r="B527" s="184"/>
      <c r="C527" s="184"/>
      <c r="D527" s="201"/>
      <c r="E527" s="203"/>
      <c r="F527" s="203"/>
      <c r="G527" s="233" t="s">
        <v>196</v>
      </c>
      <c r="H527" s="428" t="s">
        <v>122</v>
      </c>
      <c r="I527" s="195">
        <f ca="1">IFERROR(__xludf.DUMMYFUNCTION("IMPORTRANGE(""https://docs.google.com/spreadsheets/d/1IYY_tgx_IHuhSq3AJ5eI5OnqOPBNLWSHKh2a30DoXe8/edit?usp=sharing"",""พังงา!I422"")"),0)</f>
        <v>0</v>
      </c>
      <c r="J527" s="205">
        <f ca="1">IFERROR(__xludf.DUMMYFUNCTION("IMPORTRANGE(""https://docs.google.com/spreadsheets/d/1IYY_tgx_IHuhSq3AJ5eI5OnqOPBNLWSHKh2a30DoXe8/edit?usp=sharing"",""พังงา!J422"")"),0)</f>
        <v>0</v>
      </c>
      <c r="K527" s="169">
        <v>0</v>
      </c>
      <c r="L527" s="189"/>
      <c r="M527" s="189"/>
      <c r="N527" s="189"/>
      <c r="O527" s="189"/>
      <c r="P527" s="189"/>
    </row>
    <row r="528" spans="1:16" ht="21.75" customHeight="1" x14ac:dyDescent="0.35">
      <c r="A528" s="183"/>
      <c r="B528" s="184"/>
      <c r="C528" s="184"/>
      <c r="D528" s="201"/>
      <c r="E528" s="203"/>
      <c r="F528" s="203"/>
      <c r="G528" s="204"/>
      <c r="H528" s="428" t="s">
        <v>36</v>
      </c>
      <c r="I528" s="195">
        <f ca="1">IFERROR(__xludf.DUMMYFUNCTION("IMPORTRANGE(""https://docs.google.com/spreadsheets/d/1IYY_tgx_IHuhSq3AJ5eI5OnqOPBNLWSHKh2a30DoXe8/edit?usp=sharing"",""พังงา!I423"")"),0)</f>
        <v>0</v>
      </c>
      <c r="J528" s="205">
        <f ca="1">IFERROR(__xludf.DUMMYFUNCTION("IMPORTRANGE(""https://docs.google.com/spreadsheets/d/1IYY_tgx_IHuhSq3AJ5eI5OnqOPBNLWSHKh2a30DoXe8/edit?usp=sharing"",""พังงา!J423"")"),0)</f>
        <v>0</v>
      </c>
      <c r="K528" s="169">
        <v>0</v>
      </c>
      <c r="L528" s="189"/>
      <c r="M528" s="189"/>
      <c r="N528" s="189"/>
      <c r="O528" s="189"/>
      <c r="P528" s="189"/>
    </row>
    <row r="529" spans="1:16" ht="21.75" customHeight="1" x14ac:dyDescent="0.35">
      <c r="A529" s="183"/>
      <c r="B529" s="184"/>
      <c r="C529" s="184"/>
      <c r="D529" s="201"/>
      <c r="E529" s="203"/>
      <c r="F529" s="203"/>
      <c r="G529" s="233" t="s">
        <v>197</v>
      </c>
      <c r="H529" s="428" t="s">
        <v>122</v>
      </c>
      <c r="I529" s="195">
        <f ca="1">IFERROR(__xludf.DUMMYFUNCTION("IMPORTRANGE(""https://docs.google.com/spreadsheets/d/1IYY_tgx_IHuhSq3AJ5eI5OnqOPBNLWSHKh2a30DoXe8/edit?usp=sharing"",""พังงา!I424"")"),0)</f>
        <v>0</v>
      </c>
      <c r="J529" s="205">
        <f ca="1">IFERROR(__xludf.DUMMYFUNCTION("IMPORTRANGE(""https://docs.google.com/spreadsheets/d/1IYY_tgx_IHuhSq3AJ5eI5OnqOPBNLWSHKh2a30DoXe8/edit?usp=sharing"",""พังงา!J424"")"),0)</f>
        <v>0</v>
      </c>
      <c r="K529" s="169">
        <v>0</v>
      </c>
      <c r="L529" s="189"/>
      <c r="M529" s="189"/>
      <c r="N529" s="189"/>
      <c r="O529" s="189"/>
      <c r="P529" s="189"/>
    </row>
    <row r="530" spans="1:16" ht="21.75" customHeight="1" x14ac:dyDescent="0.35">
      <c r="A530" s="183"/>
      <c r="B530" s="184"/>
      <c r="C530" s="184"/>
      <c r="D530" s="201"/>
      <c r="E530" s="203"/>
      <c r="F530" s="203"/>
      <c r="G530" s="204"/>
      <c r="H530" s="428" t="s">
        <v>36</v>
      </c>
      <c r="I530" s="195">
        <f ca="1">IFERROR(__xludf.DUMMYFUNCTION("IMPORTRANGE(""https://docs.google.com/spreadsheets/d/1IYY_tgx_IHuhSq3AJ5eI5OnqOPBNLWSHKh2a30DoXe8/edit?usp=sharing"",""พังงา!I425"")"),0)</f>
        <v>0</v>
      </c>
      <c r="J530" s="205">
        <f ca="1">IFERROR(__xludf.DUMMYFUNCTION("IMPORTRANGE(""https://docs.google.com/spreadsheets/d/1IYY_tgx_IHuhSq3AJ5eI5OnqOPBNLWSHKh2a30DoXe8/edit?usp=sharing"",""พังงา!J425"")"),0)</f>
        <v>0</v>
      </c>
      <c r="K530" s="169">
        <v>0</v>
      </c>
      <c r="L530" s="189"/>
      <c r="M530" s="189"/>
      <c r="N530" s="189"/>
      <c r="O530" s="189"/>
      <c r="P530" s="189"/>
    </row>
    <row r="531" spans="1:16" ht="21.75" customHeight="1" x14ac:dyDescent="0.35">
      <c r="A531" s="183"/>
      <c r="B531" s="184"/>
      <c r="C531" s="184"/>
      <c r="D531" s="201"/>
      <c r="E531" s="203"/>
      <c r="F531" s="203"/>
      <c r="G531" s="233" t="s">
        <v>201</v>
      </c>
      <c r="H531" s="428" t="s">
        <v>122</v>
      </c>
      <c r="I531" s="195">
        <f ca="1">IFERROR(__xludf.DUMMYFUNCTION("IMPORTRANGE(""https://docs.google.com/spreadsheets/d/1IYY_tgx_IHuhSq3AJ5eI5OnqOPBNLWSHKh2a30DoXe8/edit?usp=sharing"",""พังงา!I426"")"),0)</f>
        <v>0</v>
      </c>
      <c r="J531" s="205">
        <f ca="1">IFERROR(__xludf.DUMMYFUNCTION("IMPORTRANGE(""https://docs.google.com/spreadsheets/d/1IYY_tgx_IHuhSq3AJ5eI5OnqOPBNLWSHKh2a30DoXe8/edit?usp=sharing"",""พังงา!J426"")"),0)</f>
        <v>0</v>
      </c>
      <c r="K531" s="169">
        <v>0</v>
      </c>
      <c r="L531" s="189"/>
      <c r="M531" s="189"/>
      <c r="N531" s="189"/>
      <c r="O531" s="189"/>
      <c r="P531" s="189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IFERROR(__xludf.DUMMYFUNCTION("IMPORTRANGE(""https://docs.google.com/spreadsheets/d/1IYY_tgx_IHuhSq3AJ5eI5OnqOPBNLWSHKh2a30DoXe8/edit?usp=sharing"",""พังงา!I427"")"),0)</f>
        <v>0</v>
      </c>
      <c r="J532" s="472">
        <f ca="1">IFERROR(__xludf.DUMMYFUNCTION("IMPORTRANGE(""https://docs.google.com/spreadsheets/d/1IYY_tgx_IHuhSq3AJ5eI5OnqOPBNLWSHKh2a30DoXe8/edit?usp=sharing"",""พังงา!J427"")"),0)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IFERROR(__xludf.DUMMYFUNCTION("IMPORTRANGE(""https://docs.google.com/spreadsheets/d/1IYY_tgx_IHuhSq3AJ5eI5OnqOPBNLWSHKh2a30DoXe8/edit?usp=sharing"",""พังงา!I428"")"),24)</f>
        <v>24</v>
      </c>
      <c r="J533" s="416">
        <f ca="1">IFERROR(__xludf.DUMMYFUNCTION("IMPORTRANGE(""https://docs.google.com/spreadsheets/d/1IYY_tgx_IHuhSq3AJ5eI5OnqOPBNLWSHKh2a30DoXe8/edit?usp=sharing"",""พังงา!J428"")"),24)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IFERROR(__xludf.DUMMYFUNCTION("IMPORTRANGE(""https://docs.google.com/spreadsheets/d/1IYY_tgx_IHuhSq3AJ5eI5OnqOPBNLWSHKh2a30DoXe8/edit?usp=sharing"",""พังงา!L428"")"),36040)</f>
        <v>36040</v>
      </c>
      <c r="M533" s="418"/>
      <c r="N533" s="418">
        <f ca="1">IFERROR(__xludf.DUMMYFUNCTION("IMPORTRANGE(""https://docs.google.com/spreadsheets/d/1IYY_tgx_IHuhSq3AJ5eI5OnqOPBNLWSHKh2a30DoXe8/edit?usp=sharing"",""พังงา!M428"")"),29500)</f>
        <v>29500</v>
      </c>
      <c r="O533" s="418">
        <f t="shared" ref="O533:O537" ca="1" si="118">+IF(L533&gt;0,N533*100/L533,0)</f>
        <v>81.853496115427305</v>
      </c>
      <c r="P533" s="418"/>
    </row>
    <row r="534" spans="1:16" ht="21.75" customHeight="1" x14ac:dyDescent="0.35">
      <c r="A534" s="162"/>
      <c r="B534" s="163"/>
      <c r="C534" s="163" t="s">
        <v>16</v>
      </c>
      <c r="D534" s="164" t="s">
        <v>38</v>
      </c>
      <c r="E534" s="165"/>
      <c r="F534" s="165"/>
      <c r="G534" s="166" t="s">
        <v>39</v>
      </c>
      <c r="H534" s="167" t="s">
        <v>12</v>
      </c>
      <c r="I534" s="168" t="s">
        <v>40</v>
      </c>
      <c r="J534" s="168"/>
      <c r="K534" s="169"/>
      <c r="L534" s="170">
        <f ca="1">IFERROR(__xludf.DUMMYFUNCTION("IMPORTRANGE(""https://docs.google.com/spreadsheets/d/1IYY_tgx_IHuhSq3AJ5eI5OnqOPBNLWSHKh2a30DoXe8/edit?usp=sharing"",""พังงา!L429"")"),0)</f>
        <v>0</v>
      </c>
      <c r="M534" s="170"/>
      <c r="N534" s="176">
        <f ca="1">IFERROR(__xludf.DUMMYFUNCTION("IMPORTRANGE(""https://docs.google.com/spreadsheets/d/1IYY_tgx_IHuhSq3AJ5eI5OnqOPBNLWSHKh2a30DoXe8/edit?usp=sharing"",""พังงา!M429"")"),0)</f>
        <v>0</v>
      </c>
      <c r="O534" s="176">
        <f t="shared" ca="1" si="118"/>
        <v>0</v>
      </c>
      <c r="P534" s="176"/>
    </row>
    <row r="535" spans="1:16" ht="21.75" customHeight="1" x14ac:dyDescent="0.35">
      <c r="A535" s="162"/>
      <c r="B535" s="163"/>
      <c r="C535" s="163"/>
      <c r="D535" s="172"/>
      <c r="E535" s="165"/>
      <c r="F535" s="165" t="s">
        <v>40</v>
      </c>
      <c r="G535" s="166" t="s">
        <v>41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IFERROR(__xludf.DUMMYFUNCTION("IMPORTRANGE(""https://docs.google.com/spreadsheets/d/1IYY_tgx_IHuhSq3AJ5eI5OnqOPBNLWSHKh2a30DoXe8/edit?usp=sharing"",""พังงา!L430"")"),36040)</f>
        <v>36040</v>
      </c>
      <c r="M535" s="171"/>
      <c r="N535" s="176">
        <f ca="1">IFERROR(__xludf.DUMMYFUNCTION("IMPORTRANGE(""https://docs.google.com/spreadsheets/d/1IYY_tgx_IHuhSq3AJ5eI5OnqOPBNLWSHKh2a30DoXe8/edit?usp=sharing"",""พังงา!M430"")"),29500)</f>
        <v>29500</v>
      </c>
      <c r="O535" s="176">
        <f t="shared" ca="1" si="118"/>
        <v>81.853496115427305</v>
      </c>
      <c r="P535" s="176"/>
    </row>
    <row r="536" spans="1:16" ht="21.75" customHeight="1" x14ac:dyDescent="0.35">
      <c r="A536" s="162"/>
      <c r="B536" s="163"/>
      <c r="C536" s="163"/>
      <c r="D536" s="172"/>
      <c r="E536" s="165"/>
      <c r="F536" s="165"/>
      <c r="G536" s="380" t="s">
        <v>129</v>
      </c>
      <c r="H536" s="167" t="s">
        <v>12</v>
      </c>
      <c r="I536" s="168"/>
      <c r="J536" s="168"/>
      <c r="K536" s="169"/>
      <c r="L536" s="176">
        <f ca="1">IFERROR(__xludf.DUMMYFUNCTION("IMPORTRANGE(""https://docs.google.com/spreadsheets/d/1IYY_tgx_IHuhSq3AJ5eI5OnqOPBNLWSHKh2a30DoXe8/edit?usp=sharing"",""พังงา!L431"")"),0)</f>
        <v>0</v>
      </c>
      <c r="M536" s="176"/>
      <c r="N536" s="176">
        <f ca="1">IFERROR(__xludf.DUMMYFUNCTION("IMPORTRANGE(""https://docs.google.com/spreadsheets/d/1IYY_tgx_IHuhSq3AJ5eI5OnqOPBNLWSHKh2a30DoXe8/edit?usp=sharing"",""พังงา!M431"")"),0)</f>
        <v>0</v>
      </c>
      <c r="O536" s="176">
        <f t="shared" ca="1" si="118"/>
        <v>0</v>
      </c>
      <c r="P536" s="176"/>
    </row>
    <row r="537" spans="1:16" ht="21.75" customHeight="1" x14ac:dyDescent="0.35">
      <c r="A537" s="162"/>
      <c r="B537" s="163"/>
      <c r="C537" s="163"/>
      <c r="D537" s="172"/>
      <c r="E537" s="165"/>
      <c r="F537" s="165"/>
      <c r="G537" s="380" t="s">
        <v>130</v>
      </c>
      <c r="H537" s="167" t="s">
        <v>12</v>
      </c>
      <c r="I537" s="168"/>
      <c r="J537" s="168"/>
      <c r="K537" s="169"/>
      <c r="L537" s="176">
        <f ca="1">IFERROR(__xludf.DUMMYFUNCTION("IMPORTRANGE(""https://docs.google.com/spreadsheets/d/1IYY_tgx_IHuhSq3AJ5eI5OnqOPBNLWSHKh2a30DoXe8/edit?usp=sharing"",""พังงา!L432"")"),36040)</f>
        <v>36040</v>
      </c>
      <c r="M537" s="176"/>
      <c r="N537" s="176">
        <f ca="1">IFERROR(__xludf.DUMMYFUNCTION("IMPORTRANGE(""https://docs.google.com/spreadsheets/d/1IYY_tgx_IHuhSq3AJ5eI5OnqOPBNLWSHKh2a30DoXe8/edit?usp=sharing"",""พังงา!M432"")"),29500)</f>
        <v>29500</v>
      </c>
      <c r="O537" s="176">
        <f t="shared" ca="1" si="118"/>
        <v>81.853496115427305</v>
      </c>
      <c r="P537" s="176"/>
    </row>
    <row r="538" spans="1:16" ht="21.75" customHeight="1" x14ac:dyDescent="0.35">
      <c r="A538" s="381"/>
      <c r="B538" s="382"/>
      <c r="C538" s="163"/>
      <c r="D538" s="383"/>
      <c r="E538" s="165"/>
      <c r="F538" s="165"/>
      <c r="G538" s="384" t="s">
        <v>131</v>
      </c>
      <c r="H538" s="167" t="s">
        <v>12</v>
      </c>
      <c r="I538" s="195"/>
      <c r="J538" s="195"/>
      <c r="K538" s="231"/>
      <c r="L538" s="176"/>
      <c r="M538" s="176"/>
      <c r="N538" s="385">
        <f ca="1">IFERROR(__xludf.DUMMYFUNCTION("IMPORTRANGE(""https://docs.google.com/spreadsheets/d/1IYY_tgx_IHuhSq3AJ5eI5OnqOPBNLWSHKh2a30DoXe8/edit?usp=sharing"",""พังงา!M433"")"),27660)</f>
        <v>27660</v>
      </c>
      <c r="O538" s="176"/>
      <c r="P538" s="176"/>
    </row>
    <row r="539" spans="1:16" ht="21.75" customHeight="1" x14ac:dyDescent="0.35">
      <c r="A539" s="381"/>
      <c r="B539" s="382"/>
      <c r="C539" s="163"/>
      <c r="D539" s="383"/>
      <c r="E539" s="165"/>
      <c r="F539" s="165"/>
      <c r="G539" s="384" t="s">
        <v>132</v>
      </c>
      <c r="H539" s="167" t="s">
        <v>12</v>
      </c>
      <c r="I539" s="195"/>
      <c r="J539" s="195"/>
      <c r="K539" s="231"/>
      <c r="L539" s="176"/>
      <c r="M539" s="176"/>
      <c r="N539" s="385">
        <f ca="1">IFERROR(__xludf.DUMMYFUNCTION("IMPORTRANGE(""https://docs.google.com/spreadsheets/d/1IYY_tgx_IHuhSq3AJ5eI5OnqOPBNLWSHKh2a30DoXe8/edit?usp=sharing"",""พังงา!M434"")"),0)</f>
        <v>0</v>
      </c>
      <c r="O539" s="176"/>
      <c r="P539" s="176"/>
    </row>
    <row r="540" spans="1:16" ht="21.75" customHeight="1" x14ac:dyDescent="0.35">
      <c r="A540" s="381"/>
      <c r="B540" s="382"/>
      <c r="C540" s="163"/>
      <c r="D540" s="383"/>
      <c r="E540" s="165"/>
      <c r="F540" s="165"/>
      <c r="G540" s="384" t="s">
        <v>133</v>
      </c>
      <c r="H540" s="167" t="s">
        <v>12</v>
      </c>
      <c r="I540" s="195"/>
      <c r="J540" s="195"/>
      <c r="K540" s="231"/>
      <c r="L540" s="176"/>
      <c r="M540" s="176"/>
      <c r="N540" s="385">
        <f ca="1">IFERROR(__xludf.DUMMYFUNCTION("IMPORTRANGE(""https://docs.google.com/spreadsheets/d/1IYY_tgx_IHuhSq3AJ5eI5OnqOPBNLWSHKh2a30DoXe8/edit?usp=sharing"",""พังงา!M435"")"),0)</f>
        <v>0</v>
      </c>
      <c r="O540" s="176"/>
      <c r="P540" s="176"/>
    </row>
    <row r="541" spans="1:16" ht="21.75" customHeight="1" x14ac:dyDescent="0.35">
      <c r="A541" s="381"/>
      <c r="B541" s="382"/>
      <c r="C541" s="163"/>
      <c r="D541" s="383"/>
      <c r="E541" s="165"/>
      <c r="F541" s="165"/>
      <c r="G541" s="384" t="s">
        <v>134</v>
      </c>
      <c r="H541" s="167" t="s">
        <v>12</v>
      </c>
      <c r="I541" s="195"/>
      <c r="J541" s="195"/>
      <c r="K541" s="231"/>
      <c r="L541" s="176"/>
      <c r="M541" s="176"/>
      <c r="N541" s="385">
        <f ca="1">IFERROR(__xludf.DUMMYFUNCTION("IMPORTRANGE(""https://docs.google.com/spreadsheets/d/1IYY_tgx_IHuhSq3AJ5eI5OnqOPBNLWSHKh2a30DoXe8/edit?usp=sharing"",""พังงา!M436"")"),1840)</f>
        <v>1840</v>
      </c>
      <c r="O541" s="176"/>
      <c r="P541" s="176"/>
    </row>
    <row r="542" spans="1:16" ht="21.75" customHeight="1" x14ac:dyDescent="0.35">
      <c r="A542" s="183"/>
      <c r="B542" s="184"/>
      <c r="C542" s="163" t="s">
        <v>16</v>
      </c>
      <c r="D542" s="185" t="s">
        <v>44</v>
      </c>
      <c r="E542" s="186"/>
      <c r="F542" s="186"/>
      <c r="G542" s="187"/>
      <c r="H542" s="188"/>
      <c r="I542" s="168"/>
      <c r="J542" s="168"/>
      <c r="K542" s="169"/>
      <c r="L542" s="189"/>
      <c r="M542" s="189"/>
      <c r="N542" s="189"/>
      <c r="O542" s="189"/>
      <c r="P542" s="189"/>
    </row>
    <row r="543" spans="1:16" ht="21.75" customHeight="1" x14ac:dyDescent="0.35">
      <c r="A543" s="183"/>
      <c r="B543" s="184"/>
      <c r="C543" s="184"/>
      <c r="D543" s="190">
        <v>1</v>
      </c>
      <c r="E543" s="191" t="s">
        <v>45</v>
      </c>
      <c r="F543" s="192"/>
      <c r="G543" s="193"/>
      <c r="H543" s="194"/>
      <c r="I543" s="195"/>
      <c r="J543" s="205">
        <f ca="1">IFERROR(__xludf.DUMMYFUNCTION("IMPORTRANGE(""https://docs.google.com/spreadsheets/d/1IYY_tgx_IHuhSq3AJ5eI5OnqOPBNLWSHKh2a30DoXe8/edit?usp=sharing"",""พังงา!J438"")"),0)</f>
        <v>0</v>
      </c>
      <c r="K543" s="169"/>
      <c r="L543" s="189"/>
      <c r="M543" s="189"/>
      <c r="N543" s="189"/>
      <c r="O543" s="189"/>
      <c r="P543" s="189"/>
    </row>
    <row r="544" spans="1:16" ht="21.75" customHeight="1" x14ac:dyDescent="0.35">
      <c r="A544" s="183"/>
      <c r="B544" s="184"/>
      <c r="C544" s="184"/>
      <c r="D544" s="197">
        <v>2</v>
      </c>
      <c r="E544" s="198" t="s">
        <v>46</v>
      </c>
      <c r="F544" s="199"/>
      <c r="G544" s="200"/>
      <c r="H544" s="194"/>
      <c r="I544" s="195"/>
      <c r="J544" s="196">
        <f ca="1">IFERROR(__xludf.DUMMYFUNCTION("IMPORTRANGE(""https://docs.google.com/spreadsheets/d/1IYY_tgx_IHuhSq3AJ5eI5OnqOPBNLWSHKh2a30DoXe8/edit?usp=sharing"",""พังงา!J439"")"),1)</f>
        <v>1</v>
      </c>
      <c r="K544" s="169"/>
      <c r="L544" s="189" t="s">
        <v>40</v>
      </c>
      <c r="M544" s="189"/>
      <c r="N544" s="189" t="s">
        <v>40</v>
      </c>
      <c r="O544" s="189"/>
      <c r="P544" s="189"/>
    </row>
    <row r="545" spans="1:16" ht="21.75" customHeight="1" x14ac:dyDescent="0.35">
      <c r="A545" s="183"/>
      <c r="B545" s="184"/>
      <c r="C545" s="184"/>
      <c r="D545" s="201"/>
      <c r="E545" s="202" t="s">
        <v>47</v>
      </c>
      <c r="F545" s="203"/>
      <c r="G545" s="204"/>
      <c r="H545" s="194"/>
      <c r="I545" s="195"/>
      <c r="J545" s="196">
        <f ca="1">IFERROR(__xludf.DUMMYFUNCTION("IMPORTRANGE(""https://docs.google.com/spreadsheets/d/1IYY_tgx_IHuhSq3AJ5eI5OnqOPBNLWSHKh2a30DoXe8/edit?usp=sharing"",""พังงา!J440"")"),1)</f>
        <v>1</v>
      </c>
      <c r="K545" s="169"/>
      <c r="L545" s="189"/>
      <c r="M545" s="189"/>
      <c r="N545" s="189"/>
      <c r="O545" s="189"/>
      <c r="P545" s="189"/>
    </row>
    <row r="546" spans="1:16" ht="21.75" customHeight="1" x14ac:dyDescent="0.35">
      <c r="A546" s="183"/>
      <c r="B546" s="184"/>
      <c r="C546" s="184"/>
      <c r="D546" s="201"/>
      <c r="E546" s="202" t="s">
        <v>48</v>
      </c>
      <c r="F546" s="203"/>
      <c r="G546" s="204"/>
      <c r="H546" s="194"/>
      <c r="I546" s="195"/>
      <c r="J546" s="205">
        <f ca="1">IFERROR(__xludf.DUMMYFUNCTION("IMPORTRANGE(""https://docs.google.com/spreadsheets/d/1IYY_tgx_IHuhSq3AJ5eI5OnqOPBNLWSHKh2a30DoXe8/edit?usp=sharing"",""พังงา!J441"")"),1)</f>
        <v>1</v>
      </c>
      <c r="K546" s="169"/>
      <c r="L546" s="189"/>
      <c r="M546" s="189"/>
      <c r="N546" s="189"/>
      <c r="O546" s="189"/>
      <c r="P546" s="189"/>
    </row>
    <row r="547" spans="1:16" ht="21.75" customHeight="1" x14ac:dyDescent="0.35">
      <c r="A547" s="183"/>
      <c r="B547" s="184"/>
      <c r="C547" s="184"/>
      <c r="D547" s="201"/>
      <c r="E547" s="206"/>
      <c r="F547" s="203"/>
      <c r="G547" s="233" t="s">
        <v>203</v>
      </c>
      <c r="H547" s="194" t="s">
        <v>37</v>
      </c>
      <c r="I547" s="211">
        <f ca="1">IFERROR(__xludf.DUMMYFUNCTION("IMPORTRANGE(""https://docs.google.com/spreadsheets/d/1IYY_tgx_IHuhSq3AJ5eI5OnqOPBNLWSHKh2a30DoXe8/edit?usp=sharing"",""พังงา!I442"")"),24)</f>
        <v>24</v>
      </c>
      <c r="J547" s="196">
        <f ca="1">IFERROR(__xludf.DUMMYFUNCTION("IMPORTRANGE(""https://docs.google.com/spreadsheets/d/1IYY_tgx_IHuhSq3AJ5eI5OnqOPBNLWSHKh2a30DoXe8/edit?usp=sharing"",""พังงา!J442"")"),24)</f>
        <v>24</v>
      </c>
      <c r="K547" s="169">
        <f t="shared" ref="K547:K548" ca="1" si="119">IF(I547&gt;0,J547*100/I547,0)</f>
        <v>100</v>
      </c>
      <c r="L547" s="189"/>
      <c r="M547" s="189"/>
      <c r="N547" s="189"/>
      <c r="O547" s="189"/>
      <c r="P547" s="189"/>
    </row>
    <row r="548" spans="1:16" ht="21.75" hidden="1" customHeight="1" x14ac:dyDescent="0.35">
      <c r="A548" s="183"/>
      <c r="B548" s="184"/>
      <c r="C548" s="184"/>
      <c r="D548" s="201"/>
      <c r="E548" s="206"/>
      <c r="F548" s="203"/>
      <c r="G548" s="233" t="s">
        <v>204</v>
      </c>
      <c r="H548" s="194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5">
        <f ca="1">IFERROR(__xludf.DUMMYFUNCTION("IMPORTRANGE(""https://docs.google.com/spreadsheets/d/1IYY_tgx_IHuhSq3AJ5eI5OnqOPBNLWSHKh2a30DoXe8/edit?usp=sharing"",""พังงา!J166"")"),0)</f>
        <v>0</v>
      </c>
      <c r="K548" s="169">
        <f t="shared" ca="1" si="119"/>
        <v>0</v>
      </c>
      <c r="L548" s="189"/>
      <c r="M548" s="189"/>
      <c r="N548" s="189"/>
      <c r="O548" s="189"/>
      <c r="P548" s="189"/>
    </row>
    <row r="549" spans="1:16" ht="21.75" customHeight="1" x14ac:dyDescent="0.35">
      <c r="A549" s="183"/>
      <c r="B549" s="184"/>
      <c r="C549" s="184"/>
      <c r="D549" s="201"/>
      <c r="E549" s="202" t="s">
        <v>54</v>
      </c>
      <c r="F549" s="203"/>
      <c r="G549" s="204"/>
      <c r="H549" s="194"/>
      <c r="I549" s="195"/>
      <c r="J549" s="205">
        <f ca="1">IFERROR(__xludf.DUMMYFUNCTION("IMPORTRANGE(""https://docs.google.com/spreadsheets/d/1IYY_tgx_IHuhSq3AJ5eI5OnqOPBNLWSHKh2a30DoXe8/edit?usp=sharing"",""พังงา!J444"")"),0)</f>
        <v>0</v>
      </c>
      <c r="K549" s="169"/>
      <c r="L549" s="189"/>
      <c r="M549" s="189"/>
      <c r="N549" s="189"/>
      <c r="O549" s="189"/>
      <c r="P549" s="189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IFERROR(__xludf.DUMMYFUNCTION("IMPORTRANGE(""https://docs.google.com/spreadsheets/d/1IYY_tgx_IHuhSq3AJ5eI5OnqOPBNLWSHKh2a30DoXe8/edit?usp=sharing"",""พังงา!J445"")"),0)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IFERROR(__xludf.DUMMYFUNCTION("IMPORTRANGE(""https://docs.google.com/spreadsheets/d/1IYY_tgx_IHuhSq3AJ5eI5OnqOPBNLWSHKh2a30DoXe8/edit?usp=sharing"",""พังงา!I446"")"),0)</f>
        <v>0</v>
      </c>
      <c r="J551" s="416">
        <f ca="1">IFERROR(__xludf.DUMMYFUNCTION("IMPORTRANGE(""https://docs.google.com/spreadsheets/d/1IYY_tgx_IHuhSq3AJ5eI5OnqOPBNLWSHKh2a30DoXe8/edit?usp=sharing"",""พังงา!J446"")"),0)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IFERROR(__xludf.DUMMYFUNCTION("IMPORTRANGE(""https://docs.google.com/spreadsheets/d/1IYY_tgx_IHuhSq3AJ5eI5OnqOPBNLWSHKh2a30DoXe8/edit?usp=sharing"",""พังงา!L446"")"),0)</f>
        <v>0</v>
      </c>
      <c r="M551" s="418"/>
      <c r="N551" s="418">
        <f ca="1">IFERROR(__xludf.DUMMYFUNCTION("IMPORTRANGE(""https://docs.google.com/spreadsheets/d/1IYY_tgx_IHuhSq3AJ5eI5OnqOPBNLWSHKh2a30DoXe8/edit?usp=sharing"",""พังงา!M446"")"),0)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164" t="s">
        <v>38</v>
      </c>
      <c r="E552" s="165"/>
      <c r="F552" s="165"/>
      <c r="G552" s="166" t="s">
        <v>39</v>
      </c>
      <c r="H552" s="167" t="s">
        <v>12</v>
      </c>
      <c r="I552" s="168" t="s">
        <v>40</v>
      </c>
      <c r="J552" s="168"/>
      <c r="K552" s="169"/>
      <c r="L552" s="170">
        <f ca="1">IFERROR(__xludf.DUMMYFUNCTION("IMPORTRANGE(""https://docs.google.com/spreadsheets/d/1IYY_tgx_IHuhSq3AJ5eI5OnqOPBNLWSHKh2a30DoXe8/edit?usp=sharing"",""พังงา!L447"")"),0)</f>
        <v>0</v>
      </c>
      <c r="M552" s="170"/>
      <c r="N552" s="176">
        <f ca="1">IFERROR(__xludf.DUMMYFUNCTION("IMPORTRANGE(""https://docs.google.com/spreadsheets/d/1IYY_tgx_IHuhSq3AJ5eI5OnqOPBNLWSHKh2a30DoXe8/edit?usp=sharing"",""พังงา!M447"")"),0)</f>
        <v>0</v>
      </c>
      <c r="O552" s="176">
        <f t="shared" ca="1" si="120"/>
        <v>0</v>
      </c>
      <c r="P552" s="176"/>
    </row>
    <row r="553" spans="1:16" ht="21.75" customHeight="1" x14ac:dyDescent="0.35">
      <c r="A553" s="162"/>
      <c r="B553" s="163"/>
      <c r="C553" s="163"/>
      <c r="D553" s="172"/>
      <c r="E553" s="165"/>
      <c r="F553" s="165" t="s">
        <v>40</v>
      </c>
      <c r="G553" s="166" t="s">
        <v>41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IFERROR(__xludf.DUMMYFUNCTION("IMPORTRANGE(""https://docs.google.com/spreadsheets/d/1IYY_tgx_IHuhSq3AJ5eI5OnqOPBNLWSHKh2a30DoXe8/edit?usp=sharing"",""พังงา!L448"")"),0)</f>
        <v>0</v>
      </c>
      <c r="M553" s="171"/>
      <c r="N553" s="176">
        <f ca="1">IFERROR(__xludf.DUMMYFUNCTION("IMPORTRANGE(""https://docs.google.com/spreadsheets/d/1IYY_tgx_IHuhSq3AJ5eI5OnqOPBNLWSHKh2a30DoXe8/edit?usp=sharing"",""พังงา!M448"")"),0)</f>
        <v>0</v>
      </c>
      <c r="O553" s="176">
        <f t="shared" ca="1" si="120"/>
        <v>0</v>
      </c>
      <c r="P553" s="176"/>
    </row>
    <row r="554" spans="1:16" ht="21.75" customHeight="1" x14ac:dyDescent="0.35">
      <c r="A554" s="162"/>
      <c r="B554" s="163"/>
      <c r="C554" s="163"/>
      <c r="D554" s="172"/>
      <c r="E554" s="165"/>
      <c r="F554" s="165"/>
      <c r="G554" s="380" t="s">
        <v>129</v>
      </c>
      <c r="H554" s="167" t="s">
        <v>12</v>
      </c>
      <c r="I554" s="168"/>
      <c r="J554" s="168"/>
      <c r="K554" s="169"/>
      <c r="L554" s="176">
        <f ca="1">IFERROR(__xludf.DUMMYFUNCTION("IMPORTRANGE(""https://docs.google.com/spreadsheets/d/1IYY_tgx_IHuhSq3AJ5eI5OnqOPBNLWSHKh2a30DoXe8/edit?usp=sharing"",""พังงา!L449"")"),0)</f>
        <v>0</v>
      </c>
      <c r="M554" s="176"/>
      <c r="N554" s="176">
        <f ca="1">IFERROR(__xludf.DUMMYFUNCTION("IMPORTRANGE(""https://docs.google.com/spreadsheets/d/1IYY_tgx_IHuhSq3AJ5eI5OnqOPBNLWSHKh2a30DoXe8/edit?usp=sharing"",""พังงา!M449"")"),0)</f>
        <v>0</v>
      </c>
      <c r="O554" s="176">
        <f t="shared" ca="1" si="120"/>
        <v>0</v>
      </c>
      <c r="P554" s="176"/>
    </row>
    <row r="555" spans="1:16" ht="21.75" customHeight="1" x14ac:dyDescent="0.35">
      <c r="A555" s="162"/>
      <c r="B555" s="163"/>
      <c r="C555" s="163"/>
      <c r="D555" s="172"/>
      <c r="E555" s="165"/>
      <c r="F555" s="165"/>
      <c r="G555" s="380" t="s">
        <v>130</v>
      </c>
      <c r="H555" s="167" t="s">
        <v>12</v>
      </c>
      <c r="I555" s="168"/>
      <c r="J555" s="168"/>
      <c r="K555" s="169"/>
      <c r="L555" s="176">
        <f ca="1">IFERROR(__xludf.DUMMYFUNCTION("IMPORTRANGE(""https://docs.google.com/spreadsheets/d/1IYY_tgx_IHuhSq3AJ5eI5OnqOPBNLWSHKh2a30DoXe8/edit?usp=sharing"",""พังงา!L450"")"),0)</f>
        <v>0</v>
      </c>
      <c r="M555" s="176"/>
      <c r="N555" s="176">
        <f ca="1">IFERROR(__xludf.DUMMYFUNCTION("IMPORTRANGE(""https://docs.google.com/spreadsheets/d/1IYY_tgx_IHuhSq3AJ5eI5OnqOPBNLWSHKh2a30DoXe8/edit?usp=sharing"",""พังงา!M450"")"),0)</f>
        <v>0</v>
      </c>
      <c r="O555" s="176">
        <f t="shared" ca="1" si="120"/>
        <v>0</v>
      </c>
      <c r="P555" s="176"/>
    </row>
    <row r="556" spans="1:16" ht="21.75" customHeight="1" x14ac:dyDescent="0.35">
      <c r="A556" s="381"/>
      <c r="B556" s="382"/>
      <c r="C556" s="163"/>
      <c r="D556" s="383"/>
      <c r="E556" s="165"/>
      <c r="F556" s="165"/>
      <c r="G556" s="384" t="s">
        <v>131</v>
      </c>
      <c r="H556" s="167" t="s">
        <v>12</v>
      </c>
      <c r="I556" s="195"/>
      <c r="J556" s="195"/>
      <c r="K556" s="231"/>
      <c r="L556" s="176"/>
      <c r="M556" s="176"/>
      <c r="N556" s="173">
        <f ca="1">IFERROR(__xludf.DUMMYFUNCTION("IMPORTRANGE(""https://docs.google.com/spreadsheets/d/1IYY_tgx_IHuhSq3AJ5eI5OnqOPBNLWSHKh2a30DoXe8/edit?usp=sharing"",""พังงา!M451"")"),0)</f>
        <v>0</v>
      </c>
      <c r="O556" s="176"/>
      <c r="P556" s="176"/>
    </row>
    <row r="557" spans="1:16" ht="21.75" customHeight="1" x14ac:dyDescent="0.35">
      <c r="A557" s="381"/>
      <c r="B557" s="382"/>
      <c r="C557" s="163"/>
      <c r="D557" s="383"/>
      <c r="E557" s="165"/>
      <c r="F557" s="165"/>
      <c r="G557" s="384" t="s">
        <v>132</v>
      </c>
      <c r="H557" s="167" t="s">
        <v>12</v>
      </c>
      <c r="I557" s="195"/>
      <c r="J557" s="195"/>
      <c r="K557" s="231"/>
      <c r="L557" s="176"/>
      <c r="M557" s="176"/>
      <c r="N557" s="173">
        <f ca="1">IFERROR(__xludf.DUMMYFUNCTION("IMPORTRANGE(""https://docs.google.com/spreadsheets/d/1IYY_tgx_IHuhSq3AJ5eI5OnqOPBNLWSHKh2a30DoXe8/edit?usp=sharing"",""พังงา!M452"")"),0)</f>
        <v>0</v>
      </c>
      <c r="O557" s="176"/>
      <c r="P557" s="176"/>
    </row>
    <row r="558" spans="1:16" ht="21.75" customHeight="1" x14ac:dyDescent="0.35">
      <c r="A558" s="381"/>
      <c r="B558" s="382"/>
      <c r="C558" s="163"/>
      <c r="D558" s="383"/>
      <c r="E558" s="165"/>
      <c r="F558" s="165"/>
      <c r="G558" s="384" t="s">
        <v>133</v>
      </c>
      <c r="H558" s="167" t="s">
        <v>12</v>
      </c>
      <c r="I558" s="195"/>
      <c r="J558" s="195"/>
      <c r="K558" s="231"/>
      <c r="L558" s="176"/>
      <c r="M558" s="176"/>
      <c r="N558" s="173">
        <f ca="1">IFERROR(__xludf.DUMMYFUNCTION("IMPORTRANGE(""https://docs.google.com/spreadsheets/d/1IYY_tgx_IHuhSq3AJ5eI5OnqOPBNLWSHKh2a30DoXe8/edit?usp=sharing"",""พังงา!M453"")"),0)</f>
        <v>0</v>
      </c>
      <c r="O558" s="176"/>
      <c r="P558" s="176"/>
    </row>
    <row r="559" spans="1:16" ht="21.75" customHeight="1" x14ac:dyDescent="0.35">
      <c r="A559" s="381"/>
      <c r="B559" s="382"/>
      <c r="C559" s="163"/>
      <c r="D559" s="383"/>
      <c r="E559" s="165"/>
      <c r="F559" s="165"/>
      <c r="G559" s="384" t="s">
        <v>134</v>
      </c>
      <c r="H559" s="167" t="s">
        <v>12</v>
      </c>
      <c r="I559" s="195"/>
      <c r="J559" s="195"/>
      <c r="K559" s="231"/>
      <c r="L559" s="176"/>
      <c r="M559" s="176"/>
      <c r="N559" s="173">
        <f ca="1">IFERROR(__xludf.DUMMYFUNCTION("IMPORTRANGE(""https://docs.google.com/spreadsheets/d/1IYY_tgx_IHuhSq3AJ5eI5OnqOPBNLWSHKh2a30DoXe8/edit?usp=sharing"",""พังงา!M454"")"),0)</f>
        <v>0</v>
      </c>
      <c r="O559" s="176"/>
      <c r="P559" s="176"/>
    </row>
    <row r="560" spans="1:16" ht="21.75" customHeight="1" x14ac:dyDescent="0.35">
      <c r="A560" s="183"/>
      <c r="B560" s="184"/>
      <c r="C560" s="184"/>
      <c r="D560" s="201"/>
      <c r="E560" s="203"/>
      <c r="F560" s="285" t="s">
        <v>206</v>
      </c>
      <c r="G560" s="204"/>
      <c r="H560" s="481" t="s">
        <v>122</v>
      </c>
      <c r="I560" s="168">
        <f ca="1">IFERROR(__xludf.DUMMYFUNCTION("IMPORTRANGE(""https://docs.google.com/spreadsheets/d/1IYY_tgx_IHuhSq3AJ5eI5OnqOPBNLWSHKh2a30DoXe8/edit?usp=sharing"",""พังงา!I455"")"),0)</f>
        <v>0</v>
      </c>
      <c r="J560" s="168">
        <f ca="1">IFERROR(__xludf.DUMMYFUNCTION("IMPORTRANGE(""https://docs.google.com/spreadsheets/d/1IYY_tgx_IHuhSq3AJ5eI5OnqOPBNLWSHKh2a30DoXe8/edit?usp=sharing"",""พังงา!J455"")"),0)</f>
        <v>0</v>
      </c>
      <c r="K560" s="231">
        <f t="shared" ref="K560:K564" ca="1" si="121">IF(I560&gt;0,J560*100/I560,0)</f>
        <v>0</v>
      </c>
      <c r="L560" s="176"/>
      <c r="M560" s="176"/>
      <c r="N560" s="176"/>
      <c r="O560" s="189"/>
      <c r="P560" s="189"/>
    </row>
    <row r="561" spans="1:16" ht="21.75" customHeight="1" x14ac:dyDescent="0.35">
      <c r="A561" s="183"/>
      <c r="B561" s="184"/>
      <c r="C561" s="184"/>
      <c r="D561" s="201"/>
      <c r="E561" s="203"/>
      <c r="F561" s="203"/>
      <c r="G561" s="204"/>
      <c r="H561" s="481" t="s">
        <v>36</v>
      </c>
      <c r="I561" s="168">
        <f ca="1">IFERROR(__xludf.DUMMYFUNCTION("IMPORTRANGE(""https://docs.google.com/spreadsheets/d/1IYY_tgx_IHuhSq3AJ5eI5OnqOPBNLWSHKh2a30DoXe8/edit?usp=sharing"",""พังงา!I456"")"),0)</f>
        <v>0</v>
      </c>
      <c r="J561" s="211">
        <f ca="1">IFERROR(__xludf.DUMMYFUNCTION("IMPORTRANGE(""https://docs.google.com/spreadsheets/d/1IYY_tgx_IHuhSq3AJ5eI5OnqOPBNLWSHKh2a30DoXe8/edit?usp=sharing"",""พังงา!J456"")"),0)</f>
        <v>0</v>
      </c>
      <c r="K561" s="231">
        <f t="shared" ca="1" si="121"/>
        <v>0</v>
      </c>
      <c r="L561" s="176"/>
      <c r="M561" s="176"/>
      <c r="N561" s="176"/>
      <c r="O561" s="189"/>
      <c r="P561" s="189"/>
    </row>
    <row r="562" spans="1:16" ht="21.75" customHeight="1" x14ac:dyDescent="0.35">
      <c r="A562" s="183"/>
      <c r="B562" s="184"/>
      <c r="C562" s="184"/>
      <c r="D562" s="201"/>
      <c r="E562" s="203"/>
      <c r="F562" s="203" t="s">
        <v>207</v>
      </c>
      <c r="G562" s="204"/>
      <c r="H562" s="481" t="s">
        <v>122</v>
      </c>
      <c r="I562" s="168">
        <f ca="1">IFERROR(__xludf.DUMMYFUNCTION("IMPORTRANGE(""https://docs.google.com/spreadsheets/d/1IYY_tgx_IHuhSq3AJ5eI5OnqOPBNLWSHKh2a30DoXe8/edit?usp=sharing"",""พังงา!I457"")"),0)</f>
        <v>0</v>
      </c>
      <c r="J562" s="211" t="str">
        <f ca="1">IFERROR(__xludf.DUMMYFUNCTION("IMPORTRANGE(""https://docs.google.com/spreadsheets/d/1IYY_tgx_IHuhSq3AJ5eI5OnqOPBNLWSHKh2a30DoXe8/edit?usp=sharing"",""พังงา!J457"")"),"")</f>
        <v/>
      </c>
      <c r="K562" s="169">
        <f t="shared" ca="1" si="121"/>
        <v>0</v>
      </c>
      <c r="L562" s="189"/>
      <c r="M562" s="189"/>
      <c r="N562" s="189"/>
      <c r="O562" s="189"/>
      <c r="P562" s="189"/>
    </row>
    <row r="563" spans="1:16" ht="21.75" customHeight="1" x14ac:dyDescent="0.35">
      <c r="A563" s="183"/>
      <c r="B563" s="184"/>
      <c r="C563" s="184"/>
      <c r="D563" s="201"/>
      <c r="E563" s="203"/>
      <c r="F563" s="203"/>
      <c r="G563" s="204"/>
      <c r="H563" s="481" t="s">
        <v>36</v>
      </c>
      <c r="I563" s="168">
        <f ca="1">IFERROR(__xludf.DUMMYFUNCTION("IMPORTRANGE(""https://docs.google.com/spreadsheets/d/1IYY_tgx_IHuhSq3AJ5eI5OnqOPBNLWSHKh2a30DoXe8/edit?usp=sharing"",""พังงา!I458"")"),0)</f>
        <v>0</v>
      </c>
      <c r="J563" s="195" t="str">
        <f ca="1">IFERROR(__xludf.DUMMYFUNCTION("IMPORTRANGE(""https://docs.google.com/spreadsheets/d/1IYY_tgx_IHuhSq3AJ5eI5OnqOPBNLWSHKh2a30DoXe8/edit?usp=sharing"",""พังงา!J458"")"),"")</f>
        <v/>
      </c>
      <c r="K563" s="169">
        <f t="shared" ca="1" si="121"/>
        <v>0</v>
      </c>
      <c r="L563" s="189"/>
      <c r="M563" s="189"/>
      <c r="N563" s="189"/>
      <c r="O563" s="189"/>
      <c r="P563" s="189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IFERROR(__xludf.DUMMYFUNCTION("IMPORTRANGE(""https://docs.google.com/spreadsheets/d/1IYY_tgx_IHuhSq3AJ5eI5OnqOPBNLWSHKh2a30DoXe8/edit?usp=sharing"",""พังงา!I459"")"),400)</f>
        <v>400</v>
      </c>
      <c r="J564" s="377">
        <f ca="1">IFERROR(__xludf.DUMMYFUNCTION("IMPORTRANGE(""https://docs.google.com/spreadsheets/d/1IYY_tgx_IHuhSq3AJ5eI5OnqOPBNLWSHKh2a30DoXe8/edit?usp=sharing"",""พังงา!J459"")"),537)</f>
        <v>537</v>
      </c>
      <c r="K564" s="378">
        <f t="shared" ca="1" si="121"/>
        <v>134.25</v>
      </c>
      <c r="L564" s="379">
        <f ca="1">IFERROR(__xludf.DUMMYFUNCTION("IMPORTRANGE(""https://docs.google.com/spreadsheets/d/1IYY_tgx_IHuhSq3AJ5eI5OnqOPBNLWSHKh2a30DoXe8/edit?usp=sharing"",""พังงา!L459"")"),126880)</f>
        <v>126880</v>
      </c>
      <c r="M564" s="379"/>
      <c r="N564" s="379">
        <f ca="1">IFERROR(__xludf.DUMMYFUNCTION("IMPORTRANGE(""https://docs.google.com/spreadsheets/d/1IYY_tgx_IHuhSq3AJ5eI5OnqOPBNLWSHKh2a30DoXe8/edit?usp=sharing"",""พังงา!M459"")"),35400)</f>
        <v>35400</v>
      </c>
      <c r="O564" s="379">
        <f t="shared" ref="O564:O568" ca="1" si="122">+IF(L564&gt;0,N564*100/L564,0)</f>
        <v>27.900378310214375</v>
      </c>
      <c r="P564" s="379"/>
    </row>
    <row r="565" spans="1:16" ht="21.75" customHeight="1" x14ac:dyDescent="0.35">
      <c r="A565" s="162"/>
      <c r="B565" s="163"/>
      <c r="C565" s="163" t="s">
        <v>16</v>
      </c>
      <c r="D565" s="164" t="s">
        <v>38</v>
      </c>
      <c r="E565" s="165"/>
      <c r="F565" s="165"/>
      <c r="G565" s="166" t="s">
        <v>39</v>
      </c>
      <c r="H565" s="167" t="s">
        <v>12</v>
      </c>
      <c r="I565" s="168" t="s">
        <v>40</v>
      </c>
      <c r="J565" s="168"/>
      <c r="K565" s="169"/>
      <c r="L565" s="170">
        <f ca="1">IFERROR(__xludf.DUMMYFUNCTION("IMPORTRANGE(""https://docs.google.com/spreadsheets/d/1IYY_tgx_IHuhSq3AJ5eI5OnqOPBNLWSHKh2a30DoXe8/edit?usp=sharing"",""พังงา!L460"")"),0)</f>
        <v>0</v>
      </c>
      <c r="M565" s="170"/>
      <c r="N565" s="176">
        <f ca="1">IFERROR(__xludf.DUMMYFUNCTION("IMPORTRANGE(""https://docs.google.com/spreadsheets/d/1IYY_tgx_IHuhSq3AJ5eI5OnqOPBNLWSHKh2a30DoXe8/edit?usp=sharing"",""พังงา!M460"")"),0)</f>
        <v>0</v>
      </c>
      <c r="O565" s="176">
        <f t="shared" ca="1" si="122"/>
        <v>0</v>
      </c>
      <c r="P565" s="176"/>
    </row>
    <row r="566" spans="1:16" ht="21.75" customHeight="1" x14ac:dyDescent="0.35">
      <c r="A566" s="162"/>
      <c r="B566" s="163"/>
      <c r="C566" s="163"/>
      <c r="D566" s="172"/>
      <c r="E566" s="165"/>
      <c r="F566" s="165" t="s">
        <v>40</v>
      </c>
      <c r="G566" s="166" t="s">
        <v>41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IFERROR(__xludf.DUMMYFUNCTION("IMPORTRANGE(""https://docs.google.com/spreadsheets/d/1IYY_tgx_IHuhSq3AJ5eI5OnqOPBNLWSHKh2a30DoXe8/edit?usp=sharing"",""พังงา!L461"")"),126880)</f>
        <v>126880</v>
      </c>
      <c r="M566" s="171"/>
      <c r="N566" s="176">
        <f ca="1">IFERROR(__xludf.DUMMYFUNCTION("IMPORTRANGE(""https://docs.google.com/spreadsheets/d/1IYY_tgx_IHuhSq3AJ5eI5OnqOPBNLWSHKh2a30DoXe8/edit?usp=sharing"",""พังงา!M461"")"),35400)</f>
        <v>35400</v>
      </c>
      <c r="O566" s="176">
        <f t="shared" ca="1" si="122"/>
        <v>27.900378310214375</v>
      </c>
      <c r="P566" s="176"/>
    </row>
    <row r="567" spans="1:16" ht="21.75" customHeight="1" x14ac:dyDescent="0.35">
      <c r="A567" s="162"/>
      <c r="B567" s="163"/>
      <c r="C567" s="163"/>
      <c r="D567" s="172"/>
      <c r="E567" s="165"/>
      <c r="F567" s="165"/>
      <c r="G567" s="380" t="s">
        <v>129</v>
      </c>
      <c r="H567" s="167" t="s">
        <v>12</v>
      </c>
      <c r="I567" s="168"/>
      <c r="J567" s="168"/>
      <c r="K567" s="169"/>
      <c r="L567" s="176">
        <f ca="1">IFERROR(__xludf.DUMMYFUNCTION("IMPORTRANGE(""https://docs.google.com/spreadsheets/d/1IYY_tgx_IHuhSq3AJ5eI5OnqOPBNLWSHKh2a30DoXe8/edit?usp=sharing"",""พังงา!L462"")"),0)</f>
        <v>0</v>
      </c>
      <c r="M567" s="176"/>
      <c r="N567" s="176">
        <f ca="1">IFERROR(__xludf.DUMMYFUNCTION("IMPORTRANGE(""https://docs.google.com/spreadsheets/d/1IYY_tgx_IHuhSq3AJ5eI5OnqOPBNLWSHKh2a30DoXe8/edit?usp=sharing"",""พังงา!M462"")"),0)</f>
        <v>0</v>
      </c>
      <c r="O567" s="176">
        <f t="shared" ca="1" si="122"/>
        <v>0</v>
      </c>
      <c r="P567" s="176"/>
    </row>
    <row r="568" spans="1:16" ht="21.75" customHeight="1" x14ac:dyDescent="0.35">
      <c r="A568" s="162"/>
      <c r="B568" s="163"/>
      <c r="C568" s="163"/>
      <c r="D568" s="172"/>
      <c r="E568" s="165"/>
      <c r="F568" s="165"/>
      <c r="G568" s="380" t="s">
        <v>130</v>
      </c>
      <c r="H568" s="167" t="s">
        <v>12</v>
      </c>
      <c r="I568" s="168"/>
      <c r="J568" s="168"/>
      <c r="K568" s="169"/>
      <c r="L568" s="176">
        <f ca="1">IFERROR(__xludf.DUMMYFUNCTION("IMPORTRANGE(""https://docs.google.com/spreadsheets/d/1IYY_tgx_IHuhSq3AJ5eI5OnqOPBNLWSHKh2a30DoXe8/edit?usp=sharing"",""พังงา!L463"")"),126880)</f>
        <v>126880</v>
      </c>
      <c r="M568" s="176"/>
      <c r="N568" s="176">
        <f ca="1">IFERROR(__xludf.DUMMYFUNCTION("IMPORTRANGE(""https://docs.google.com/spreadsheets/d/1IYY_tgx_IHuhSq3AJ5eI5OnqOPBNLWSHKh2a30DoXe8/edit?usp=sharing"",""พังงา!M463"")"),35400)</f>
        <v>35400</v>
      </c>
      <c r="O568" s="176">
        <f t="shared" ca="1" si="122"/>
        <v>27.900378310214375</v>
      </c>
      <c r="P568" s="176"/>
    </row>
    <row r="569" spans="1:16" ht="21.75" customHeight="1" x14ac:dyDescent="0.35">
      <c r="A569" s="381"/>
      <c r="B569" s="382"/>
      <c r="C569" s="163"/>
      <c r="D569" s="383"/>
      <c r="E569" s="165"/>
      <c r="F569" s="165"/>
      <c r="G569" s="384" t="s">
        <v>131</v>
      </c>
      <c r="H569" s="167" t="s">
        <v>12</v>
      </c>
      <c r="I569" s="195"/>
      <c r="J569" s="195"/>
      <c r="K569" s="231"/>
      <c r="L569" s="176"/>
      <c r="M569" s="176"/>
      <c r="N569" s="173">
        <f ca="1">IFERROR(__xludf.DUMMYFUNCTION("IMPORTRANGE(""https://docs.google.com/spreadsheets/d/1IYY_tgx_IHuhSq3AJ5eI5OnqOPBNLWSHKh2a30DoXe8/edit?usp=sharing"",""พังงา!M464"")"),0)</f>
        <v>0</v>
      </c>
      <c r="O569" s="176"/>
      <c r="P569" s="176"/>
    </row>
    <row r="570" spans="1:16" ht="21.75" customHeight="1" x14ac:dyDescent="0.35">
      <c r="A570" s="381"/>
      <c r="B570" s="382"/>
      <c r="C570" s="163"/>
      <c r="D570" s="383"/>
      <c r="E570" s="165"/>
      <c r="F570" s="165"/>
      <c r="G570" s="384" t="s">
        <v>132</v>
      </c>
      <c r="H570" s="167" t="s">
        <v>12</v>
      </c>
      <c r="I570" s="195"/>
      <c r="J570" s="195"/>
      <c r="K570" s="231"/>
      <c r="L570" s="176"/>
      <c r="M570" s="176"/>
      <c r="N570" s="173">
        <f ca="1">IFERROR(__xludf.DUMMYFUNCTION("IMPORTRANGE(""https://docs.google.com/spreadsheets/d/1IYY_tgx_IHuhSq3AJ5eI5OnqOPBNLWSHKh2a30DoXe8/edit?usp=sharing"",""พังงา!M465"")"),0)</f>
        <v>0</v>
      </c>
      <c r="O570" s="176"/>
      <c r="P570" s="176"/>
    </row>
    <row r="571" spans="1:16" ht="21.75" customHeight="1" x14ac:dyDescent="0.35">
      <c r="A571" s="381"/>
      <c r="B571" s="382"/>
      <c r="C571" s="163"/>
      <c r="D571" s="383"/>
      <c r="E571" s="165"/>
      <c r="F571" s="165"/>
      <c r="G571" s="384" t="s">
        <v>133</v>
      </c>
      <c r="H571" s="167" t="s">
        <v>12</v>
      </c>
      <c r="I571" s="195"/>
      <c r="J571" s="195"/>
      <c r="K571" s="231"/>
      <c r="L571" s="176"/>
      <c r="M571" s="176"/>
      <c r="N571" s="385">
        <f ca="1">IFERROR(__xludf.DUMMYFUNCTION("IMPORTRANGE(""https://docs.google.com/spreadsheets/d/1IYY_tgx_IHuhSq3AJ5eI5OnqOPBNLWSHKh2a30DoXe8/edit?usp=sharing"",""พังงา!M466"")"),33000)</f>
        <v>33000</v>
      </c>
      <c r="O571" s="176"/>
      <c r="P571" s="176"/>
    </row>
    <row r="572" spans="1:16" ht="21.75" customHeight="1" x14ac:dyDescent="0.35">
      <c r="A572" s="381"/>
      <c r="B572" s="382"/>
      <c r="C572" s="163"/>
      <c r="D572" s="383"/>
      <c r="E572" s="165"/>
      <c r="F572" s="165"/>
      <c r="G572" s="384" t="s">
        <v>134</v>
      </c>
      <c r="H572" s="167" t="s">
        <v>12</v>
      </c>
      <c r="I572" s="195"/>
      <c r="J572" s="195"/>
      <c r="K572" s="231"/>
      <c r="L572" s="176"/>
      <c r="M572" s="176"/>
      <c r="N572" s="385">
        <f ca="1">IFERROR(__xludf.DUMMYFUNCTION("IMPORTRANGE(""https://docs.google.com/spreadsheets/d/1IYY_tgx_IHuhSq3AJ5eI5OnqOPBNLWSHKh2a30DoXe8/edit?usp=sharing"",""พังงา!M467"")"),2400)</f>
        <v>2400</v>
      </c>
      <c r="O572" s="176"/>
      <c r="P572" s="176"/>
    </row>
    <row r="573" spans="1:16" ht="21.75" customHeight="1" x14ac:dyDescent="0.35">
      <c r="A573" s="183"/>
      <c r="B573" s="184"/>
      <c r="C573" s="184"/>
      <c r="D573" s="203"/>
      <c r="E573" s="202" t="s">
        <v>40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IFERROR(__xludf.DUMMYFUNCTION("IMPORTRANGE(""https://docs.google.com/spreadsheets/d/1IYY_tgx_IHuhSq3AJ5eI5OnqOPBNLWSHKh2a30DoXe8/edit?usp=sharing"",""พังงา!I468"")"),400)</f>
        <v>400</v>
      </c>
      <c r="J573" s="426">
        <f ca="1">IFERROR(__xludf.DUMMYFUNCTION("IMPORTRANGE(""https://docs.google.com/spreadsheets/d/1IYY_tgx_IHuhSq3AJ5eI5OnqOPBNLWSHKh2a30DoXe8/edit?usp=sharing"",""พังงา!J468"")"),537)</f>
        <v>537</v>
      </c>
      <c r="K573" s="209">
        <f ca="1">IF(I573&gt;0,J573*100/I573,0)</f>
        <v>134.25</v>
      </c>
      <c r="L573" s="189"/>
      <c r="M573" s="189"/>
      <c r="N573" s="189"/>
      <c r="O573" s="189"/>
      <c r="P573" s="189"/>
    </row>
    <row r="574" spans="1:16" ht="21.75" customHeight="1" x14ac:dyDescent="0.35">
      <c r="A574" s="183"/>
      <c r="B574" s="184"/>
      <c r="C574" s="184"/>
      <c r="D574" s="203"/>
      <c r="E574" s="203"/>
      <c r="F574" s="202" t="s">
        <v>210</v>
      </c>
      <c r="G574" s="204"/>
      <c r="H574" s="481"/>
      <c r="I574" s="168"/>
      <c r="J574" s="168"/>
      <c r="K574" s="169"/>
      <c r="L574" s="189"/>
      <c r="M574" s="189"/>
      <c r="N574" s="189"/>
      <c r="O574" s="189"/>
      <c r="P574" s="189"/>
    </row>
    <row r="575" spans="1:16" ht="21.75" customHeight="1" x14ac:dyDescent="0.35">
      <c r="A575" s="183"/>
      <c r="B575" s="184"/>
      <c r="C575" s="184"/>
      <c r="D575" s="203"/>
      <c r="E575" s="202" t="s">
        <v>40</v>
      </c>
      <c r="F575" s="202" t="s">
        <v>211</v>
      </c>
      <c r="G575" s="204"/>
      <c r="H575" s="481" t="s">
        <v>77</v>
      </c>
      <c r="I575" s="210">
        <f ca="1">IFERROR(__xludf.DUMMYFUNCTION("IMPORTRANGE(""https://docs.google.com/spreadsheets/d/1IYY_tgx_IHuhSq3AJ5eI5OnqOPBNLWSHKh2a30DoXe8/edit?usp=sharing"",""พังงา!I470"")"),0)</f>
        <v>0</v>
      </c>
      <c r="J575" s="205">
        <f ca="1">IFERROR(__xludf.DUMMYFUNCTION("IMPORTRANGE(""https://docs.google.com/spreadsheets/d/1IYY_tgx_IHuhSq3AJ5eI5OnqOPBNLWSHKh2a30DoXe8/edit?usp=sharing"",""พังงา!J470"")"),2)</f>
        <v>2</v>
      </c>
      <c r="K575" s="169">
        <f t="shared" ref="K575:K579" ca="1" si="123">IF(I575&gt;0,J575*100/I575,0)</f>
        <v>0</v>
      </c>
      <c r="L575" s="189"/>
      <c r="M575" s="189"/>
      <c r="N575" s="189"/>
      <c r="O575" s="189"/>
      <c r="P575" s="189"/>
    </row>
    <row r="576" spans="1:16" ht="21.75" customHeight="1" x14ac:dyDescent="0.35">
      <c r="A576" s="183"/>
      <c r="B576" s="184"/>
      <c r="C576" s="184"/>
      <c r="D576" s="203"/>
      <c r="E576" s="203"/>
      <c r="F576" s="202" t="s">
        <v>212</v>
      </c>
      <c r="G576" s="204"/>
      <c r="H576" s="481" t="s">
        <v>37</v>
      </c>
      <c r="I576" s="210">
        <f ca="1">IFERROR(__xludf.DUMMYFUNCTION("IMPORTRANGE(""https://docs.google.com/spreadsheets/d/1IYY_tgx_IHuhSq3AJ5eI5OnqOPBNLWSHKh2a30DoXe8/edit?usp=sharing"",""พังงา!I471"")"),0)</f>
        <v>0</v>
      </c>
      <c r="J576" s="205">
        <f ca="1">IFERROR(__xludf.DUMMYFUNCTION("IMPORTRANGE(""https://docs.google.com/spreadsheets/d/1IYY_tgx_IHuhSq3AJ5eI5OnqOPBNLWSHKh2a30DoXe8/edit?usp=sharing"",""พังงา!J471"")"),86)</f>
        <v>86</v>
      </c>
      <c r="K576" s="169">
        <f t="shared" ca="1" si="123"/>
        <v>0</v>
      </c>
      <c r="L576" s="189"/>
      <c r="M576" s="189"/>
      <c r="N576" s="189"/>
      <c r="O576" s="189"/>
      <c r="P576" s="189"/>
    </row>
    <row r="577" spans="1:16" ht="21.75" customHeight="1" x14ac:dyDescent="0.35">
      <c r="A577" s="183"/>
      <c r="B577" s="184"/>
      <c r="C577" s="184"/>
      <c r="D577" s="203"/>
      <c r="E577" s="203"/>
      <c r="F577" s="202" t="s">
        <v>213</v>
      </c>
      <c r="G577" s="204"/>
      <c r="H577" s="481" t="s">
        <v>37</v>
      </c>
      <c r="I577" s="210">
        <f ca="1">IFERROR(__xludf.DUMMYFUNCTION("IMPORTRANGE(""https://docs.google.com/spreadsheets/d/1IYY_tgx_IHuhSq3AJ5eI5OnqOPBNLWSHKh2a30DoXe8/edit?usp=sharing"",""พังงา!I472"")"),0)</f>
        <v>0</v>
      </c>
      <c r="J577" s="196">
        <f ca="1">IFERROR(__xludf.DUMMYFUNCTION("IMPORTRANGE(""https://docs.google.com/spreadsheets/d/1IYY_tgx_IHuhSq3AJ5eI5OnqOPBNLWSHKh2a30DoXe8/edit?usp=sharing"",""พังงา!J472"")"),451)</f>
        <v>451</v>
      </c>
      <c r="K577" s="169">
        <f t="shared" ca="1" si="123"/>
        <v>0</v>
      </c>
      <c r="L577" s="189"/>
      <c r="M577" s="189"/>
      <c r="N577" s="189"/>
      <c r="O577" s="189"/>
      <c r="P577" s="189"/>
    </row>
    <row r="578" spans="1:16" ht="21.75" customHeight="1" x14ac:dyDescent="0.35">
      <c r="A578" s="183"/>
      <c r="B578" s="184"/>
      <c r="C578" s="184"/>
      <c r="D578" s="203"/>
      <c r="E578" s="203"/>
      <c r="F578" s="202" t="s">
        <v>214</v>
      </c>
      <c r="G578" s="427"/>
      <c r="H578" s="481" t="s">
        <v>37</v>
      </c>
      <c r="I578" s="210">
        <f ca="1">IFERROR(__xludf.DUMMYFUNCTION("IMPORTRANGE(""https://docs.google.com/spreadsheets/d/1IYY_tgx_IHuhSq3AJ5eI5OnqOPBNLWSHKh2a30DoXe8/edit?usp=sharing"",""พังงา!I473"")"),0)</f>
        <v>0</v>
      </c>
      <c r="J578" s="205">
        <f ca="1">IFERROR(__xludf.DUMMYFUNCTION("IMPORTRANGE(""https://docs.google.com/spreadsheets/d/1IYY_tgx_IHuhSq3AJ5eI5OnqOPBNLWSHKh2a30DoXe8/edit?usp=sharing"",""พังงา!J473"")"),0)</f>
        <v>0</v>
      </c>
      <c r="K578" s="169">
        <f t="shared" ca="1" si="123"/>
        <v>0</v>
      </c>
      <c r="L578" s="189"/>
      <c r="M578" s="189"/>
      <c r="N578" s="189"/>
      <c r="O578" s="189"/>
      <c r="P578" s="189"/>
    </row>
    <row r="579" spans="1:16" ht="21.75" customHeight="1" x14ac:dyDescent="0.35">
      <c r="A579" s="183"/>
      <c r="B579" s="184"/>
      <c r="C579" s="184"/>
      <c r="D579" s="203"/>
      <c r="E579" s="203"/>
      <c r="F579" s="202" t="s">
        <v>215</v>
      </c>
      <c r="G579" s="427"/>
      <c r="H579" s="481" t="s">
        <v>37</v>
      </c>
      <c r="I579" s="210">
        <f ca="1">IFERROR(__xludf.DUMMYFUNCTION("IMPORTRANGE(""https://docs.google.com/spreadsheets/d/1IYY_tgx_IHuhSq3AJ5eI5OnqOPBNLWSHKh2a30DoXe8/edit?usp=sharing"",""พังงา!I474"")"),0)</f>
        <v>0</v>
      </c>
      <c r="J579" s="205">
        <f ca="1">IFERROR(__xludf.DUMMYFUNCTION("IMPORTRANGE(""https://docs.google.com/spreadsheets/d/1IYY_tgx_IHuhSq3AJ5eI5OnqOPBNLWSHKh2a30DoXe8/edit?usp=sharing"",""พังงา!J474"")"),0)</f>
        <v>0</v>
      </c>
      <c r="K579" s="169">
        <f t="shared" ca="1" si="123"/>
        <v>0</v>
      </c>
      <c r="L579" s="189"/>
      <c r="M579" s="189"/>
      <c r="N579" s="189"/>
      <c r="O579" s="189"/>
      <c r="P579" s="189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IFERROR(__xludf.DUMMYFUNCTION("IMPORTRANGE(""https://docs.google.com/spreadsheets/d/1IYY_tgx_IHuhSq3AJ5eI5OnqOPBNLWSHKh2a30DoXe8/edit?usp=sharing"",""พังงา!I475"")"),0)</f>
        <v>0</v>
      </c>
      <c r="J580" s="377">
        <f ca="1">IFERROR(__xludf.DUMMYFUNCTION("IMPORTRANGE(""https://docs.google.com/spreadsheets/d/1IYY_tgx_IHuhSq3AJ5eI5OnqOPBNLWSHKh2a30DoXe8/edit?usp=sharing"",""พังงา!J475"")"),0)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IFERROR(__xludf.DUMMYFUNCTION("IMPORTRANGE(""https://docs.google.com/spreadsheets/d/1IYY_tgx_IHuhSq3AJ5eI5OnqOPBNLWSHKh2a30DoXe8/edit?usp=sharing"",""พังงา!L475"")"),0)</f>
        <v>0</v>
      </c>
      <c r="M580" s="379"/>
      <c r="N580" s="379">
        <f ca="1">IFERROR(__xludf.DUMMYFUNCTION("IMPORTRANGE(""https://docs.google.com/spreadsheets/d/1IYY_tgx_IHuhSq3AJ5eI5OnqOPBNLWSHKh2a30DoXe8/edit?usp=sharing"",""พังงา!M475"")"),0)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164" t="s">
        <v>38</v>
      </c>
      <c r="E581" s="165"/>
      <c r="F581" s="165"/>
      <c r="G581" s="166" t="s">
        <v>39</v>
      </c>
      <c r="H581" s="167" t="s">
        <v>12</v>
      </c>
      <c r="I581" s="168" t="s">
        <v>40</v>
      </c>
      <c r="J581" s="168"/>
      <c r="K581" s="169"/>
      <c r="L581" s="170">
        <f ca="1">IFERROR(__xludf.DUMMYFUNCTION("IMPORTRANGE(""https://docs.google.com/spreadsheets/d/1IYY_tgx_IHuhSq3AJ5eI5OnqOPBNLWSHKh2a30DoXe8/edit?usp=sharing"",""พังงา!L476"")"),0)</f>
        <v>0</v>
      </c>
      <c r="M581" s="170"/>
      <c r="N581" s="176">
        <f ca="1">IFERROR(__xludf.DUMMYFUNCTION("IMPORTRANGE(""https://docs.google.com/spreadsheets/d/1IYY_tgx_IHuhSq3AJ5eI5OnqOPBNLWSHKh2a30DoXe8/edit?usp=sharing"",""พังงา!M476"")"),0)</f>
        <v>0</v>
      </c>
      <c r="O581" s="176">
        <f t="shared" ca="1" si="124"/>
        <v>0</v>
      </c>
      <c r="P581" s="176"/>
    </row>
    <row r="582" spans="1:16" ht="21.75" customHeight="1" x14ac:dyDescent="0.35">
      <c r="A582" s="162"/>
      <c r="B582" s="163"/>
      <c r="C582" s="163"/>
      <c r="D582" s="172"/>
      <c r="E582" s="165"/>
      <c r="F582" s="165" t="s">
        <v>40</v>
      </c>
      <c r="G582" s="166" t="s">
        <v>41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IFERROR(__xludf.DUMMYFUNCTION("IMPORTRANGE(""https://docs.google.com/spreadsheets/d/1IYY_tgx_IHuhSq3AJ5eI5OnqOPBNLWSHKh2a30DoXe8/edit?usp=sharing"",""พังงา!L477"")"),0)</f>
        <v>0</v>
      </c>
      <c r="M582" s="171"/>
      <c r="N582" s="176">
        <f ca="1">IFERROR(__xludf.DUMMYFUNCTION("IMPORTRANGE(""https://docs.google.com/spreadsheets/d/1IYY_tgx_IHuhSq3AJ5eI5OnqOPBNLWSHKh2a30DoXe8/edit?usp=sharing"",""พังงา!M477"")"),0)</f>
        <v>0</v>
      </c>
      <c r="O582" s="176">
        <f t="shared" ca="1" si="124"/>
        <v>0</v>
      </c>
      <c r="P582" s="176"/>
    </row>
    <row r="583" spans="1:16" ht="21.75" customHeight="1" x14ac:dyDescent="0.35">
      <c r="A583" s="162"/>
      <c r="B583" s="163"/>
      <c r="C583" s="163"/>
      <c r="D583" s="172"/>
      <c r="E583" s="165"/>
      <c r="F583" s="165"/>
      <c r="G583" s="380" t="s">
        <v>129</v>
      </c>
      <c r="H583" s="167" t="s">
        <v>12</v>
      </c>
      <c r="I583" s="168"/>
      <c r="J583" s="168"/>
      <c r="K583" s="169"/>
      <c r="L583" s="176">
        <f ca="1">IFERROR(__xludf.DUMMYFUNCTION("IMPORTRANGE(""https://docs.google.com/spreadsheets/d/1IYY_tgx_IHuhSq3AJ5eI5OnqOPBNLWSHKh2a30DoXe8/edit?usp=sharing"",""พังงา!L478"")"),0)</f>
        <v>0</v>
      </c>
      <c r="M583" s="176"/>
      <c r="N583" s="176">
        <f ca="1">IFERROR(__xludf.DUMMYFUNCTION("IMPORTRANGE(""https://docs.google.com/spreadsheets/d/1IYY_tgx_IHuhSq3AJ5eI5OnqOPBNLWSHKh2a30DoXe8/edit?usp=sharing"",""พังงา!M478"")"),0)</f>
        <v>0</v>
      </c>
      <c r="O583" s="176">
        <f t="shared" ca="1" si="124"/>
        <v>0</v>
      </c>
      <c r="P583" s="176"/>
    </row>
    <row r="584" spans="1:16" ht="21.75" customHeight="1" x14ac:dyDescent="0.35">
      <c r="A584" s="162"/>
      <c r="B584" s="163"/>
      <c r="C584" s="163"/>
      <c r="D584" s="172"/>
      <c r="E584" s="165"/>
      <c r="F584" s="165"/>
      <c r="G584" s="380" t="s">
        <v>130</v>
      </c>
      <c r="H584" s="167" t="s">
        <v>12</v>
      </c>
      <c r="I584" s="168"/>
      <c r="J584" s="168"/>
      <c r="K584" s="169"/>
      <c r="L584" s="176">
        <f ca="1">IFERROR(__xludf.DUMMYFUNCTION("IMPORTRANGE(""https://docs.google.com/spreadsheets/d/1IYY_tgx_IHuhSq3AJ5eI5OnqOPBNLWSHKh2a30DoXe8/edit?usp=sharing"",""พังงา!L479"")"),0)</f>
        <v>0</v>
      </c>
      <c r="M584" s="176"/>
      <c r="N584" s="176">
        <f ca="1">IFERROR(__xludf.DUMMYFUNCTION("IMPORTRANGE(""https://docs.google.com/spreadsheets/d/1IYY_tgx_IHuhSq3AJ5eI5OnqOPBNLWSHKh2a30DoXe8/edit?usp=sharing"",""พังงา!M479"")"),0)</f>
        <v>0</v>
      </c>
      <c r="O584" s="176">
        <f t="shared" ca="1" si="124"/>
        <v>0</v>
      </c>
      <c r="P584" s="176"/>
    </row>
    <row r="585" spans="1:16" ht="21.75" customHeight="1" x14ac:dyDescent="0.35">
      <c r="A585" s="381"/>
      <c r="B585" s="382"/>
      <c r="C585" s="163"/>
      <c r="D585" s="383"/>
      <c r="E585" s="165"/>
      <c r="F585" s="165"/>
      <c r="G585" s="384" t="s">
        <v>131</v>
      </c>
      <c r="H585" s="167" t="s">
        <v>12</v>
      </c>
      <c r="I585" s="195"/>
      <c r="J585" s="195"/>
      <c r="K585" s="231"/>
      <c r="L585" s="176"/>
      <c r="M585" s="176"/>
      <c r="N585" s="173">
        <f ca="1">IFERROR(__xludf.DUMMYFUNCTION("IMPORTRANGE(""https://docs.google.com/spreadsheets/d/1IYY_tgx_IHuhSq3AJ5eI5OnqOPBNLWSHKh2a30DoXe8/edit?usp=sharing"",""พังงา!M480"")"),0)</f>
        <v>0</v>
      </c>
      <c r="O585" s="176"/>
      <c r="P585" s="176"/>
    </row>
    <row r="586" spans="1:16" ht="21.75" customHeight="1" x14ac:dyDescent="0.35">
      <c r="A586" s="381"/>
      <c r="B586" s="382"/>
      <c r="C586" s="163"/>
      <c r="D586" s="383"/>
      <c r="E586" s="165"/>
      <c r="F586" s="165"/>
      <c r="G586" s="384" t="s">
        <v>132</v>
      </c>
      <c r="H586" s="167" t="s">
        <v>12</v>
      </c>
      <c r="I586" s="195"/>
      <c r="J586" s="195"/>
      <c r="K586" s="231"/>
      <c r="L586" s="176"/>
      <c r="M586" s="176"/>
      <c r="N586" s="173">
        <f ca="1">IFERROR(__xludf.DUMMYFUNCTION("IMPORTRANGE(""https://docs.google.com/spreadsheets/d/1IYY_tgx_IHuhSq3AJ5eI5OnqOPBNLWSHKh2a30DoXe8/edit?usp=sharing"",""พังงา!M481"")"),0)</f>
        <v>0</v>
      </c>
      <c r="O586" s="176"/>
      <c r="P586" s="176"/>
    </row>
    <row r="587" spans="1:16" ht="21.75" customHeight="1" x14ac:dyDescent="0.35">
      <c r="A587" s="381"/>
      <c r="B587" s="382"/>
      <c r="C587" s="163"/>
      <c r="D587" s="383"/>
      <c r="E587" s="165"/>
      <c r="F587" s="165"/>
      <c r="G587" s="384" t="s">
        <v>133</v>
      </c>
      <c r="H587" s="167" t="s">
        <v>12</v>
      </c>
      <c r="I587" s="195"/>
      <c r="J587" s="195"/>
      <c r="K587" s="231"/>
      <c r="L587" s="176"/>
      <c r="M587" s="176"/>
      <c r="N587" s="173">
        <f ca="1">IFERROR(__xludf.DUMMYFUNCTION("IMPORTRANGE(""https://docs.google.com/spreadsheets/d/1IYY_tgx_IHuhSq3AJ5eI5OnqOPBNLWSHKh2a30DoXe8/edit?usp=sharing"",""พังงา!M482"")"),0)</f>
        <v>0</v>
      </c>
      <c r="O587" s="176"/>
      <c r="P587" s="176"/>
    </row>
    <row r="588" spans="1:16" ht="21.75" customHeight="1" x14ac:dyDescent="0.35">
      <c r="A588" s="381"/>
      <c r="B588" s="382"/>
      <c r="C588" s="163"/>
      <c r="D588" s="383"/>
      <c r="E588" s="165"/>
      <c r="F588" s="165"/>
      <c r="G588" s="384" t="s">
        <v>134</v>
      </c>
      <c r="H588" s="167" t="s">
        <v>12</v>
      </c>
      <c r="I588" s="195"/>
      <c r="J588" s="195"/>
      <c r="K588" s="231"/>
      <c r="L588" s="176"/>
      <c r="M588" s="176"/>
      <c r="N588" s="173">
        <f ca="1">IFERROR(__xludf.DUMMYFUNCTION("IMPORTRANGE(""https://docs.google.com/spreadsheets/d/1IYY_tgx_IHuhSq3AJ5eI5OnqOPBNLWSHKh2a30DoXe8/edit?usp=sharing"",""พังงา!M483"")"),0)</f>
        <v>0</v>
      </c>
      <c r="O588" s="176"/>
      <c r="P588" s="176"/>
    </row>
    <row r="589" spans="1:16" ht="21.75" customHeight="1" x14ac:dyDescent="0.35">
      <c r="A589" s="484"/>
      <c r="B589" s="172"/>
      <c r="C589" s="163"/>
      <c r="D589" s="297"/>
      <c r="E589" s="202" t="s">
        <v>217</v>
      </c>
      <c r="F589" s="203"/>
      <c r="G589" s="204"/>
      <c r="H589" s="188" t="s">
        <v>36</v>
      </c>
      <c r="I589" s="347">
        <f ca="1">IFERROR(__xludf.DUMMYFUNCTION("IMPORTRANGE(""https://docs.google.com/spreadsheets/d/1IYY_tgx_IHuhSq3AJ5eI5OnqOPBNLWSHKh2a30DoXe8/edit?usp=sharing"",""พังงา!I484"")"),0)</f>
        <v>0</v>
      </c>
      <c r="J589" s="195">
        <f ca="1">IFERROR(__xludf.DUMMYFUNCTION("IMPORTRANGE(""https://docs.google.com/spreadsheets/d/1IYY_tgx_IHuhSq3AJ5eI5OnqOPBNLWSHKh2a30DoXe8/edit?usp=sharing"",""พังงา!J484"")"),0)</f>
        <v>0</v>
      </c>
      <c r="K589" s="169">
        <f t="shared" ref="K589:K596" ca="1" si="125">IF(I589&gt;0,J589*100/I589,0)</f>
        <v>0</v>
      </c>
      <c r="L589" s="189"/>
      <c r="M589" s="189"/>
      <c r="N589" s="176"/>
      <c r="O589" s="189"/>
      <c r="P589" s="189"/>
    </row>
    <row r="590" spans="1:16" ht="21.75" customHeight="1" x14ac:dyDescent="0.35">
      <c r="A590" s="484"/>
      <c r="B590" s="172"/>
      <c r="C590" s="163"/>
      <c r="D590" s="297"/>
      <c r="E590" s="203"/>
      <c r="F590" s="203"/>
      <c r="G590" s="204"/>
      <c r="H590" s="188" t="s">
        <v>122</v>
      </c>
      <c r="I590" s="351">
        <f ca="1">IFERROR(__xludf.DUMMYFUNCTION("IMPORTRANGE(""https://docs.google.com/spreadsheets/d/1IYY_tgx_IHuhSq3AJ5eI5OnqOPBNLWSHKh2a30DoXe8/edit?usp=sharing"",""พังงา!I485"")"),0)</f>
        <v>0</v>
      </c>
      <c r="J590" s="195">
        <f ca="1">IFERROR(__xludf.DUMMYFUNCTION("IMPORTRANGE(""https://docs.google.com/spreadsheets/d/1IYY_tgx_IHuhSq3AJ5eI5OnqOPBNLWSHKh2a30DoXe8/edit?usp=sharing"",""พังงา!J485"")"),0)</f>
        <v>0</v>
      </c>
      <c r="K590" s="485">
        <f t="shared" ca="1" si="125"/>
        <v>0</v>
      </c>
      <c r="L590" s="189"/>
      <c r="M590" s="189"/>
      <c r="N590" s="176"/>
      <c r="O590" s="189"/>
      <c r="P590" s="189"/>
    </row>
    <row r="591" spans="1:16" ht="21.75" customHeight="1" x14ac:dyDescent="0.35">
      <c r="A591" s="484"/>
      <c r="B591" s="172"/>
      <c r="C591" s="163"/>
      <c r="D591" s="297"/>
      <c r="E591" s="202" t="s">
        <v>123</v>
      </c>
      <c r="F591" s="203"/>
      <c r="G591" s="204"/>
      <c r="H591" s="188" t="s">
        <v>37</v>
      </c>
      <c r="I591" s="347">
        <f ca="1">IFERROR(__xludf.DUMMYFUNCTION("IMPORTRANGE(""https://docs.google.com/spreadsheets/d/1IYY_tgx_IHuhSq3AJ5eI5OnqOPBNLWSHKh2a30DoXe8/edit?usp=sharing"",""พังงา!I486"")"),0)</f>
        <v>0</v>
      </c>
      <c r="J591" s="195">
        <f ca="1">IFERROR(__xludf.DUMMYFUNCTION("IMPORTRANGE(""https://docs.google.com/spreadsheets/d/1IYY_tgx_IHuhSq3AJ5eI5OnqOPBNLWSHKh2a30DoXe8/edit?usp=sharing"",""พังงา!J486"")"),0)</f>
        <v>0</v>
      </c>
      <c r="K591" s="169">
        <f t="shared" ca="1" si="125"/>
        <v>0</v>
      </c>
      <c r="L591" s="189"/>
      <c r="M591" s="189"/>
      <c r="N591" s="189"/>
      <c r="O591" s="189"/>
      <c r="P591" s="189"/>
    </row>
    <row r="592" spans="1:16" ht="21.75" customHeight="1" x14ac:dyDescent="0.35">
      <c r="A592" s="484"/>
      <c r="B592" s="172"/>
      <c r="C592" s="163"/>
      <c r="D592" s="297"/>
      <c r="E592" s="203"/>
      <c r="F592" s="203"/>
      <c r="G592" s="204"/>
      <c r="H592" s="188" t="s">
        <v>122</v>
      </c>
      <c r="I592" s="351">
        <f ca="1">IFERROR(__xludf.DUMMYFUNCTION("IMPORTRANGE(""https://docs.google.com/spreadsheets/d/1IYY_tgx_IHuhSq3AJ5eI5OnqOPBNLWSHKh2a30DoXe8/edit?usp=sharing"",""พังงา!I487"")"),0)</f>
        <v>0</v>
      </c>
      <c r="J592" s="195">
        <f ca="1">IFERROR(__xludf.DUMMYFUNCTION("IMPORTRANGE(""https://docs.google.com/spreadsheets/d/1IYY_tgx_IHuhSq3AJ5eI5OnqOPBNLWSHKh2a30DoXe8/edit?usp=sharing"",""พังงา!J487"")"),0)</f>
        <v>0</v>
      </c>
      <c r="K592" s="348">
        <f t="shared" ca="1" si="125"/>
        <v>0</v>
      </c>
      <c r="L592" s="189"/>
      <c r="M592" s="189"/>
      <c r="N592" s="189"/>
      <c r="O592" s="189"/>
      <c r="P592" s="189"/>
    </row>
    <row r="593" spans="1:16" ht="21.75" customHeight="1" x14ac:dyDescent="0.35">
      <c r="A593" s="484"/>
      <c r="B593" s="172"/>
      <c r="C593" s="163"/>
      <c r="D593" s="297"/>
      <c r="E593" s="202" t="s">
        <v>124</v>
      </c>
      <c r="F593" s="203"/>
      <c r="G593" s="204"/>
      <c r="H593" s="188" t="s">
        <v>37</v>
      </c>
      <c r="I593" s="347">
        <f ca="1">IFERROR(__xludf.DUMMYFUNCTION("IMPORTRANGE(""https://docs.google.com/spreadsheets/d/1IYY_tgx_IHuhSq3AJ5eI5OnqOPBNLWSHKh2a30DoXe8/edit?usp=sharing"",""พังงา!I488"")"),0)</f>
        <v>0</v>
      </c>
      <c r="J593" s="195">
        <f ca="1">IFERROR(__xludf.DUMMYFUNCTION("IMPORTRANGE(""https://docs.google.com/spreadsheets/d/1IYY_tgx_IHuhSq3AJ5eI5OnqOPBNLWSHKh2a30DoXe8/edit?usp=sharing"",""พังงา!J488"")"),0)</f>
        <v>0</v>
      </c>
      <c r="K593" s="169">
        <f t="shared" ca="1" si="125"/>
        <v>0</v>
      </c>
      <c r="L593" s="189"/>
      <c r="M593" s="189"/>
      <c r="N593" s="189"/>
      <c r="O593" s="189"/>
      <c r="P593" s="189"/>
    </row>
    <row r="594" spans="1:16" ht="21.75" customHeight="1" x14ac:dyDescent="0.35">
      <c r="A594" s="484"/>
      <c r="B594" s="172"/>
      <c r="C594" s="163"/>
      <c r="D594" s="297"/>
      <c r="E594" s="203"/>
      <c r="F594" s="203"/>
      <c r="G594" s="204"/>
      <c r="H594" s="188" t="s">
        <v>122</v>
      </c>
      <c r="I594" s="351">
        <f ca="1">IFERROR(__xludf.DUMMYFUNCTION("IMPORTRANGE(""https://docs.google.com/spreadsheets/d/1IYY_tgx_IHuhSq3AJ5eI5OnqOPBNLWSHKh2a30DoXe8/edit?usp=sharing"",""พังงา!I489"")"),0)</f>
        <v>0</v>
      </c>
      <c r="J594" s="195">
        <f ca="1">IFERROR(__xludf.DUMMYFUNCTION("IMPORTRANGE(""https://docs.google.com/spreadsheets/d/1IYY_tgx_IHuhSq3AJ5eI5OnqOPBNLWSHKh2a30DoXe8/edit?usp=sharing"",""พังงา!J489"")"),0)</f>
        <v>0</v>
      </c>
      <c r="K594" s="348">
        <f t="shared" ca="1" si="125"/>
        <v>0</v>
      </c>
      <c r="L594" s="189"/>
      <c r="M594" s="189"/>
      <c r="N594" s="189"/>
      <c r="O594" s="189"/>
      <c r="P594" s="189"/>
    </row>
    <row r="595" spans="1:16" ht="21.75" customHeight="1" x14ac:dyDescent="0.35">
      <c r="A595" s="484"/>
      <c r="B595" s="172"/>
      <c r="C595" s="163"/>
      <c r="D595" s="297"/>
      <c r="E595" s="202" t="s">
        <v>125</v>
      </c>
      <c r="F595" s="203"/>
      <c r="G595" s="204"/>
      <c r="H595" s="188" t="s">
        <v>37</v>
      </c>
      <c r="I595" s="347">
        <f ca="1">IFERROR(__xludf.DUMMYFUNCTION("IMPORTRANGE(""https://docs.google.com/spreadsheets/d/1IYY_tgx_IHuhSq3AJ5eI5OnqOPBNLWSHKh2a30DoXe8/edit?usp=sharing"",""พังงา!I490"")"),0)</f>
        <v>0</v>
      </c>
      <c r="J595" s="195">
        <f ca="1">IFERROR(__xludf.DUMMYFUNCTION("IMPORTRANGE(""https://docs.google.com/spreadsheets/d/1IYY_tgx_IHuhSq3AJ5eI5OnqOPBNLWSHKh2a30DoXe8/edit?usp=sharing"",""พังงา!J490"")"),0)</f>
        <v>0</v>
      </c>
      <c r="K595" s="169">
        <f t="shared" ca="1" si="125"/>
        <v>0</v>
      </c>
      <c r="L595" s="189"/>
      <c r="M595" s="189"/>
      <c r="N595" s="189"/>
      <c r="O595" s="189"/>
      <c r="P595" s="189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IFERROR(__xludf.DUMMYFUNCTION("IMPORTRANGE(""https://docs.google.com/spreadsheets/d/1IYY_tgx_IHuhSq3AJ5eI5OnqOPBNLWSHKh2a30DoXe8/edit?usp=sharing"",""พังงา!I491"")"),0)</f>
        <v>0</v>
      </c>
      <c r="J596" s="248">
        <f ca="1">IFERROR(__xludf.DUMMYFUNCTION("IMPORTRANGE(""https://docs.google.com/spreadsheets/d/1IYY_tgx_IHuhSq3AJ5eI5OnqOPBNLWSHKh2a30DoXe8/edit?usp=sharing"",""พังงา!J491"")"),0)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IFERROR(__xludf.DUMMYFUNCTION("IMPORTRANGE(""https://docs.google.com/spreadsheets/d/1IYY_tgx_IHuhSq3AJ5eI5OnqOPBNLWSHKh2a30DoXe8/edit?usp=sharing"",""พังงา!I492"")"),50)</f>
        <v>50</v>
      </c>
      <c r="J597" s="493">
        <f ca="1">IFERROR(__xludf.DUMMYFUNCTION("IMPORTRANGE(""https://docs.google.com/spreadsheets/d/1IYY_tgx_IHuhSq3AJ5eI5OnqOPBNLWSHKh2a30DoXe8/edit?usp=sharing"",""พังงา!J492"")"),0)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IFERROR(__xludf.DUMMYFUNCTION("IMPORTRANGE(""https://docs.google.com/spreadsheets/d/1IYY_tgx_IHuhSq3AJ5eI5OnqOPBNLWSHKh2a30DoXe8/edit?usp=sharing"",""พังงา!L492"")"),5350)</f>
        <v>5350</v>
      </c>
      <c r="M597" s="418"/>
      <c r="N597" s="418">
        <f ca="1">IFERROR(__xludf.DUMMYFUNCTION("IMPORTRANGE(""https://docs.google.com/spreadsheets/d/1IYY_tgx_IHuhSq3AJ5eI5OnqOPBNLWSHKh2a30DoXe8/edit?usp=sharing"",""พังงา!M492"")"),1920)</f>
        <v>1920</v>
      </c>
      <c r="O597" s="418">
        <f t="shared" ref="O597:O601" ca="1" si="126">+IF(L597&gt;0,N597*100/L597,0)</f>
        <v>35.887850467289717</v>
      </c>
      <c r="P597" s="418"/>
    </row>
    <row r="598" spans="1:16" ht="21.75" customHeight="1" x14ac:dyDescent="0.35">
      <c r="A598" s="162"/>
      <c r="B598" s="163"/>
      <c r="C598" s="163" t="s">
        <v>16</v>
      </c>
      <c r="D598" s="164" t="s">
        <v>38</v>
      </c>
      <c r="E598" s="165"/>
      <c r="F598" s="165"/>
      <c r="G598" s="166" t="s">
        <v>39</v>
      </c>
      <c r="H598" s="167" t="s">
        <v>12</v>
      </c>
      <c r="I598" s="168" t="s">
        <v>40</v>
      </c>
      <c r="J598" s="168"/>
      <c r="K598" s="169"/>
      <c r="L598" s="170">
        <f ca="1">IFERROR(__xludf.DUMMYFUNCTION("IMPORTRANGE(""https://docs.google.com/spreadsheets/d/1IYY_tgx_IHuhSq3AJ5eI5OnqOPBNLWSHKh2a30DoXe8/edit?usp=sharing"",""พังงา!L493"")"),0)</f>
        <v>0</v>
      </c>
      <c r="M598" s="170"/>
      <c r="N598" s="176">
        <f ca="1">IFERROR(__xludf.DUMMYFUNCTION("IMPORTRANGE(""https://docs.google.com/spreadsheets/d/1IYY_tgx_IHuhSq3AJ5eI5OnqOPBNLWSHKh2a30DoXe8/edit?usp=sharing"",""พังงา!M493"")"),0)</f>
        <v>0</v>
      </c>
      <c r="O598" s="176">
        <f t="shared" ca="1" si="126"/>
        <v>0</v>
      </c>
      <c r="P598" s="176"/>
    </row>
    <row r="599" spans="1:16" ht="21.75" customHeight="1" x14ac:dyDescent="0.35">
      <c r="A599" s="162"/>
      <c r="B599" s="163"/>
      <c r="C599" s="163"/>
      <c r="D599" s="172"/>
      <c r="E599" s="165"/>
      <c r="F599" s="165" t="s">
        <v>40</v>
      </c>
      <c r="G599" s="166" t="s">
        <v>41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IFERROR(__xludf.DUMMYFUNCTION("IMPORTRANGE(""https://docs.google.com/spreadsheets/d/1IYY_tgx_IHuhSq3AJ5eI5OnqOPBNLWSHKh2a30DoXe8/edit?usp=sharing"",""พังงา!L494"")"),5350)</f>
        <v>5350</v>
      </c>
      <c r="M599" s="171"/>
      <c r="N599" s="176">
        <f ca="1">IFERROR(__xludf.DUMMYFUNCTION("IMPORTRANGE(""https://docs.google.com/spreadsheets/d/1IYY_tgx_IHuhSq3AJ5eI5OnqOPBNLWSHKh2a30DoXe8/edit?usp=sharing"",""พังงา!M494"")"),1920)</f>
        <v>1920</v>
      </c>
      <c r="O599" s="176">
        <f t="shared" ca="1" si="126"/>
        <v>35.887850467289717</v>
      </c>
      <c r="P599" s="176"/>
    </row>
    <row r="600" spans="1:16" ht="21.75" customHeight="1" x14ac:dyDescent="0.35">
      <c r="A600" s="162"/>
      <c r="B600" s="163"/>
      <c r="C600" s="163"/>
      <c r="D600" s="172"/>
      <c r="E600" s="165"/>
      <c r="F600" s="165"/>
      <c r="G600" s="380" t="s">
        <v>129</v>
      </c>
      <c r="H600" s="167" t="s">
        <v>12</v>
      </c>
      <c r="I600" s="168"/>
      <c r="J600" s="168"/>
      <c r="K600" s="169"/>
      <c r="L600" s="176">
        <f ca="1">IFERROR(__xludf.DUMMYFUNCTION("IMPORTRANGE(""https://docs.google.com/spreadsheets/d/1IYY_tgx_IHuhSq3AJ5eI5OnqOPBNLWSHKh2a30DoXe8/edit?usp=sharing"",""พังงา!L495"")"),0)</f>
        <v>0</v>
      </c>
      <c r="M600" s="176"/>
      <c r="N600" s="176">
        <f ca="1">IFERROR(__xludf.DUMMYFUNCTION("IMPORTRANGE(""https://docs.google.com/spreadsheets/d/1IYY_tgx_IHuhSq3AJ5eI5OnqOPBNLWSHKh2a30DoXe8/edit?usp=sharing"",""พังงา!M495"")"),0)</f>
        <v>0</v>
      </c>
      <c r="O600" s="176">
        <f t="shared" ca="1" si="126"/>
        <v>0</v>
      </c>
      <c r="P600" s="176"/>
    </row>
    <row r="601" spans="1:16" ht="21.75" customHeight="1" x14ac:dyDescent="0.35">
      <c r="A601" s="162"/>
      <c r="B601" s="163"/>
      <c r="C601" s="163"/>
      <c r="D601" s="172"/>
      <c r="E601" s="165"/>
      <c r="F601" s="165"/>
      <c r="G601" s="380" t="s">
        <v>130</v>
      </c>
      <c r="H601" s="167" t="s">
        <v>12</v>
      </c>
      <c r="I601" s="168"/>
      <c r="J601" s="168"/>
      <c r="K601" s="169"/>
      <c r="L601" s="176">
        <f ca="1">IFERROR(__xludf.DUMMYFUNCTION("IMPORTRANGE(""https://docs.google.com/spreadsheets/d/1IYY_tgx_IHuhSq3AJ5eI5OnqOPBNLWSHKh2a30DoXe8/edit?usp=sharing"",""พังงา!L496"")"),5350)</f>
        <v>5350</v>
      </c>
      <c r="M601" s="176"/>
      <c r="N601" s="176">
        <f ca="1">IFERROR(__xludf.DUMMYFUNCTION("IMPORTRANGE(""https://docs.google.com/spreadsheets/d/1IYY_tgx_IHuhSq3AJ5eI5OnqOPBNLWSHKh2a30DoXe8/edit?usp=sharing"",""พังงา!M496"")"),1920)</f>
        <v>1920</v>
      </c>
      <c r="O601" s="176">
        <f t="shared" ca="1" si="126"/>
        <v>35.887850467289717</v>
      </c>
      <c r="P601" s="176"/>
    </row>
    <row r="602" spans="1:16" ht="21.75" customHeight="1" x14ac:dyDescent="0.35">
      <c r="A602" s="381"/>
      <c r="B602" s="382"/>
      <c r="C602" s="163"/>
      <c r="D602" s="383"/>
      <c r="E602" s="165"/>
      <c r="F602" s="165"/>
      <c r="G602" s="384" t="s">
        <v>131</v>
      </c>
      <c r="H602" s="167" t="s">
        <v>12</v>
      </c>
      <c r="I602" s="195"/>
      <c r="J602" s="195"/>
      <c r="K602" s="231"/>
      <c r="L602" s="176"/>
      <c r="M602" s="176"/>
      <c r="N602" s="173">
        <f ca="1">IFERROR(__xludf.DUMMYFUNCTION("IMPORTRANGE(""https://docs.google.com/spreadsheets/d/1IYY_tgx_IHuhSq3AJ5eI5OnqOPBNLWSHKh2a30DoXe8/edit?usp=sharing"",""พังงา!M497"")"),0)</f>
        <v>0</v>
      </c>
      <c r="O602" s="176"/>
      <c r="P602" s="176"/>
    </row>
    <row r="603" spans="1:16" ht="21.75" customHeight="1" x14ac:dyDescent="0.35">
      <c r="A603" s="381"/>
      <c r="B603" s="382"/>
      <c r="C603" s="163"/>
      <c r="D603" s="383"/>
      <c r="E603" s="165"/>
      <c r="F603" s="165"/>
      <c r="G603" s="384" t="s">
        <v>132</v>
      </c>
      <c r="H603" s="167" t="s">
        <v>12</v>
      </c>
      <c r="I603" s="195"/>
      <c r="J603" s="195"/>
      <c r="K603" s="231"/>
      <c r="L603" s="176"/>
      <c r="M603" s="176"/>
      <c r="N603" s="173">
        <f ca="1">IFERROR(__xludf.DUMMYFUNCTION("IMPORTRANGE(""https://docs.google.com/spreadsheets/d/1IYY_tgx_IHuhSq3AJ5eI5OnqOPBNLWSHKh2a30DoXe8/edit?usp=sharing"",""พังงา!M498"")"),0)</f>
        <v>0</v>
      </c>
      <c r="O603" s="176"/>
      <c r="P603" s="176"/>
    </row>
    <row r="604" spans="1:16" ht="21.75" customHeight="1" x14ac:dyDescent="0.35">
      <c r="A604" s="381"/>
      <c r="B604" s="382"/>
      <c r="C604" s="163"/>
      <c r="D604" s="383"/>
      <c r="E604" s="165"/>
      <c r="F604" s="165"/>
      <c r="G604" s="384" t="s">
        <v>133</v>
      </c>
      <c r="H604" s="167" t="s">
        <v>12</v>
      </c>
      <c r="I604" s="195"/>
      <c r="J604" s="195"/>
      <c r="K604" s="231"/>
      <c r="L604" s="176"/>
      <c r="M604" s="176"/>
      <c r="N604" s="385">
        <f ca="1">IFERROR(__xludf.DUMMYFUNCTION("IMPORTRANGE(""https://docs.google.com/spreadsheets/d/1IYY_tgx_IHuhSq3AJ5eI5OnqOPBNLWSHKh2a30DoXe8/edit?usp=sharing"",""พังงา!M499"")"),0)</f>
        <v>0</v>
      </c>
      <c r="O604" s="176"/>
      <c r="P604" s="176"/>
    </row>
    <row r="605" spans="1:16" ht="21.75" customHeight="1" x14ac:dyDescent="0.35">
      <c r="A605" s="381"/>
      <c r="B605" s="382"/>
      <c r="C605" s="163"/>
      <c r="D605" s="383"/>
      <c r="E605" s="165"/>
      <c r="F605" s="165"/>
      <c r="G605" s="384" t="s">
        <v>134</v>
      </c>
      <c r="H605" s="167" t="s">
        <v>12</v>
      </c>
      <c r="I605" s="195"/>
      <c r="J605" s="195"/>
      <c r="K605" s="231"/>
      <c r="L605" s="176"/>
      <c r="M605" s="176"/>
      <c r="N605" s="385">
        <f ca="1">IFERROR(__xludf.DUMMYFUNCTION("IMPORTRANGE(""https://docs.google.com/spreadsheets/d/1IYY_tgx_IHuhSq3AJ5eI5OnqOPBNLWSHKh2a30DoXe8/edit?usp=sharing"",""พังงา!M500"")"),1920)</f>
        <v>1920</v>
      </c>
      <c r="O605" s="176"/>
      <c r="P605" s="176"/>
    </row>
    <row r="606" spans="1:16" ht="21.75" customHeight="1" x14ac:dyDescent="0.35">
      <c r="A606" s="183"/>
      <c r="B606" s="184"/>
      <c r="C606" s="163" t="s">
        <v>16</v>
      </c>
      <c r="D606" s="185" t="s">
        <v>44</v>
      </c>
      <c r="E606" s="186"/>
      <c r="F606" s="186"/>
      <c r="G606" s="187"/>
      <c r="H606" s="188"/>
      <c r="I606" s="168"/>
      <c r="J606" s="168"/>
      <c r="K606" s="169"/>
      <c r="L606" s="189"/>
      <c r="M606" s="189"/>
      <c r="N606" s="189"/>
      <c r="O606" s="189"/>
      <c r="P606" s="189"/>
    </row>
    <row r="607" spans="1:16" ht="21.75" customHeight="1" x14ac:dyDescent="0.35">
      <c r="A607" s="183"/>
      <c r="B607" s="184"/>
      <c r="C607" s="184"/>
      <c r="D607" s="190">
        <v>1</v>
      </c>
      <c r="E607" s="191" t="s">
        <v>45</v>
      </c>
      <c r="F607" s="192"/>
      <c r="G607" s="193"/>
      <c r="H607" s="194"/>
      <c r="I607" s="195"/>
      <c r="J607" s="205">
        <f ca="1">IFERROR(__xludf.DUMMYFUNCTION("IMPORTRANGE(""https://docs.google.com/spreadsheets/d/1IYY_tgx_IHuhSq3AJ5eI5OnqOPBNLWSHKh2a30DoXe8/edit?usp=sharing"",""พังงา!J502"")"),0)</f>
        <v>0</v>
      </c>
      <c r="K607" s="169"/>
      <c r="L607" s="189"/>
      <c r="M607" s="189"/>
      <c r="N607" s="189"/>
      <c r="O607" s="189"/>
      <c r="P607" s="189"/>
    </row>
    <row r="608" spans="1:16" ht="21.75" customHeight="1" x14ac:dyDescent="0.35">
      <c r="A608" s="183"/>
      <c r="B608" s="184"/>
      <c r="C608" s="184"/>
      <c r="D608" s="197">
        <v>2</v>
      </c>
      <c r="E608" s="198" t="s">
        <v>46</v>
      </c>
      <c r="F608" s="199"/>
      <c r="G608" s="200"/>
      <c r="H608" s="194"/>
      <c r="I608" s="195"/>
      <c r="J608" s="205">
        <f ca="1">IFERROR(__xludf.DUMMYFUNCTION("IMPORTRANGE(""https://docs.google.com/spreadsheets/d/1IYY_tgx_IHuhSq3AJ5eI5OnqOPBNLWSHKh2a30DoXe8/edit?usp=sharing"",""พังงา!J503"")"),1)</f>
        <v>1</v>
      </c>
      <c r="K608" s="169"/>
      <c r="L608" s="189" t="s">
        <v>40</v>
      </c>
      <c r="M608" s="189"/>
      <c r="N608" s="189" t="s">
        <v>40</v>
      </c>
      <c r="O608" s="189"/>
      <c r="P608" s="189"/>
    </row>
    <row r="609" spans="1:16" ht="21.75" hidden="1" customHeight="1" x14ac:dyDescent="0.35">
      <c r="A609" s="494"/>
      <c r="B609" s="495"/>
      <c r="C609" s="495"/>
      <c r="D609" s="496"/>
      <c r="E609" s="497" t="s">
        <v>47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IFERROR(__xludf.DUMMYFUNCTION("IMPORTRANGE(""https://docs.google.com/spreadsheets/d/1IYY_tgx_IHuhSq3AJ5eI5OnqOPBNLWSHKh2a30DoXe8/edit?usp=sharing"",""พังงา!J166"")"),0)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48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IFERROR(__xludf.DUMMYFUNCTION("IMPORTRANGE(""https://docs.google.com/spreadsheets/d/1IYY_tgx_IHuhSq3AJ5eI5OnqOPBNLWSHKh2a30DoXe8/edit?usp=sharing"",""พังงา!J166"")"),0)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3"/>
      <c r="B611" s="184"/>
      <c r="C611" s="184"/>
      <c r="D611" s="201"/>
      <c r="E611" s="203"/>
      <c r="F611" s="203" t="s">
        <v>219</v>
      </c>
      <c r="G611" s="204"/>
      <c r="H611" s="188" t="s">
        <v>122</v>
      </c>
      <c r="I611" s="195">
        <f ca="1">IFERROR(__xludf.DUMMYFUNCTION("IMPORTRANGE(""https://docs.google.com/spreadsheets/d/1IYY_tgx_IHuhSq3AJ5eI5OnqOPBNLWSHKh2a30DoXe8/edit?usp=sharing"",""พังงา!I506"")"),50)</f>
        <v>50</v>
      </c>
      <c r="J611" s="168">
        <f ca="1">IFERROR(__xludf.DUMMYFUNCTION("IMPORTRANGE(""https://docs.google.com/spreadsheets/d/1IYY_tgx_IHuhSq3AJ5eI5OnqOPBNLWSHKh2a30DoXe8/edit?usp=sharing"",""พังงา!J506"")"),0)</f>
        <v>0</v>
      </c>
      <c r="K611" s="169">
        <f t="shared" ref="K611:K619" ca="1" si="127">IF(I$611&gt;0,J611*100/I$611,0)</f>
        <v>0</v>
      </c>
      <c r="L611" s="189"/>
      <c r="M611" s="189"/>
      <c r="N611" s="189"/>
      <c r="O611" s="189"/>
      <c r="P611" s="189"/>
    </row>
    <row r="612" spans="1:16" ht="21.75" customHeight="1" x14ac:dyDescent="0.35">
      <c r="A612" s="183"/>
      <c r="B612" s="184"/>
      <c r="C612" s="184"/>
      <c r="D612" s="201"/>
      <c r="E612" s="206"/>
      <c r="F612" s="203"/>
      <c r="G612" s="233" t="s">
        <v>220</v>
      </c>
      <c r="H612" s="188" t="s">
        <v>122</v>
      </c>
      <c r="I612" s="211">
        <f ca="1">IFERROR(__xludf.DUMMYFUNCTION("IMPORTRANGE(""https://docs.google.com/spreadsheets/d/1IYY_tgx_IHuhSq3AJ5eI5OnqOPBNLWSHKh2a30DoXe8/edit?usp=sharing"",""พังงา!I507"")"),0)</f>
        <v>0</v>
      </c>
      <c r="J612" s="205">
        <f ca="1">IFERROR(__xludf.DUMMYFUNCTION("IMPORTRANGE(""https://docs.google.com/spreadsheets/d/1IYY_tgx_IHuhSq3AJ5eI5OnqOPBNLWSHKh2a30DoXe8/edit?usp=sharing"",""พังงา!J507"")"),0)</f>
        <v>0</v>
      </c>
      <c r="K612" s="169">
        <f t="shared" ca="1" si="127"/>
        <v>0</v>
      </c>
      <c r="L612" s="189"/>
      <c r="M612" s="189"/>
      <c r="N612" s="189"/>
      <c r="O612" s="189"/>
      <c r="P612" s="189"/>
    </row>
    <row r="613" spans="1:16" ht="21.75" customHeight="1" x14ac:dyDescent="0.35">
      <c r="A613" s="183"/>
      <c r="B613" s="184"/>
      <c r="C613" s="184"/>
      <c r="D613" s="201"/>
      <c r="E613" s="206"/>
      <c r="F613" s="203"/>
      <c r="G613" s="233" t="s">
        <v>221</v>
      </c>
      <c r="H613" s="188" t="s">
        <v>122</v>
      </c>
      <c r="I613" s="211">
        <f ca="1">IFERROR(__xludf.DUMMYFUNCTION("IMPORTRANGE(""https://docs.google.com/spreadsheets/d/1IYY_tgx_IHuhSq3AJ5eI5OnqOPBNLWSHKh2a30DoXe8/edit?usp=sharing"",""พังงา!I508"")"),0)</f>
        <v>0</v>
      </c>
      <c r="J613" s="205">
        <f ca="1">IFERROR(__xludf.DUMMYFUNCTION("IMPORTRANGE(""https://docs.google.com/spreadsheets/d/1IYY_tgx_IHuhSq3AJ5eI5OnqOPBNLWSHKh2a30DoXe8/edit?usp=sharing"",""พังงา!J508"")"),0)</f>
        <v>0</v>
      </c>
      <c r="K613" s="169">
        <f t="shared" ca="1" si="127"/>
        <v>0</v>
      </c>
      <c r="L613" s="189"/>
      <c r="M613" s="189"/>
      <c r="N613" s="189"/>
      <c r="O613" s="189"/>
      <c r="P613" s="189"/>
    </row>
    <row r="614" spans="1:16" ht="21.75" customHeight="1" x14ac:dyDescent="0.35">
      <c r="A614" s="183"/>
      <c r="B614" s="184"/>
      <c r="C614" s="184"/>
      <c r="D614" s="201"/>
      <c r="E614" s="206"/>
      <c r="F614" s="203"/>
      <c r="G614" s="233" t="s">
        <v>222</v>
      </c>
      <c r="H614" s="188" t="s">
        <v>122</v>
      </c>
      <c r="I614" s="211">
        <f ca="1">IFERROR(__xludf.DUMMYFUNCTION("IMPORTRANGE(""https://docs.google.com/spreadsheets/d/1IYY_tgx_IHuhSq3AJ5eI5OnqOPBNLWSHKh2a30DoXe8/edit?usp=sharing"",""พังงา!I509"")"),0)</f>
        <v>0</v>
      </c>
      <c r="J614" s="205">
        <f ca="1">IFERROR(__xludf.DUMMYFUNCTION("IMPORTRANGE(""https://docs.google.com/spreadsheets/d/1IYY_tgx_IHuhSq3AJ5eI5OnqOPBNLWSHKh2a30DoXe8/edit?usp=sharing"",""พังงา!J509"")"),0)</f>
        <v>0</v>
      </c>
      <c r="K614" s="169">
        <f t="shared" ca="1" si="127"/>
        <v>0</v>
      </c>
      <c r="L614" s="189"/>
      <c r="M614" s="189"/>
      <c r="N614" s="189"/>
      <c r="O614" s="189"/>
      <c r="P614" s="189"/>
    </row>
    <row r="615" spans="1:16" ht="21.75" customHeight="1" x14ac:dyDescent="0.35">
      <c r="A615" s="183"/>
      <c r="B615" s="184"/>
      <c r="C615" s="184"/>
      <c r="D615" s="201"/>
      <c r="E615" s="206"/>
      <c r="F615" s="203"/>
      <c r="G615" s="233" t="s">
        <v>223</v>
      </c>
      <c r="H615" s="188" t="s">
        <v>122</v>
      </c>
      <c r="I615" s="211">
        <f ca="1">IFERROR(__xludf.DUMMYFUNCTION("IMPORTRANGE(""https://docs.google.com/spreadsheets/d/1IYY_tgx_IHuhSq3AJ5eI5OnqOPBNLWSHKh2a30DoXe8/edit?usp=sharing"",""พังงา!I510"")"),0)</f>
        <v>0</v>
      </c>
      <c r="J615" s="205">
        <f ca="1">IFERROR(__xludf.DUMMYFUNCTION("IMPORTRANGE(""https://docs.google.com/spreadsheets/d/1IYY_tgx_IHuhSq3AJ5eI5OnqOPBNLWSHKh2a30DoXe8/edit?usp=sharing"",""พังงา!J510"")"),0)</f>
        <v>0</v>
      </c>
      <c r="K615" s="169">
        <f t="shared" ca="1" si="127"/>
        <v>0</v>
      </c>
      <c r="L615" s="189"/>
      <c r="M615" s="189"/>
      <c r="N615" s="189"/>
      <c r="O615" s="189"/>
      <c r="P615" s="189"/>
    </row>
    <row r="616" spans="1:16" ht="21.75" customHeight="1" x14ac:dyDescent="0.35">
      <c r="A616" s="183"/>
      <c r="B616" s="184"/>
      <c r="C616" s="184"/>
      <c r="D616" s="201"/>
      <c r="E616" s="206"/>
      <c r="F616" s="203"/>
      <c r="G616" s="202" t="s">
        <v>224</v>
      </c>
      <c r="H616" s="188" t="s">
        <v>122</v>
      </c>
      <c r="I616" s="211">
        <f ca="1">IFERROR(__xludf.DUMMYFUNCTION("IMPORTRANGE(""https://docs.google.com/spreadsheets/d/1IYY_tgx_IHuhSq3AJ5eI5OnqOPBNLWSHKh2a30DoXe8/edit?usp=sharing"",""พังงา!I511"")"),0)</f>
        <v>0</v>
      </c>
      <c r="J616" s="205">
        <f ca="1">IFERROR(__xludf.DUMMYFUNCTION("IMPORTRANGE(""https://docs.google.com/spreadsheets/d/1IYY_tgx_IHuhSq3AJ5eI5OnqOPBNLWSHKh2a30DoXe8/edit?usp=sharing"",""พังงา!J511"")"),0)</f>
        <v>0</v>
      </c>
      <c r="K616" s="169">
        <f t="shared" ca="1" si="127"/>
        <v>0</v>
      </c>
      <c r="L616" s="189"/>
      <c r="M616" s="189"/>
      <c r="N616" s="189"/>
      <c r="O616" s="189"/>
      <c r="P616" s="189"/>
    </row>
    <row r="617" spans="1:16" ht="21.75" customHeight="1" x14ac:dyDescent="0.35">
      <c r="A617" s="183"/>
      <c r="B617" s="184"/>
      <c r="C617" s="184"/>
      <c r="D617" s="201"/>
      <c r="E617" s="206"/>
      <c r="F617" s="203"/>
      <c r="G617" s="202" t="s">
        <v>225</v>
      </c>
      <c r="H617" s="188" t="s">
        <v>122</v>
      </c>
      <c r="I617" s="195">
        <f ca="1">IFERROR(__xludf.DUMMYFUNCTION("IMPORTRANGE(""https://docs.google.com/spreadsheets/d/1IYY_tgx_IHuhSq3AJ5eI5OnqOPBNLWSHKh2a30DoXe8/edit?usp=sharing"",""พังงา!I512"")"),0)</f>
        <v>0</v>
      </c>
      <c r="J617" s="195">
        <f ca="1">IFERROR(__xludf.DUMMYFUNCTION("IMPORTRANGE(""https://docs.google.com/spreadsheets/d/1IYY_tgx_IHuhSq3AJ5eI5OnqOPBNLWSHKh2a30DoXe8/edit?usp=sharing"",""พังงา!J512"")"),0)</f>
        <v>0</v>
      </c>
      <c r="K617" s="169">
        <f t="shared" ca="1" si="127"/>
        <v>0</v>
      </c>
      <c r="L617" s="189"/>
      <c r="M617" s="189"/>
      <c r="N617" s="189"/>
      <c r="O617" s="189"/>
      <c r="P617" s="189"/>
    </row>
    <row r="618" spans="1:16" ht="21.75" customHeight="1" x14ac:dyDescent="0.35">
      <c r="A618" s="183"/>
      <c r="B618" s="184"/>
      <c r="C618" s="184"/>
      <c r="D618" s="201"/>
      <c r="E618" s="206"/>
      <c r="F618" s="203"/>
      <c r="G618" s="504" t="s">
        <v>226</v>
      </c>
      <c r="H618" s="188" t="s">
        <v>122</v>
      </c>
      <c r="I618" s="211">
        <f ca="1">IFERROR(__xludf.DUMMYFUNCTION("IMPORTRANGE(""https://docs.google.com/spreadsheets/d/1IYY_tgx_IHuhSq3AJ5eI5OnqOPBNLWSHKh2a30DoXe8/edit?usp=sharing"",""พังงา!I513"")"),0)</f>
        <v>0</v>
      </c>
      <c r="J618" s="196">
        <f ca="1">IFERROR(__xludf.DUMMYFUNCTION("IMPORTRANGE(""https://docs.google.com/spreadsheets/d/1IYY_tgx_IHuhSq3AJ5eI5OnqOPBNLWSHKh2a30DoXe8/edit?usp=sharing"",""พังงา!J513"")"),0)</f>
        <v>0</v>
      </c>
      <c r="K618" s="169">
        <f t="shared" ca="1" si="127"/>
        <v>0</v>
      </c>
      <c r="L618" s="189"/>
      <c r="M618" s="189"/>
      <c r="N618" s="189"/>
      <c r="O618" s="189"/>
      <c r="P618" s="189"/>
    </row>
    <row r="619" spans="1:16" ht="21.75" customHeight="1" x14ac:dyDescent="0.35">
      <c r="A619" s="183"/>
      <c r="B619" s="184"/>
      <c r="C619" s="184"/>
      <c r="D619" s="201"/>
      <c r="E619" s="206"/>
      <c r="F619" s="203"/>
      <c r="G619" s="504" t="s">
        <v>227</v>
      </c>
      <c r="H619" s="188" t="s">
        <v>122</v>
      </c>
      <c r="I619" s="211">
        <f ca="1">IFERROR(__xludf.DUMMYFUNCTION("IMPORTRANGE(""https://docs.google.com/spreadsheets/d/1IYY_tgx_IHuhSq3AJ5eI5OnqOPBNLWSHKh2a30DoXe8/edit?usp=sharing"",""พังงา!I514"")"),0)</f>
        <v>0</v>
      </c>
      <c r="J619" s="196">
        <f ca="1">IFERROR(__xludf.DUMMYFUNCTION("IMPORTRANGE(""https://docs.google.com/spreadsheets/d/1IYY_tgx_IHuhSq3AJ5eI5OnqOPBNLWSHKh2a30DoXe8/edit?usp=sharing"",""พังงา!J514"")"),0)</f>
        <v>0</v>
      </c>
      <c r="K619" s="169">
        <f t="shared" ca="1" si="127"/>
        <v>0</v>
      </c>
      <c r="L619" s="189"/>
      <c r="M619" s="189"/>
      <c r="N619" s="189"/>
      <c r="O619" s="189"/>
      <c r="P619" s="189"/>
    </row>
    <row r="620" spans="1:16" ht="21.75" customHeight="1" x14ac:dyDescent="0.35">
      <c r="A620" s="183"/>
      <c r="B620" s="184"/>
      <c r="C620" s="184"/>
      <c r="D620" s="201"/>
      <c r="E620" s="203"/>
      <c r="F620" s="202" t="s">
        <v>228</v>
      </c>
      <c r="G620" s="204"/>
      <c r="H620" s="188" t="s">
        <v>122</v>
      </c>
      <c r="I620" s="195">
        <f ca="1">IFERROR(__xludf.DUMMYFUNCTION("IMPORTRANGE(""https://docs.google.com/spreadsheets/d/1IYY_tgx_IHuhSq3AJ5eI5OnqOPBNLWSHKh2a30DoXe8/edit?usp=sharing"",""พังงา!I515"")"),0)</f>
        <v>0</v>
      </c>
      <c r="J620" s="210">
        <f ca="1">IFERROR(__xludf.DUMMYFUNCTION("IMPORTRANGE(""https://docs.google.com/spreadsheets/d/1IYY_tgx_IHuhSq3AJ5eI5OnqOPBNLWSHKh2a30DoXe8/edit?usp=sharing"",""พังงา!J515"")"),0)</f>
        <v>0</v>
      </c>
      <c r="K620" s="169">
        <f t="shared" ref="K620:K626" ca="1" si="128">IF(I$620&gt;0,J620*100/I$620,0)</f>
        <v>0</v>
      </c>
      <c r="L620" s="189"/>
      <c r="M620" s="189"/>
      <c r="N620" s="189"/>
      <c r="O620" s="189"/>
      <c r="P620" s="189"/>
    </row>
    <row r="621" spans="1:16" ht="21.75" customHeight="1" x14ac:dyDescent="0.35">
      <c r="A621" s="183"/>
      <c r="B621" s="184"/>
      <c r="C621" s="184"/>
      <c r="D621" s="201"/>
      <c r="E621" s="206"/>
      <c r="F621" s="203"/>
      <c r="G621" s="233" t="s">
        <v>225</v>
      </c>
      <c r="H621" s="188" t="s">
        <v>122</v>
      </c>
      <c r="I621" s="210">
        <f ca="1">IFERROR(__xludf.DUMMYFUNCTION("IMPORTRANGE(""https://docs.google.com/spreadsheets/d/1IYY_tgx_IHuhSq3AJ5eI5OnqOPBNLWSHKh2a30DoXe8/edit?usp=sharing"",""พังงา!I516"")"),0)</f>
        <v>0</v>
      </c>
      <c r="J621" s="210">
        <f ca="1">IFERROR(__xludf.DUMMYFUNCTION("IMPORTRANGE(""https://docs.google.com/spreadsheets/d/1IYY_tgx_IHuhSq3AJ5eI5OnqOPBNLWSHKh2a30DoXe8/edit?usp=sharing"",""พังงา!J516"")"),0)</f>
        <v>0</v>
      </c>
      <c r="K621" s="169">
        <f t="shared" ca="1" si="128"/>
        <v>0</v>
      </c>
      <c r="L621" s="189"/>
      <c r="M621" s="189"/>
      <c r="N621" s="189"/>
      <c r="O621" s="189"/>
      <c r="P621" s="189"/>
    </row>
    <row r="622" spans="1:16" ht="21.75" customHeight="1" x14ac:dyDescent="0.35">
      <c r="A622" s="183"/>
      <c r="B622" s="184"/>
      <c r="C622" s="184"/>
      <c r="D622" s="201"/>
      <c r="E622" s="206"/>
      <c r="F622" s="203"/>
      <c r="G622" s="504" t="s">
        <v>226</v>
      </c>
      <c r="H622" s="188" t="s">
        <v>122</v>
      </c>
      <c r="I622" s="211">
        <f ca="1">IFERROR(__xludf.DUMMYFUNCTION("IMPORTRANGE(""https://docs.google.com/spreadsheets/d/1IYY_tgx_IHuhSq3AJ5eI5OnqOPBNLWSHKh2a30DoXe8/edit?usp=sharing"",""พังงา!I517"")"),0)</f>
        <v>0</v>
      </c>
      <c r="J622" s="196">
        <f ca="1">IFERROR(__xludf.DUMMYFUNCTION("IMPORTRANGE(""https://docs.google.com/spreadsheets/d/1IYY_tgx_IHuhSq3AJ5eI5OnqOPBNLWSHKh2a30DoXe8/edit?usp=sharing"",""พังงา!J517"")"),0)</f>
        <v>0</v>
      </c>
      <c r="K622" s="169">
        <f t="shared" ca="1" si="128"/>
        <v>0</v>
      </c>
      <c r="L622" s="189"/>
      <c r="M622" s="189"/>
      <c r="N622" s="189"/>
      <c r="O622" s="189"/>
      <c r="P622" s="189"/>
    </row>
    <row r="623" spans="1:16" ht="21.75" customHeight="1" x14ac:dyDescent="0.35">
      <c r="A623" s="183"/>
      <c r="B623" s="184"/>
      <c r="C623" s="184"/>
      <c r="D623" s="201"/>
      <c r="E623" s="206"/>
      <c r="F623" s="203"/>
      <c r="G623" s="504" t="s">
        <v>227</v>
      </c>
      <c r="H623" s="188" t="s">
        <v>122</v>
      </c>
      <c r="I623" s="211">
        <f ca="1">IFERROR(__xludf.DUMMYFUNCTION("IMPORTRANGE(""https://docs.google.com/spreadsheets/d/1IYY_tgx_IHuhSq3AJ5eI5OnqOPBNLWSHKh2a30DoXe8/edit?usp=sharing"",""พังงา!I518"")"),0)</f>
        <v>0</v>
      </c>
      <c r="J623" s="196">
        <f ca="1">IFERROR(__xludf.DUMMYFUNCTION("IMPORTRANGE(""https://docs.google.com/spreadsheets/d/1IYY_tgx_IHuhSq3AJ5eI5OnqOPBNLWSHKh2a30DoXe8/edit?usp=sharing"",""พังงา!J518"")"),0)</f>
        <v>0</v>
      </c>
      <c r="K623" s="169">
        <f t="shared" ca="1" si="128"/>
        <v>0</v>
      </c>
      <c r="L623" s="189"/>
      <c r="M623" s="189"/>
      <c r="N623" s="189"/>
      <c r="O623" s="189"/>
      <c r="P623" s="189"/>
    </row>
    <row r="624" spans="1:16" ht="21.75" customHeight="1" x14ac:dyDescent="0.35">
      <c r="A624" s="183"/>
      <c r="B624" s="184"/>
      <c r="C624" s="184"/>
      <c r="D624" s="201"/>
      <c r="E624" s="206"/>
      <c r="F624" s="203"/>
      <c r="G624" s="233" t="s">
        <v>229</v>
      </c>
      <c r="H624" s="188" t="s">
        <v>122</v>
      </c>
      <c r="I624" s="195">
        <f ca="1">IFERROR(__xludf.DUMMYFUNCTION("IMPORTRANGE(""https://docs.google.com/spreadsheets/d/1IYY_tgx_IHuhSq3AJ5eI5OnqOPBNLWSHKh2a30DoXe8/edit?usp=sharing"",""พังงา!I519"")"),0)</f>
        <v>0</v>
      </c>
      <c r="J624" s="195">
        <f ca="1">IFERROR(__xludf.DUMMYFUNCTION("IMPORTRANGE(""https://docs.google.com/spreadsheets/d/1IYY_tgx_IHuhSq3AJ5eI5OnqOPBNLWSHKh2a30DoXe8/edit?usp=sharing"",""พังงา!J519"")"),0)</f>
        <v>0</v>
      </c>
      <c r="K624" s="169">
        <f t="shared" ca="1" si="128"/>
        <v>0</v>
      </c>
      <c r="L624" s="189"/>
      <c r="M624" s="189"/>
      <c r="N624" s="189"/>
      <c r="O624" s="189"/>
      <c r="P624" s="189"/>
    </row>
    <row r="625" spans="1:16" ht="21.75" customHeight="1" x14ac:dyDescent="0.35">
      <c r="A625" s="183"/>
      <c r="B625" s="184"/>
      <c r="C625" s="184"/>
      <c r="D625" s="201"/>
      <c r="E625" s="206"/>
      <c r="F625" s="203"/>
      <c r="G625" s="504" t="s">
        <v>230</v>
      </c>
      <c r="H625" s="188" t="s">
        <v>122</v>
      </c>
      <c r="I625" s="211">
        <f ca="1">IFERROR(__xludf.DUMMYFUNCTION("IMPORTRANGE(""https://docs.google.com/spreadsheets/d/1IYY_tgx_IHuhSq3AJ5eI5OnqOPBNLWSHKh2a30DoXe8/edit?usp=sharing"",""พังงา!I520"")"),0)</f>
        <v>0</v>
      </c>
      <c r="J625" s="196">
        <f ca="1">IFERROR(__xludf.DUMMYFUNCTION("IMPORTRANGE(""https://docs.google.com/spreadsheets/d/1IYY_tgx_IHuhSq3AJ5eI5OnqOPBNLWSHKh2a30DoXe8/edit?usp=sharing"",""พังงา!J520"")"),0)</f>
        <v>0</v>
      </c>
      <c r="K625" s="169">
        <f t="shared" ca="1" si="128"/>
        <v>0</v>
      </c>
      <c r="L625" s="189"/>
      <c r="M625" s="189"/>
      <c r="N625" s="189"/>
      <c r="O625" s="189"/>
      <c r="P625" s="189"/>
    </row>
    <row r="626" spans="1:16" ht="21.75" customHeight="1" x14ac:dyDescent="0.35">
      <c r="A626" s="183"/>
      <c r="B626" s="184"/>
      <c r="C626" s="184"/>
      <c r="D626" s="201"/>
      <c r="E626" s="206"/>
      <c r="F626" s="203"/>
      <c r="G626" s="504" t="s">
        <v>231</v>
      </c>
      <c r="H626" s="188" t="s">
        <v>122</v>
      </c>
      <c r="I626" s="211">
        <f ca="1">IFERROR(__xludf.DUMMYFUNCTION("IMPORTRANGE(""https://docs.google.com/spreadsheets/d/1IYY_tgx_IHuhSq3AJ5eI5OnqOPBNLWSHKh2a30DoXe8/edit?usp=sharing"",""พังงา!I521"")"),0)</f>
        <v>0</v>
      </c>
      <c r="J626" s="196">
        <f ca="1">IFERROR(__xludf.DUMMYFUNCTION("IMPORTRANGE(""https://docs.google.com/spreadsheets/d/1IYY_tgx_IHuhSq3AJ5eI5OnqOPBNLWSHKh2a30DoXe8/edit?usp=sharing"",""พังงา!J521"")"),0)</f>
        <v>0</v>
      </c>
      <c r="K626" s="169">
        <f t="shared" ca="1" si="128"/>
        <v>0</v>
      </c>
      <c r="L626" s="189"/>
      <c r="M626" s="189"/>
      <c r="N626" s="189"/>
      <c r="O626" s="189"/>
      <c r="P626" s="189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2"/>
      <c r="E628" s="165"/>
      <c r="F628" s="165"/>
      <c r="G628" s="166"/>
      <c r="H628" s="513" t="s">
        <v>12</v>
      </c>
      <c r="I628" s="347">
        <f ca="1">IFERROR(__xludf.DUMMYFUNCTION("IMPORTRANGE(""https://docs.google.com/spreadsheets/d/1IYY_tgx_IHuhSq3AJ5eI5OnqOPBNLWSHKh2a30DoXe8/edit?usp=sharing"",""พังงา!I523"")"),1201269.01)</f>
        <v>1201269.01</v>
      </c>
      <c r="J628" s="347">
        <f ca="1">IFERROR(__xludf.DUMMYFUNCTION("IMPORTRANGE(""https://docs.google.com/spreadsheets/d/1IYY_tgx_IHuhSq3AJ5eI5OnqOPBNLWSHKh2a30DoXe8/edit?usp=sharing"",""พังงา!J523"")"),599483.83)</f>
        <v>599483.82999999996</v>
      </c>
      <c r="K628" s="348">
        <f t="shared" ref="K628:K635" ca="1" si="129">IF(I628&gt;0,J628*100/I628,0)</f>
        <v>49.904211713577787</v>
      </c>
      <c r="L628" s="348"/>
      <c r="M628" s="348"/>
      <c r="N628" s="348"/>
      <c r="O628" s="176"/>
      <c r="P628" s="176"/>
    </row>
    <row r="629" spans="1:16" ht="21.75" customHeight="1" x14ac:dyDescent="0.35">
      <c r="A629" s="484"/>
      <c r="B629" s="163"/>
      <c r="C629" s="163"/>
      <c r="D629" s="172"/>
      <c r="E629" s="165"/>
      <c r="F629" s="165"/>
      <c r="G629" s="166"/>
      <c r="H629" s="513" t="s">
        <v>37</v>
      </c>
      <c r="I629" s="347">
        <f ca="1">IFERROR(__xludf.DUMMYFUNCTION("IMPORTRANGE(""https://docs.google.com/spreadsheets/d/1IYY_tgx_IHuhSq3AJ5eI5OnqOPBNLWSHKh2a30DoXe8/edit?usp=sharing"",""พังงา!I524"")"),91)</f>
        <v>91</v>
      </c>
      <c r="J629" s="347">
        <f ca="1">IFERROR(__xludf.DUMMYFUNCTION("IMPORTRANGE(""https://docs.google.com/spreadsheets/d/1IYY_tgx_IHuhSq3AJ5eI5OnqOPBNLWSHKh2a30DoXe8/edit?usp=sharing"",""พังงา!J524"")"),44)</f>
        <v>44</v>
      </c>
      <c r="K629" s="348">
        <f t="shared" ca="1" si="129"/>
        <v>48.35164835164835</v>
      </c>
      <c r="L629" s="348"/>
      <c r="M629" s="348"/>
      <c r="N629" s="348"/>
      <c r="O629" s="176"/>
      <c r="P629" s="176"/>
    </row>
    <row r="630" spans="1:16" ht="21.75" customHeight="1" x14ac:dyDescent="0.35">
      <c r="A630" s="484"/>
      <c r="B630" s="512" t="s">
        <v>234</v>
      </c>
      <c r="C630" s="163"/>
      <c r="D630" s="172"/>
      <c r="E630" s="165"/>
      <c r="F630" s="165"/>
      <c r="G630" s="166"/>
      <c r="H630" s="513" t="s">
        <v>12</v>
      </c>
      <c r="I630" s="347">
        <f ca="1">IFERROR(__xludf.DUMMYFUNCTION("IMPORTRANGE(""https://docs.google.com/spreadsheets/d/1IYY_tgx_IHuhSq3AJ5eI5OnqOPBNLWSHKh2a30DoXe8/edit?usp=sharing"",""พังงา!I525"")"),363408.27)</f>
        <v>363408.27</v>
      </c>
      <c r="J630" s="347">
        <f ca="1">IFERROR(__xludf.DUMMYFUNCTION("IMPORTRANGE(""https://docs.google.com/spreadsheets/d/1IYY_tgx_IHuhSq3AJ5eI5OnqOPBNLWSHKh2a30DoXe8/edit?usp=sharing"",""พังงา!J525"")"),61973.85)</f>
        <v>61973.85</v>
      </c>
      <c r="K630" s="348">
        <f t="shared" ca="1" si="129"/>
        <v>17.053505689344934</v>
      </c>
      <c r="L630" s="348"/>
      <c r="M630" s="348"/>
      <c r="N630" s="348"/>
      <c r="O630" s="176"/>
      <c r="P630" s="176"/>
    </row>
    <row r="631" spans="1:16" ht="21.75" customHeight="1" x14ac:dyDescent="0.35">
      <c r="A631" s="484"/>
      <c r="B631" s="163"/>
      <c r="C631" s="163"/>
      <c r="D631" s="172"/>
      <c r="E631" s="165"/>
      <c r="F631" s="165"/>
      <c r="G631" s="166"/>
      <c r="H631" s="513" t="s">
        <v>37</v>
      </c>
      <c r="I631" s="347">
        <f ca="1">IFERROR(__xludf.DUMMYFUNCTION("IMPORTRANGE(""https://docs.google.com/spreadsheets/d/1IYY_tgx_IHuhSq3AJ5eI5OnqOPBNLWSHKh2a30DoXe8/edit?usp=sharing"",""พังงา!I526"")"),15)</f>
        <v>15</v>
      </c>
      <c r="J631" s="347">
        <f ca="1">IFERROR(__xludf.DUMMYFUNCTION("IMPORTRANGE(""https://docs.google.com/spreadsheets/d/1IYY_tgx_IHuhSq3AJ5eI5OnqOPBNLWSHKh2a30DoXe8/edit?usp=sharing"",""พังงา!J526"")"),13)</f>
        <v>13</v>
      </c>
      <c r="K631" s="348">
        <f t="shared" ca="1" si="129"/>
        <v>86.666666666666671</v>
      </c>
      <c r="L631" s="348"/>
      <c r="M631" s="348"/>
      <c r="N631" s="348"/>
      <c r="O631" s="176"/>
      <c r="P631" s="176"/>
    </row>
    <row r="632" spans="1:16" ht="21.75" customHeight="1" x14ac:dyDescent="0.35">
      <c r="A632" s="484"/>
      <c r="B632" s="512" t="s">
        <v>235</v>
      </c>
      <c r="C632" s="163"/>
      <c r="D632" s="172"/>
      <c r="E632" s="165"/>
      <c r="F632" s="165"/>
      <c r="G632" s="166"/>
      <c r="H632" s="513" t="s">
        <v>12</v>
      </c>
      <c r="I632" s="347">
        <f ca="1">IFERROR(__xludf.DUMMYFUNCTION("IMPORTRANGE(""https://docs.google.com/spreadsheets/d/1IYY_tgx_IHuhSq3AJ5eI5OnqOPBNLWSHKh2a30DoXe8/edit?usp=sharing"",""พังงา!I527"")"),17992.36)</f>
        <v>17992.36</v>
      </c>
      <c r="J632" s="347">
        <f ca="1">IFERROR(__xludf.DUMMYFUNCTION("IMPORTRANGE(""https://docs.google.com/spreadsheets/d/1IYY_tgx_IHuhSq3AJ5eI5OnqOPBNLWSHKh2a30DoXe8/edit?usp=sharing"",""พังงา!J527"")"),45.6)</f>
        <v>45.6</v>
      </c>
      <c r="K632" s="348">
        <f t="shared" ca="1" si="129"/>
        <v>0.2534409049174205</v>
      </c>
      <c r="L632" s="348"/>
      <c r="M632" s="348"/>
      <c r="N632" s="348"/>
      <c r="O632" s="176"/>
      <c r="P632" s="176"/>
    </row>
    <row r="633" spans="1:16" ht="21.75" customHeight="1" x14ac:dyDescent="0.35">
      <c r="A633" s="484"/>
      <c r="B633" s="512"/>
      <c r="C633" s="163"/>
      <c r="D633" s="172"/>
      <c r="E633" s="165"/>
      <c r="F633" s="165"/>
      <c r="G633" s="166"/>
      <c r="H633" s="513" t="s">
        <v>37</v>
      </c>
      <c r="I633" s="347">
        <f ca="1">IFERROR(__xludf.DUMMYFUNCTION("IMPORTRANGE(""https://docs.google.com/spreadsheets/d/1IYY_tgx_IHuhSq3AJ5eI5OnqOPBNLWSHKh2a30DoXe8/edit?usp=sharing"",""พังงา!I528"")"),49)</f>
        <v>49</v>
      </c>
      <c r="J633" s="347">
        <f ca="1">IFERROR(__xludf.DUMMYFUNCTION("IMPORTRANGE(""https://docs.google.com/spreadsheets/d/1IYY_tgx_IHuhSq3AJ5eI5OnqOPBNLWSHKh2a30DoXe8/edit?usp=sharing"",""พังงา!J528"")"),1)</f>
        <v>1</v>
      </c>
      <c r="K633" s="348">
        <f t="shared" ca="1" si="129"/>
        <v>2.0408163265306123</v>
      </c>
      <c r="L633" s="348"/>
      <c r="M633" s="348"/>
      <c r="N633" s="348"/>
      <c r="O633" s="176"/>
      <c r="P633" s="176"/>
    </row>
    <row r="634" spans="1:16" ht="21.75" customHeight="1" x14ac:dyDescent="0.35">
      <c r="A634" s="484"/>
      <c r="B634" s="512" t="s">
        <v>236</v>
      </c>
      <c r="C634" s="163"/>
      <c r="D634" s="172"/>
      <c r="E634" s="165"/>
      <c r="F634" s="165"/>
      <c r="G634" s="166"/>
      <c r="H634" s="513" t="s">
        <v>12</v>
      </c>
      <c r="I634" s="347">
        <f ca="1">IFERROR(__xludf.DUMMYFUNCTION("IMPORTRANGE(""https://docs.google.com/spreadsheets/d/1IYY_tgx_IHuhSq3AJ5eI5OnqOPBNLWSHKh2a30DoXe8/edit?usp=sharing"",""พังงา!I529"")"),600000)</f>
        <v>600000</v>
      </c>
      <c r="J634" s="347">
        <f ca="1">IFERROR(__xludf.DUMMYFUNCTION("IMPORTRANGE(""https://docs.google.com/spreadsheets/d/1IYY_tgx_IHuhSq3AJ5eI5OnqOPBNLWSHKh2a30DoXe8/edit?usp=sharing"",""พังงา!J529"")"),0)</f>
        <v>0</v>
      </c>
      <c r="K634" s="348">
        <f t="shared" ca="1" si="129"/>
        <v>0</v>
      </c>
      <c r="L634" s="348"/>
      <c r="M634" s="348"/>
      <c r="N634" s="348"/>
      <c r="O634" s="176"/>
      <c r="P634" s="176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IFERROR(__xludf.DUMMYFUNCTION("IMPORTRANGE(""https://docs.google.com/spreadsheets/d/1IYY_tgx_IHuhSq3AJ5eI5OnqOPBNLWSHKh2a30DoXe8/edit?usp=sharing"",""พังงา!I530"")"),15)</f>
        <v>15</v>
      </c>
      <c r="J635" s="517">
        <f ca="1">IFERROR(__xludf.DUMMYFUNCTION("IMPORTRANGE(""https://docs.google.com/spreadsheets/d/1IYY_tgx_IHuhSq3AJ5eI5OnqOPBNLWSHKh2a30DoXe8/edit?usp=sharing"",""พังงา!J530"")"),0)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3" sqref="G23"/>
      <selection pane="bottomLeft" activeCell="G4" sqref="G4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4" width="17.81640625" bestFit="1" customWidth="1"/>
    <col min="15" max="15" width="18.81640625" customWidth="1"/>
    <col min="16" max="16" width="20.54296875" customWidth="1"/>
  </cols>
  <sheetData>
    <row r="1" spans="1:16" ht="18" customHeight="1" x14ac:dyDescent="0.35">
      <c r="A1" s="527" t="s">
        <v>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</row>
    <row r="2" spans="1:16" ht="18" customHeight="1" x14ac:dyDescent="0.35">
      <c r="A2" s="527" t="s">
        <v>253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</row>
    <row r="3" spans="1:16" ht="18" customHeight="1" x14ac:dyDescent="0.35">
      <c r="A3" s="527" t="s">
        <v>268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5" t="s">
        <v>2</v>
      </c>
      <c r="B5" s="536"/>
      <c r="C5" s="536"/>
      <c r="D5" s="536"/>
      <c r="E5" s="536"/>
      <c r="F5" s="536"/>
      <c r="G5" s="537"/>
      <c r="H5" s="528" t="s">
        <v>3</v>
      </c>
      <c r="I5" s="530" t="s">
        <v>4</v>
      </c>
      <c r="J5" s="531"/>
      <c r="K5" s="532"/>
      <c r="L5" s="533" t="s">
        <v>5</v>
      </c>
      <c r="M5" s="532"/>
      <c r="N5" s="534" t="s">
        <v>6</v>
      </c>
      <c r="O5" s="531"/>
      <c r="P5" s="532"/>
    </row>
    <row r="6" spans="1:16" ht="21.75" customHeight="1" x14ac:dyDescent="0.35">
      <c r="A6" s="538"/>
      <c r="B6" s="539"/>
      <c r="C6" s="539"/>
      <c r="D6" s="539"/>
      <c r="E6" s="539"/>
      <c r="F6" s="539"/>
      <c r="G6" s="540"/>
      <c r="H6" s="529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1" t="s">
        <v>15</v>
      </c>
      <c r="B7" s="531"/>
      <c r="C7" s="531"/>
      <c r="D7" s="531"/>
      <c r="E7" s="531"/>
      <c r="F7" s="531"/>
      <c r="G7" s="53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2" t="s">
        <v>17</v>
      </c>
      <c r="E8" s="543"/>
      <c r="F8" s="543"/>
      <c r="G8" s="543"/>
      <c r="H8" s="20" t="s">
        <v>12</v>
      </c>
      <c r="I8" s="21"/>
      <c r="J8" s="21"/>
      <c r="K8" s="22"/>
      <c r="L8" s="23">
        <f t="shared" ref="L8:N8" ca="1" si="0">L9+L10</f>
        <v>4561662</v>
      </c>
      <c r="M8" s="23">
        <f t="shared" ca="1" si="0"/>
        <v>1660575</v>
      </c>
      <c r="N8" s="23">
        <f t="shared" ca="1" si="0"/>
        <v>1920255.99</v>
      </c>
      <c r="O8" s="22">
        <f t="shared" ref="O8:O16" ca="1" si="1">IF(L8&gt;0,N8*100/L8,0)</f>
        <v>42.095534259223939</v>
      </c>
      <c r="P8" s="22">
        <f t="shared" ref="P8:P16" ca="1" si="2">IF(M8&gt;0,N8*100/M8,0)</f>
        <v>115.63801634975837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4561662</v>
      </c>
      <c r="M10" s="30">
        <f t="shared" ca="1" si="4"/>
        <v>1660575</v>
      </c>
      <c r="N10" s="30">
        <f t="shared" ca="1" si="4"/>
        <v>1920255.99</v>
      </c>
      <c r="O10" s="29">
        <f t="shared" ca="1" si="1"/>
        <v>42.095534259223939</v>
      </c>
      <c r="P10" s="29">
        <f t="shared" ca="1" si="2"/>
        <v>115.63801634975837</v>
      </c>
    </row>
    <row r="11" spans="1:16" ht="21.75" customHeight="1" x14ac:dyDescent="0.45">
      <c r="A11" s="31"/>
      <c r="B11" s="32"/>
      <c r="C11" s="33" t="s">
        <v>16</v>
      </c>
      <c r="D11" s="544" t="s">
        <v>20</v>
      </c>
      <c r="E11" s="545"/>
      <c r="F11" s="54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4330262</v>
      </c>
      <c r="M12" s="38">
        <f t="shared" ca="1" si="6"/>
        <v>1429175</v>
      </c>
      <c r="N12" s="38">
        <f t="shared" ca="1" si="6"/>
        <v>1688855.99</v>
      </c>
      <c r="O12" s="38">
        <f t="shared" ca="1" si="1"/>
        <v>39.001242649982842</v>
      </c>
      <c r="P12" s="38">
        <f t="shared" ca="1" si="2"/>
        <v>118.16999247817797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1742900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2484362</v>
      </c>
      <c r="M14" s="38">
        <f t="shared" si="8"/>
        <v>0</v>
      </c>
      <c r="N14" s="38">
        <f t="shared" ca="1" si="8"/>
        <v>487789.99</v>
      </c>
      <c r="O14" s="41">
        <f t="shared" ca="1" si="1"/>
        <v>19.634416803992334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44" t="s">
        <v>23</v>
      </c>
      <c r="E15" s="54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231400</v>
      </c>
      <c r="M16" s="38">
        <f t="shared" ca="1" si="10"/>
        <v>231400</v>
      </c>
      <c r="N16" s="38">
        <f t="shared" ca="1" si="10"/>
        <v>231400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1" t="s">
        <v>24</v>
      </c>
      <c r="B17" s="531"/>
      <c r="C17" s="531"/>
      <c r="D17" s="531"/>
      <c r="E17" s="531"/>
      <c r="F17" s="531"/>
      <c r="G17" s="53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2" t="s">
        <v>17</v>
      </c>
      <c r="E18" s="543"/>
      <c r="F18" s="543"/>
      <c r="G18" s="543"/>
      <c r="H18" s="20" t="s">
        <v>12</v>
      </c>
      <c r="I18" s="21"/>
      <c r="J18" s="21"/>
      <c r="K18" s="22"/>
      <c r="L18" s="23">
        <f t="shared" ref="L18:N18" ca="1" si="11">L19+L20</f>
        <v>2896715</v>
      </c>
      <c r="M18" s="23">
        <f t="shared" ca="1" si="11"/>
        <v>1660575</v>
      </c>
      <c r="N18" s="23">
        <f t="shared" ca="1" si="11"/>
        <v>1432466</v>
      </c>
      <c r="O18" s="22">
        <f t="shared" ref="O18:O20" ca="1" si="12">IF(L18&gt;0,N18*100/L18,0)</f>
        <v>49.45139580524836</v>
      </c>
      <c r="P18" s="22">
        <f t="shared" ref="P18:P26" ca="1" si="13">IF(M18&gt;0,N18*100/M18,0)</f>
        <v>86.263252186742548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2896715</v>
      </c>
      <c r="M20" s="30">
        <f t="shared" ca="1" si="15"/>
        <v>1660575</v>
      </c>
      <c r="N20" s="30">
        <f t="shared" ca="1" si="15"/>
        <v>1432466</v>
      </c>
      <c r="O20" s="29">
        <f t="shared" ca="1" si="12"/>
        <v>49.45139580524836</v>
      </c>
      <c r="P20" s="29">
        <f t="shared" ca="1" si="13"/>
        <v>86.263252186742548</v>
      </c>
    </row>
    <row r="21" spans="1:16" ht="21.75" customHeight="1" x14ac:dyDescent="0.45">
      <c r="A21" s="31"/>
      <c r="B21" s="32"/>
      <c r="C21" s="33" t="s">
        <v>16</v>
      </c>
      <c r="D21" s="544" t="s">
        <v>20</v>
      </c>
      <c r="E21" s="545"/>
      <c r="F21" s="54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2665315</v>
      </c>
      <c r="M22" s="42">
        <f t="shared" ca="1" si="18"/>
        <v>1429175</v>
      </c>
      <c r="N22" s="41">
        <f t="shared" ca="1" si="18"/>
        <v>1201066</v>
      </c>
      <c r="O22" s="41">
        <f t="shared" ca="1" si="17"/>
        <v>45.062816214968962</v>
      </c>
      <c r="P22" s="41">
        <f t="shared" ca="1" si="13"/>
        <v>84.039113474556999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1742900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922415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44" t="s">
        <v>23</v>
      </c>
      <c r="E25" s="54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231400</v>
      </c>
      <c r="M26" s="50">
        <f t="shared" ca="1" si="22"/>
        <v>231400</v>
      </c>
      <c r="N26" s="50">
        <f t="shared" ca="1" si="22"/>
        <v>231400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1" t="s">
        <v>25</v>
      </c>
      <c r="B27" s="531"/>
      <c r="C27" s="531"/>
      <c r="D27" s="531"/>
      <c r="E27" s="531"/>
      <c r="F27" s="531"/>
      <c r="G27" s="53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2" t="s">
        <v>17</v>
      </c>
      <c r="E28" s="543"/>
      <c r="F28" s="543"/>
      <c r="G28" s="543"/>
      <c r="H28" s="20" t="s">
        <v>12</v>
      </c>
      <c r="I28" s="21"/>
      <c r="J28" s="21"/>
      <c r="K28" s="22"/>
      <c r="L28" s="23">
        <f t="shared" ref="L28:N28" ca="1" si="23">L29+L30</f>
        <v>1664947</v>
      </c>
      <c r="M28" s="23">
        <f t="shared" si="23"/>
        <v>0</v>
      </c>
      <c r="N28" s="23">
        <f t="shared" ca="1" si="23"/>
        <v>487789.99</v>
      </c>
      <c r="O28" s="22">
        <f t="shared" ref="O28:O30" ca="1" si="24">IF(L28&gt;0,N28*100/L28,0)</f>
        <v>29.297628693285731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1664947</v>
      </c>
      <c r="M30" s="30">
        <f t="shared" si="27"/>
        <v>0</v>
      </c>
      <c r="N30" s="30">
        <f t="shared" ca="1" si="27"/>
        <v>487789.99</v>
      </c>
      <c r="O30" s="29">
        <f t="shared" ca="1" si="24"/>
        <v>29.297628693285731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44" t="s">
        <v>20</v>
      </c>
      <c r="E31" s="545"/>
      <c r="F31" s="54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1664947</v>
      </c>
      <c r="M32" s="41">
        <f t="shared" si="30"/>
        <v>0</v>
      </c>
      <c r="N32" s="41">
        <f t="shared" ca="1" si="30"/>
        <v>487789.99</v>
      </c>
      <c r="O32" s="41">
        <f t="shared" ca="1" si="29"/>
        <v>29.297628693285731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1561947</v>
      </c>
      <c r="M34" s="41">
        <f t="shared" si="32"/>
        <v>0</v>
      </c>
      <c r="N34" s="41">
        <f t="shared" ca="1" si="32"/>
        <v>487789.99</v>
      </c>
      <c r="O34" s="41">
        <f t="shared" ca="1" si="29"/>
        <v>31.229612144330122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44" t="s">
        <v>23</v>
      </c>
      <c r="E35" s="54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2896715</v>
      </c>
      <c r="M37" s="55">
        <f t="shared" ca="1" si="33"/>
        <v>1660575</v>
      </c>
      <c r="N37" s="55">
        <f t="shared" ca="1" si="33"/>
        <v>1432466</v>
      </c>
      <c r="O37" s="56">
        <f t="shared" ca="1" si="29"/>
        <v>49.45139580524836</v>
      </c>
      <c r="P37" s="56">
        <f t="shared" ca="1" si="25"/>
        <v>86.263252186742548</v>
      </c>
    </row>
    <row r="38" spans="1:16" ht="21.75" customHeight="1" x14ac:dyDescent="0.45">
      <c r="A38" s="546" t="s">
        <v>27</v>
      </c>
      <c r="B38" s="531"/>
      <c r="C38" s="531"/>
      <c r="D38" s="531"/>
      <c r="E38" s="531"/>
      <c r="F38" s="531"/>
      <c r="G38" s="53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7" t="s">
        <v>28</v>
      </c>
      <c r="C39" s="543"/>
      <c r="D39" s="543"/>
      <c r="E39" s="543"/>
      <c r="F39" s="543"/>
      <c r="G39" s="54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48" t="s">
        <v>17</v>
      </c>
      <c r="E41" s="545"/>
      <c r="F41" s="545"/>
      <c r="G41" s="545"/>
      <c r="H41" s="76" t="s">
        <v>12</v>
      </c>
      <c r="I41" s="77"/>
      <c r="J41" s="77"/>
      <c r="K41" s="78"/>
      <c r="L41" s="79">
        <f t="shared" ref="L41:N41" ca="1" si="34">L42+L43</f>
        <v>604100</v>
      </c>
      <c r="M41" s="79">
        <f t="shared" ca="1" si="34"/>
        <v>302000</v>
      </c>
      <c r="N41" s="79">
        <f t="shared" ca="1" si="34"/>
        <v>278611</v>
      </c>
      <c r="O41" s="78">
        <f t="shared" ref="O41:O43" ca="1" si="35">IF(L41&gt;0,N41*100/L41,0)</f>
        <v>46.120013242840592</v>
      </c>
      <c r="P41" s="78">
        <f t="shared" ref="P41:P43" ca="1" si="36">IF(M41&gt;0,N41*100/M41,0)</f>
        <v>92.255298013245039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604100</v>
      </c>
      <c r="M43" s="79">
        <f t="shared" ca="1" si="38"/>
        <v>302000</v>
      </c>
      <c r="N43" s="79">
        <f t="shared" ca="1" si="38"/>
        <v>278611</v>
      </c>
      <c r="O43" s="78">
        <f t="shared" ca="1" si="35"/>
        <v>46.120013242840592</v>
      </c>
      <c r="P43" s="78">
        <f t="shared" ca="1" si="36"/>
        <v>92.255298013245039</v>
      </c>
    </row>
    <row r="44" spans="1:16" ht="21.75" customHeight="1" x14ac:dyDescent="0.45">
      <c r="A44" s="80"/>
      <c r="B44" s="81"/>
      <c r="C44" s="82" t="s">
        <v>16</v>
      </c>
      <c r="D44" s="549" t="s">
        <v>20</v>
      </c>
      <c r="E44" s="545"/>
      <c r="F44" s="54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604100</v>
      </c>
      <c r="M45" s="91">
        <f ca="1">IFERROR(__xludf.DUMMYFUNCTION("IMPORTRANGE(""https://docs.google.com/spreadsheets/d/1Yj_ptqi66GCucihVvJfMjLAmec39IyEx_6qawtMGysU/edit?usp=sharing"",""สบก!Q88"")"),302000)</f>
        <v>302000</v>
      </c>
      <c r="N45" s="91">
        <f ca="1">IFERROR(__xludf.DUMMYFUNCTION("IMPORTRANGE(""https://docs.google.com/spreadsheets/d/1Yj_ptqi66GCucihVvJfMjLAmec39IyEx_6qawtMGysU/edit?usp=sharing"",""สบก!R88"")"),278611)</f>
        <v>278611</v>
      </c>
      <c r="O45" s="92">
        <f ca="1">IF(L45&gt;0,N45*100/L45,0)</f>
        <v>46.120013242840592</v>
      </c>
      <c r="P45" s="92">
        <f ca="1">IF(M45&gt;0,N45*100/M45,0)</f>
        <v>92.255298013245039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IFERROR(__xludf.DUMMYFUNCTION("IMPORTRANGE(""https://docs.google.com/spreadsheets/d/1Yj_ptqi66GCucihVvJfMjLAmec39IyEx_6qawtMGysU/edit?usp=sharing"",""สบก!M88"")"),604100)</f>
        <v>604100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IFERROR(__xludf.DUMMYFUNCTION("IMPORTRANGE(""https://docs.google.com/spreadsheets/d/1Yj_ptqi66GCucihVvJfMjLAmec39IyEx_6qawtMGysU/edit?usp=sharing"",""สบก!N88"")"),0)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49" t="s">
        <v>23</v>
      </c>
      <c r="E48" s="54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IFERROR(__xludf.DUMMYFUNCTION("IMPORTRANGE(""https://docs.google.com/spreadsheets/d/1Yj_ptqi66GCucihVvJfMjLAmec39IyEx_6qawtMGysU/edit?usp=sharing"",""สบก!O88"")"),0)</f>
        <v>0</v>
      </c>
      <c r="M49" s="101"/>
      <c r="N49" s="91">
        <f ca="1">IFERROR(__xludf.DUMMYFUNCTION("IMPORTRANGE(""https://docs.google.com/spreadsheets/d/1Yj_ptqi66GCucihVvJfMjLAmec39IyEx_6qawtMGysU/edit?usp=sharing"",""สบก!S88"")"),0)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0" t="s">
        <v>32</v>
      </c>
      <c r="C52" s="545"/>
      <c r="D52" s="545"/>
      <c r="E52" s="545"/>
      <c r="F52" s="545"/>
      <c r="G52" s="54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1" t="s">
        <v>17</v>
      </c>
      <c r="E53" s="545"/>
      <c r="F53" s="545"/>
      <c r="G53" s="545"/>
      <c r="H53" s="122" t="s">
        <v>12</v>
      </c>
      <c r="I53" s="123"/>
      <c r="J53" s="123"/>
      <c r="K53" s="124"/>
      <c r="L53" s="125">
        <f t="shared" ref="L53:N53" ca="1" si="39">L54+L55</f>
        <v>512600</v>
      </c>
      <c r="M53" s="125">
        <f t="shared" ca="1" si="39"/>
        <v>266260</v>
      </c>
      <c r="N53" s="125">
        <f t="shared" ca="1" si="39"/>
        <v>264078</v>
      </c>
      <c r="O53" s="124">
        <f t="shared" ref="O53:O55" ca="1" si="40">IF(L53&gt;0,N53*100/L53,0)</f>
        <v>51.517362465860323</v>
      </c>
      <c r="P53" s="124">
        <f t="shared" ref="P53:P55" ca="1" si="41">IF(M53&gt;0,N53*100/M53,0)</f>
        <v>99.180500262900921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512600</v>
      </c>
      <c r="M55" s="125">
        <f t="shared" ca="1" si="43"/>
        <v>266260</v>
      </c>
      <c r="N55" s="125">
        <f t="shared" ca="1" si="43"/>
        <v>264078</v>
      </c>
      <c r="O55" s="124">
        <f t="shared" ca="1" si="40"/>
        <v>51.517362465860323</v>
      </c>
      <c r="P55" s="124">
        <f t="shared" ca="1" si="41"/>
        <v>99.180500262900921</v>
      </c>
    </row>
    <row r="56" spans="1:16" ht="21.75" customHeight="1" x14ac:dyDescent="0.45">
      <c r="A56" s="80"/>
      <c r="B56" s="81"/>
      <c r="C56" s="82" t="s">
        <v>16</v>
      </c>
      <c r="D56" s="549" t="s">
        <v>20</v>
      </c>
      <c r="E56" s="545"/>
      <c r="F56" s="54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512600</v>
      </c>
      <c r="M57" s="91">
        <f ca="1">IFERROR(__xludf.DUMMYFUNCTION("IMPORTRANGE(""https://docs.google.com/spreadsheets/d/1Yj_ptqi66GCucihVvJfMjLAmec39IyEx_6qawtMGysU/edit?usp=sharing"",""สบก!Z88"")"),266260)</f>
        <v>266260</v>
      </c>
      <c r="N57" s="91">
        <f ca="1">IFERROR(__xludf.DUMMYFUNCTION("IMPORTRANGE(""https://docs.google.com/spreadsheets/d/1Yj_ptqi66GCucihVvJfMjLAmec39IyEx_6qawtMGysU/edit?usp=sharing"",""สบก!AA88"")"),264078)</f>
        <v>264078</v>
      </c>
      <c r="O57" s="92">
        <f ca="1">IF(L57&gt;0,N57*100/L57,0)</f>
        <v>51.517362465860323</v>
      </c>
      <c r="P57" s="92">
        <f ca="1">IF(M57&gt;0,N57*100/M57,0)</f>
        <v>99.180500262900921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IFERROR(__xludf.DUMMYFUNCTION("IMPORTRANGE(""https://docs.google.com/spreadsheets/d/1Yj_ptqi66GCucihVvJfMjLAmec39IyEx_6qawtMGysU/edit?usp=sharing"",""สบก!V88"")"),512600)</f>
        <v>512600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IFERROR(__xludf.DUMMYFUNCTION("IMPORTRANGE(""https://docs.google.com/spreadsheets/d/1Yj_ptqi66GCucihVvJfMjLAmec39IyEx_6qawtMGysU/edit?usp=sharing"",""สบก!W88"")"),0)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49" t="s">
        <v>23</v>
      </c>
      <c r="E60" s="54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IFERROR(__xludf.DUMMYFUNCTION("IMPORTRANGE(""https://docs.google.com/spreadsheets/d/1Yj_ptqi66GCucihVvJfMjLAmec39IyEx_6qawtMGysU/edit?usp=sharing"",""สบก!X88"")"),0)</f>
        <v>0</v>
      </c>
      <c r="M61" s="101"/>
      <c r="N61" s="91">
        <f ca="1">IFERROR(__xludf.DUMMYFUNCTION("IMPORTRANGE(""https://docs.google.com/spreadsheets/d/1Yj_ptqi66GCucihVvJfMjLAmec39IyEx_6qawtMGysU/edit?usp=sharing"",""สบก!AB88"")"),0)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IFERROR(__xludf.DUMMYFUNCTION("IMPORTRANGE(""https://docs.google.com/spreadsheets/d/1IYY_tgx_IHuhSq3AJ5eI5OnqOPBNLWSHKh2a30DoXe8/edit?usp=sharing"",""พัทลุง!I9"")"),1)</f>
        <v>1</v>
      </c>
      <c r="J64" s="146">
        <f ca="1">IFERROR(__xludf.DUMMYFUNCTION("IMPORTRANGE(""https://docs.google.com/spreadsheets/d/1IYY_tgx_IHuhSq3AJ5eI5OnqOPBNLWSHKh2a30DoXe8/edit?usp=sharing"",""พัทลุง!J9"")"),1)</f>
        <v>1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IFERROR(__xludf.DUMMYFUNCTION("IMPORTRANGE(""https://docs.google.com/spreadsheets/d/1IYY_tgx_IHuhSq3AJ5eI5OnqOPBNLWSHKh2a30DoXe8/edit?usp=sharing"",""พัทลุง!I10"")"),30)</f>
        <v>30</v>
      </c>
      <c r="J65" s="146">
        <f ca="1">IFERROR(__xludf.DUMMYFUNCTION("IMPORTRANGE(""https://docs.google.com/spreadsheets/d/1IYY_tgx_IHuhSq3AJ5eI5OnqOPBNLWSHKh2a30DoXe8/edit?usp=sharing"",""พัทลุง!J10"")"),30)</f>
        <v>30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52" t="s">
        <v>17</v>
      </c>
      <c r="E66" s="543"/>
      <c r="F66" s="543"/>
      <c r="G66" s="543"/>
      <c r="H66" s="153" t="s">
        <v>12</v>
      </c>
      <c r="I66" s="154"/>
      <c r="J66" s="154"/>
      <c r="K66" s="155"/>
      <c r="L66" s="156">
        <f t="shared" ref="L66:N66" ca="1" si="45">L67+L68</f>
        <v>580200</v>
      </c>
      <c r="M66" s="156">
        <f t="shared" ca="1" si="45"/>
        <v>326720</v>
      </c>
      <c r="N66" s="156">
        <f t="shared" ca="1" si="45"/>
        <v>240079</v>
      </c>
      <c r="O66" s="155">
        <f t="shared" ref="O66:O68" ca="1" si="46">IF(L66&gt;0,N66*100/L66,0)</f>
        <v>41.378662530162011</v>
      </c>
      <c r="P66" s="155">
        <f t="shared" ref="P66:P68" ca="1" si="47">IF(M66&gt;0,N66*100/M66,0)</f>
        <v>73.481574436826634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580200</v>
      </c>
      <c r="M68" s="161">
        <f t="shared" ca="1" si="49"/>
        <v>326720</v>
      </c>
      <c r="N68" s="161">
        <f t="shared" ca="1" si="49"/>
        <v>240079</v>
      </c>
      <c r="O68" s="160">
        <f t="shared" ca="1" si="46"/>
        <v>41.378662530162011</v>
      </c>
      <c r="P68" s="160">
        <f t="shared" ca="1" si="47"/>
        <v>73.481574436826634</v>
      </c>
    </row>
    <row r="69" spans="1:16" ht="21.75" customHeight="1" x14ac:dyDescent="0.35">
      <c r="A69" s="162"/>
      <c r="B69" s="163"/>
      <c r="C69" s="163" t="s">
        <v>16</v>
      </c>
      <c r="D69" s="164" t="s">
        <v>38</v>
      </c>
      <c r="E69" s="165"/>
      <c r="F69" s="165"/>
      <c r="G69" s="166" t="s">
        <v>39</v>
      </c>
      <c r="H69" s="167" t="s">
        <v>12</v>
      </c>
      <c r="I69" s="168" t="s">
        <v>40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 x14ac:dyDescent="0.35">
      <c r="A70" s="162"/>
      <c r="B70" s="163"/>
      <c r="C70" s="163"/>
      <c r="D70" s="172"/>
      <c r="E70" s="165"/>
      <c r="F70" s="165" t="s">
        <v>40</v>
      </c>
      <c r="G70" s="166" t="s">
        <v>41</v>
      </c>
      <c r="H70" s="167" t="s">
        <v>12</v>
      </c>
      <c r="I70" s="168"/>
      <c r="J70" s="168"/>
      <c r="K70" s="169"/>
      <c r="L70" s="173">
        <f ca="1">L71+L72</f>
        <v>580200</v>
      </c>
      <c r="M70" s="174">
        <f ca="1">IFERROR(__xludf.DUMMYFUNCTION("IMPORTRANGE(""https://docs.google.com/spreadsheets/d/1Yj_ptqi66GCucihVvJfMjLAmec39IyEx_6qawtMGysU/edit?usp=sharing"",""สบก!AI88"")"),326720)</f>
        <v>326720</v>
      </c>
      <c r="N70" s="175">
        <f ca="1">IFERROR(__xludf.DUMMYFUNCTION("IMPORTRANGE(""https://docs.google.com/spreadsheets/d/1Yj_ptqi66GCucihVvJfMjLAmec39IyEx_6qawtMGysU/edit?usp=sharing"",""สบก!AJ88"")"),240079)</f>
        <v>240079</v>
      </c>
      <c r="O70" s="176">
        <f ca="1">IF(L70&gt;0,N70*100/L70,0)</f>
        <v>41.378662530162011</v>
      </c>
      <c r="P70" s="176">
        <f ca="1">IF(M70&gt;0,N70*100/M70,0)</f>
        <v>73.481574436826634</v>
      </c>
    </row>
    <row r="71" spans="1:16" ht="21.75" customHeight="1" x14ac:dyDescent="0.35">
      <c r="A71" s="162"/>
      <c r="B71" s="163"/>
      <c r="C71" s="163"/>
      <c r="D71" s="172"/>
      <c r="E71" s="165"/>
      <c r="F71" s="165"/>
      <c r="G71" s="177" t="s">
        <v>42</v>
      </c>
      <c r="H71" s="167" t="s">
        <v>12</v>
      </c>
      <c r="I71" s="168"/>
      <c r="J71" s="168"/>
      <c r="K71" s="169"/>
      <c r="L71" s="174">
        <f ca="1">IFERROR(__xludf.DUMMYFUNCTION("IMPORTRANGE(""https://docs.google.com/spreadsheets/d/1Yj_ptqi66GCucihVvJfMjLAmec39IyEx_6qawtMGysU/edit?usp=sharing"",""สบก!AE88"")"),188200)</f>
        <v>188200</v>
      </c>
      <c r="M71" s="173"/>
      <c r="N71" s="173"/>
      <c r="O71" s="176"/>
      <c r="P71" s="176"/>
    </row>
    <row r="72" spans="1:16" ht="21.75" customHeight="1" x14ac:dyDescent="0.35">
      <c r="A72" s="162"/>
      <c r="B72" s="163"/>
      <c r="C72" s="163"/>
      <c r="D72" s="172"/>
      <c r="E72" s="165"/>
      <c r="F72" s="165"/>
      <c r="G72" s="177" t="s">
        <v>43</v>
      </c>
      <c r="H72" s="167" t="s">
        <v>12</v>
      </c>
      <c r="I72" s="168"/>
      <c r="J72" s="168"/>
      <c r="K72" s="169"/>
      <c r="L72" s="174">
        <f ca="1">IFERROR(__xludf.DUMMYFUNCTION("IMPORTRANGE(""https://docs.google.com/spreadsheets/d/1Yj_ptqi66GCucihVvJfMjLAmec39IyEx_6qawtMGysU/edit?usp=sharing"",""สบก!AF88"")"),392000)</f>
        <v>392000</v>
      </c>
      <c r="M72" s="173"/>
      <c r="N72" s="173"/>
      <c r="O72" s="176"/>
      <c r="P72" s="176"/>
    </row>
    <row r="73" spans="1:16" ht="21.75" customHeight="1" x14ac:dyDescent="0.45">
      <c r="A73" s="178"/>
      <c r="B73" s="81"/>
      <c r="C73" s="82" t="s">
        <v>16</v>
      </c>
      <c r="D73" s="549" t="s">
        <v>23</v>
      </c>
      <c r="E73" s="545"/>
      <c r="F73" s="89"/>
      <c r="G73" s="83" t="s">
        <v>18</v>
      </c>
      <c r="H73" s="179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80"/>
      <c r="B74" s="95"/>
      <c r="C74" s="95"/>
      <c r="D74" s="181"/>
      <c r="E74" s="96"/>
      <c r="F74" s="96"/>
      <c r="G74" s="97" t="s">
        <v>19</v>
      </c>
      <c r="H74" s="182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IFERROR(__xludf.DUMMYFUNCTION("IMPORTRANGE(""https://docs.google.com/spreadsheets/d/1Yj_ptqi66GCucihVvJfMjLAmec39IyEx_6qawtMGysU/edit?usp=sharing"",""สบก!AG88"")"),0)</f>
        <v>0</v>
      </c>
      <c r="M74" s="101"/>
      <c r="N74" s="91">
        <f ca="1">IFERROR(__xludf.DUMMYFUNCTION("IMPORTRANGE(""https://docs.google.com/spreadsheets/d/1Yj_ptqi66GCucihVvJfMjLAmec39IyEx_6qawtMGysU/edit?usp=sharing"",""สบก!AK88"")"),0)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3"/>
      <c r="B75" s="184"/>
      <c r="C75" s="163" t="s">
        <v>16</v>
      </c>
      <c r="D75" s="185" t="s">
        <v>44</v>
      </c>
      <c r="E75" s="186"/>
      <c r="F75" s="186"/>
      <c r="G75" s="187"/>
      <c r="H75" s="188"/>
      <c r="I75" s="168"/>
      <c r="J75" s="168"/>
      <c r="K75" s="169"/>
      <c r="L75" s="189"/>
      <c r="M75" s="189"/>
      <c r="N75" s="189"/>
      <c r="O75" s="189"/>
      <c r="P75" s="189"/>
    </row>
    <row r="76" spans="1:16" ht="21.75" customHeight="1" x14ac:dyDescent="0.35">
      <c r="A76" s="183"/>
      <c r="B76" s="184"/>
      <c r="C76" s="184"/>
      <c r="D76" s="190">
        <v>1</v>
      </c>
      <c r="E76" s="191" t="s">
        <v>45</v>
      </c>
      <c r="F76" s="192"/>
      <c r="G76" s="193"/>
      <c r="H76" s="194"/>
      <c r="I76" s="195"/>
      <c r="J76" s="196">
        <f ca="1">IFERROR(__xludf.DUMMYFUNCTION("IMPORTRANGE(""https://docs.google.com/spreadsheets/d/1IYY_tgx_IHuhSq3AJ5eI5OnqOPBNLWSHKh2a30DoXe8/edit?usp=sharing"",""พัทลุง!J16"")"),0)</f>
        <v>0</v>
      </c>
      <c r="K76" s="169"/>
      <c r="L76" s="189"/>
      <c r="M76" s="189"/>
      <c r="N76" s="189"/>
      <c r="O76" s="189"/>
      <c r="P76" s="189"/>
    </row>
    <row r="77" spans="1:16" ht="21.75" customHeight="1" x14ac:dyDescent="0.35">
      <c r="A77" s="183"/>
      <c r="B77" s="184"/>
      <c r="C77" s="184"/>
      <c r="D77" s="197">
        <v>2</v>
      </c>
      <c r="E77" s="198" t="s">
        <v>46</v>
      </c>
      <c r="F77" s="199"/>
      <c r="G77" s="200"/>
      <c r="H77" s="194"/>
      <c r="I77" s="195"/>
      <c r="J77" s="196">
        <f ca="1">IFERROR(__xludf.DUMMYFUNCTION("IMPORTRANGE(""https://docs.google.com/spreadsheets/d/1IYY_tgx_IHuhSq3AJ5eI5OnqOPBNLWSHKh2a30DoXe8/edit?usp=sharing"",""พัทลุง!J17"")"),1)</f>
        <v>1</v>
      </c>
      <c r="K77" s="169"/>
      <c r="L77" s="189" t="s">
        <v>40</v>
      </c>
      <c r="M77" s="189"/>
      <c r="N77" s="189" t="s">
        <v>40</v>
      </c>
      <c r="O77" s="189"/>
      <c r="P77" s="189"/>
    </row>
    <row r="78" spans="1:16" ht="21.75" customHeight="1" x14ac:dyDescent="0.35">
      <c r="A78" s="183"/>
      <c r="B78" s="184"/>
      <c r="C78" s="184"/>
      <c r="D78" s="201"/>
      <c r="E78" s="202" t="s">
        <v>47</v>
      </c>
      <c r="F78" s="203"/>
      <c r="G78" s="204"/>
      <c r="H78" s="194"/>
      <c r="I78" s="195"/>
      <c r="J78" s="196">
        <f ca="1">IFERROR(__xludf.DUMMYFUNCTION("IMPORTRANGE(""https://docs.google.com/spreadsheets/d/1IYY_tgx_IHuhSq3AJ5eI5OnqOPBNLWSHKh2a30DoXe8/edit?usp=sharing"",""พัทลุง!J18"")"),1)</f>
        <v>1</v>
      </c>
      <c r="K78" s="169"/>
      <c r="L78" s="189"/>
      <c r="M78" s="189"/>
      <c r="N78" s="189"/>
      <c r="O78" s="189"/>
      <c r="P78" s="189"/>
    </row>
    <row r="79" spans="1:16" ht="21.75" customHeight="1" x14ac:dyDescent="0.35">
      <c r="A79" s="183"/>
      <c r="B79" s="184"/>
      <c r="C79" s="184"/>
      <c r="D79" s="201"/>
      <c r="E79" s="202" t="s">
        <v>48</v>
      </c>
      <c r="F79" s="203"/>
      <c r="G79" s="204"/>
      <c r="H79" s="194"/>
      <c r="I79" s="195"/>
      <c r="J79" s="205">
        <f ca="1">IFERROR(__xludf.DUMMYFUNCTION("IMPORTRANGE(""https://docs.google.com/spreadsheets/d/1IYY_tgx_IHuhSq3AJ5eI5OnqOPBNLWSHKh2a30DoXe8/edit?usp=sharing"",""พัทลุง!J19"")"),1)</f>
        <v>1</v>
      </c>
      <c r="K79" s="169"/>
      <c r="L79" s="189"/>
      <c r="M79" s="189"/>
      <c r="N79" s="189"/>
      <c r="O79" s="189"/>
      <c r="P79" s="189"/>
    </row>
    <row r="80" spans="1:16" ht="21.75" customHeight="1" x14ac:dyDescent="0.35">
      <c r="A80" s="183"/>
      <c r="B80" s="184"/>
      <c r="C80" s="184"/>
      <c r="D80" s="201"/>
      <c r="E80" s="206"/>
      <c r="F80" s="202" t="s">
        <v>49</v>
      </c>
      <c r="G80" s="203"/>
      <c r="H80" s="207" t="s">
        <v>36</v>
      </c>
      <c r="I80" s="208">
        <f ca="1">IFERROR(__xludf.DUMMYFUNCTION("IMPORTRANGE(""https://docs.google.com/spreadsheets/d/1IYY_tgx_IHuhSq3AJ5eI5OnqOPBNLWSHKh2a30DoXe8/edit?usp=sharing"",""พัทลุง!I20"")"),1)</f>
        <v>1</v>
      </c>
      <c r="J80" s="208">
        <f ca="1">IFERROR(__xludf.DUMMYFUNCTION("IMPORTRANGE(""https://docs.google.com/spreadsheets/d/1IYY_tgx_IHuhSq3AJ5eI5OnqOPBNLWSHKh2a30DoXe8/edit?usp=sharing"",""พัทลุง!J20"")"),1)</f>
        <v>1</v>
      </c>
      <c r="K80" s="209">
        <f t="shared" ref="K80:K88" ca="1" si="50">IF(I80&gt;0,J80*100/I80,0)</f>
        <v>100</v>
      </c>
      <c r="L80" s="189"/>
      <c r="M80" s="189"/>
      <c r="N80" s="189"/>
      <c r="O80" s="189"/>
      <c r="P80" s="189"/>
    </row>
    <row r="81" spans="1:16" ht="21.75" customHeight="1" x14ac:dyDescent="0.35">
      <c r="A81" s="183"/>
      <c r="B81" s="184"/>
      <c r="C81" s="184"/>
      <c r="D81" s="201"/>
      <c r="E81" s="206"/>
      <c r="F81" s="203"/>
      <c r="G81" s="204"/>
      <c r="H81" s="207" t="s">
        <v>37</v>
      </c>
      <c r="I81" s="208">
        <f ca="1">IFERROR(__xludf.DUMMYFUNCTION("IMPORTRANGE(""https://docs.google.com/spreadsheets/d/1IYY_tgx_IHuhSq3AJ5eI5OnqOPBNLWSHKh2a30DoXe8/edit?usp=sharing"",""พัทลุง!I21"")"),30)</f>
        <v>30</v>
      </c>
      <c r="J81" s="208">
        <f ca="1">IFERROR(__xludf.DUMMYFUNCTION("IMPORTRANGE(""https://docs.google.com/spreadsheets/d/1IYY_tgx_IHuhSq3AJ5eI5OnqOPBNLWSHKh2a30DoXe8/edit?usp=sharing"",""พัทลุง!J21"")"),30)</f>
        <v>30</v>
      </c>
      <c r="K81" s="209">
        <f t="shared" ca="1" si="50"/>
        <v>100</v>
      </c>
      <c r="L81" s="189"/>
      <c r="M81" s="189"/>
      <c r="N81" s="189"/>
      <c r="O81" s="189"/>
      <c r="P81" s="189"/>
    </row>
    <row r="82" spans="1:16" ht="21.75" customHeight="1" x14ac:dyDescent="0.35">
      <c r="A82" s="183"/>
      <c r="B82" s="184"/>
      <c r="C82" s="184"/>
      <c r="D82" s="201"/>
      <c r="E82" s="206"/>
      <c r="F82" s="203"/>
      <c r="G82" s="203" t="s">
        <v>50</v>
      </c>
      <c r="H82" s="188" t="s">
        <v>36</v>
      </c>
      <c r="I82" s="210">
        <f ca="1">IFERROR(__xludf.DUMMYFUNCTION("IMPORTRANGE(""https://docs.google.com/spreadsheets/d/1IYY_tgx_IHuhSq3AJ5eI5OnqOPBNLWSHKh2a30DoXe8/edit?usp=sharing"",""พัทลุง!I22"")"),1)</f>
        <v>1</v>
      </c>
      <c r="J82" s="211">
        <f ca="1">IFERROR(__xludf.DUMMYFUNCTION("IMPORTRANGE(""https://docs.google.com/spreadsheets/d/1IYY_tgx_IHuhSq3AJ5eI5OnqOPBNLWSHKh2a30DoXe8/edit?usp=sharing"",""พัทลุง!J22"")"),1)</f>
        <v>1</v>
      </c>
      <c r="K82" s="169">
        <f t="shared" ca="1" si="50"/>
        <v>100</v>
      </c>
      <c r="L82" s="189"/>
      <c r="M82" s="189"/>
      <c r="N82" s="189"/>
      <c r="O82" s="189"/>
      <c r="P82" s="189"/>
    </row>
    <row r="83" spans="1:16" ht="21.75" customHeight="1" x14ac:dyDescent="0.35">
      <c r="A83" s="183"/>
      <c r="B83" s="184"/>
      <c r="C83" s="184"/>
      <c r="D83" s="201"/>
      <c r="E83" s="206"/>
      <c r="F83" s="203"/>
      <c r="G83" s="204"/>
      <c r="H83" s="188" t="s">
        <v>37</v>
      </c>
      <c r="I83" s="210">
        <f ca="1">IFERROR(__xludf.DUMMYFUNCTION("IMPORTRANGE(""https://docs.google.com/spreadsheets/d/1IYY_tgx_IHuhSq3AJ5eI5OnqOPBNLWSHKh2a30DoXe8/edit?usp=sharing"",""พัทลุง!I23"")"),30)</f>
        <v>30</v>
      </c>
      <c r="J83" s="211">
        <f ca="1">IFERROR(__xludf.DUMMYFUNCTION("IMPORTRANGE(""https://docs.google.com/spreadsheets/d/1IYY_tgx_IHuhSq3AJ5eI5OnqOPBNLWSHKh2a30DoXe8/edit?usp=sharing"",""พัทลุง!J23"")"),30)</f>
        <v>30</v>
      </c>
      <c r="K83" s="169">
        <f t="shared" ca="1" si="50"/>
        <v>100</v>
      </c>
      <c r="L83" s="189"/>
      <c r="M83" s="189"/>
      <c r="N83" s="189"/>
      <c r="O83" s="189"/>
      <c r="P83" s="189"/>
    </row>
    <row r="84" spans="1:16" ht="21.75" customHeight="1" x14ac:dyDescent="0.35">
      <c r="A84" s="183"/>
      <c r="B84" s="184"/>
      <c r="C84" s="184"/>
      <c r="D84" s="201"/>
      <c r="E84" s="206"/>
      <c r="F84" s="203"/>
      <c r="G84" s="203" t="s">
        <v>51</v>
      </c>
      <c r="H84" s="188" t="s">
        <v>36</v>
      </c>
      <c r="I84" s="210">
        <f ca="1">IFERROR(__xludf.DUMMYFUNCTION("IMPORTRANGE(""https://docs.google.com/spreadsheets/d/1IYY_tgx_IHuhSq3AJ5eI5OnqOPBNLWSHKh2a30DoXe8/edit?usp=sharing"",""พัทลุง!I24"")"),0)</f>
        <v>0</v>
      </c>
      <c r="J84" s="196">
        <f ca="1">IFERROR(__xludf.DUMMYFUNCTION("IMPORTRANGE(""https://docs.google.com/spreadsheets/d/1IYY_tgx_IHuhSq3AJ5eI5OnqOPBNLWSHKh2a30DoXe8/edit?usp=sharing"",""พัทลุง!J24"")"),0)</f>
        <v>0</v>
      </c>
      <c r="K84" s="169">
        <f t="shared" ca="1" si="50"/>
        <v>0</v>
      </c>
      <c r="L84" s="189"/>
      <c r="M84" s="189"/>
      <c r="N84" s="189"/>
      <c r="O84" s="189"/>
      <c r="P84" s="189"/>
    </row>
    <row r="85" spans="1:16" ht="21.75" customHeight="1" x14ac:dyDescent="0.35">
      <c r="A85" s="183"/>
      <c r="B85" s="184"/>
      <c r="C85" s="184"/>
      <c r="D85" s="201"/>
      <c r="E85" s="206"/>
      <c r="F85" s="203"/>
      <c r="G85" s="204"/>
      <c r="H85" s="188" t="s">
        <v>37</v>
      </c>
      <c r="I85" s="210">
        <f ca="1">IFERROR(__xludf.DUMMYFUNCTION("IMPORTRANGE(""https://docs.google.com/spreadsheets/d/1IYY_tgx_IHuhSq3AJ5eI5OnqOPBNLWSHKh2a30DoXe8/edit?usp=sharing"",""พัทลุง!I25"")"),0)</f>
        <v>0</v>
      </c>
      <c r="J85" s="196">
        <f ca="1">IFERROR(__xludf.DUMMYFUNCTION("IMPORTRANGE(""https://docs.google.com/spreadsheets/d/1IYY_tgx_IHuhSq3AJ5eI5OnqOPBNLWSHKh2a30DoXe8/edit?usp=sharing"",""พัทลุง!J25"")"),0)</f>
        <v>0</v>
      </c>
      <c r="K85" s="169">
        <f t="shared" ca="1" si="50"/>
        <v>0</v>
      </c>
      <c r="L85" s="189"/>
      <c r="M85" s="189"/>
      <c r="N85" s="189"/>
      <c r="O85" s="189"/>
      <c r="P85" s="189"/>
    </row>
    <row r="86" spans="1:16" ht="21.75" customHeight="1" x14ac:dyDescent="0.35">
      <c r="A86" s="183"/>
      <c r="B86" s="184"/>
      <c r="C86" s="184"/>
      <c r="D86" s="201"/>
      <c r="E86" s="206"/>
      <c r="F86" s="203"/>
      <c r="G86" s="203" t="s">
        <v>52</v>
      </c>
      <c r="H86" s="188" t="s">
        <v>36</v>
      </c>
      <c r="I86" s="210">
        <f ca="1">IFERROR(__xludf.DUMMYFUNCTION("IMPORTRANGE(""https://docs.google.com/spreadsheets/d/1IYY_tgx_IHuhSq3AJ5eI5OnqOPBNLWSHKh2a30DoXe8/edit?usp=sharing"",""พัทลุง!I26"")"),0)</f>
        <v>0</v>
      </c>
      <c r="J86" s="211">
        <f ca="1">IFERROR(__xludf.DUMMYFUNCTION("IMPORTRANGE(""https://docs.google.com/spreadsheets/d/1IYY_tgx_IHuhSq3AJ5eI5OnqOPBNLWSHKh2a30DoXe8/edit?usp=sharing"",""พัทลุง!J26"")"),0)</f>
        <v>0</v>
      </c>
      <c r="K86" s="169">
        <f t="shared" ca="1" si="50"/>
        <v>0</v>
      </c>
      <c r="L86" s="189"/>
      <c r="M86" s="189"/>
      <c r="N86" s="189"/>
      <c r="O86" s="189"/>
      <c r="P86" s="189"/>
    </row>
    <row r="87" spans="1:16" ht="21.75" customHeight="1" x14ac:dyDescent="0.35">
      <c r="A87" s="183"/>
      <c r="B87" s="184"/>
      <c r="C87" s="184"/>
      <c r="D87" s="201"/>
      <c r="E87" s="206"/>
      <c r="F87" s="203"/>
      <c r="G87" s="204"/>
      <c r="H87" s="188" t="s">
        <v>37</v>
      </c>
      <c r="I87" s="210">
        <f ca="1">IFERROR(__xludf.DUMMYFUNCTION("IMPORTRANGE(""https://docs.google.com/spreadsheets/d/1IYY_tgx_IHuhSq3AJ5eI5OnqOPBNLWSHKh2a30DoXe8/edit?usp=sharing"",""พัทลุง!I27"")"),0)</f>
        <v>0</v>
      </c>
      <c r="J87" s="211">
        <f ca="1">IFERROR(__xludf.DUMMYFUNCTION("IMPORTRANGE(""https://docs.google.com/spreadsheets/d/1IYY_tgx_IHuhSq3AJ5eI5OnqOPBNLWSHKh2a30DoXe8/edit?usp=sharing"",""พัทลุง!J27"")"),0)</f>
        <v>0</v>
      </c>
      <c r="K87" s="169">
        <f t="shared" ca="1" si="50"/>
        <v>0</v>
      </c>
      <c r="L87" s="189"/>
      <c r="M87" s="189"/>
      <c r="N87" s="189"/>
      <c r="O87" s="189"/>
      <c r="P87" s="189"/>
    </row>
    <row r="88" spans="1:16" ht="21.75" customHeight="1" x14ac:dyDescent="0.35">
      <c r="A88" s="183"/>
      <c r="B88" s="184"/>
      <c r="C88" s="184"/>
      <c r="D88" s="201"/>
      <c r="E88" s="206"/>
      <c r="F88" s="212" t="s">
        <v>53</v>
      </c>
      <c r="G88" s="203"/>
      <c r="H88" s="188" t="s">
        <v>37</v>
      </c>
      <c r="I88" s="210">
        <f ca="1">IFERROR(__xludf.DUMMYFUNCTION("IMPORTRANGE(""https://docs.google.com/spreadsheets/d/1IYY_tgx_IHuhSq3AJ5eI5OnqOPBNLWSHKh2a30DoXe8/edit?usp=sharing"",""พัทลุง!I28"")"),30)</f>
        <v>30</v>
      </c>
      <c r="J88" s="211">
        <f ca="1">IFERROR(__xludf.DUMMYFUNCTION("IMPORTRANGE(""https://docs.google.com/spreadsheets/d/1IYY_tgx_IHuhSq3AJ5eI5OnqOPBNLWSHKh2a30DoXe8/edit?usp=sharing"",""พัทลุง!J28"")"),0)</f>
        <v>0</v>
      </c>
      <c r="K88" s="169">
        <f t="shared" ca="1" si="50"/>
        <v>0</v>
      </c>
      <c r="L88" s="189"/>
      <c r="M88" s="189"/>
      <c r="N88" s="189"/>
      <c r="O88" s="189"/>
      <c r="P88" s="189"/>
    </row>
    <row r="89" spans="1:16" ht="21.75" customHeight="1" x14ac:dyDescent="0.35">
      <c r="A89" s="183"/>
      <c r="B89" s="184"/>
      <c r="C89" s="184"/>
      <c r="D89" s="201"/>
      <c r="E89" s="202" t="s">
        <v>54</v>
      </c>
      <c r="F89" s="203"/>
      <c r="G89" s="204"/>
      <c r="H89" s="194"/>
      <c r="I89" s="195"/>
      <c r="J89" s="205">
        <f ca="1">IFERROR(__xludf.DUMMYFUNCTION("IMPORTRANGE(""https://docs.google.com/spreadsheets/d/1IYY_tgx_IHuhSq3AJ5eI5OnqOPBNLWSHKh2a30DoXe8/edit?usp=sharing"",""พัทลุง!J29"")"),0)</f>
        <v>0</v>
      </c>
      <c r="K89" s="169"/>
      <c r="L89" s="189"/>
      <c r="M89" s="189"/>
      <c r="N89" s="189"/>
      <c r="O89" s="189"/>
      <c r="P89" s="189"/>
    </row>
    <row r="90" spans="1:16" ht="21.75" customHeight="1" x14ac:dyDescent="0.35">
      <c r="A90" s="183"/>
      <c r="B90" s="184"/>
      <c r="C90" s="184"/>
      <c r="D90" s="213">
        <v>3</v>
      </c>
      <c r="E90" s="214" t="s">
        <v>55</v>
      </c>
      <c r="F90" s="215"/>
      <c r="G90" s="216"/>
      <c r="H90" s="194"/>
      <c r="I90" s="195"/>
      <c r="J90" s="217">
        <f ca="1">IFERROR(__xludf.DUMMYFUNCTION("IMPORTRANGE(""https://docs.google.com/spreadsheets/d/1IYY_tgx_IHuhSq3AJ5eI5OnqOPBNLWSHKh2a30DoXe8/edit?usp=sharing"",""พัทลุง!J30"")"),0)</f>
        <v>0</v>
      </c>
      <c r="K90" s="169"/>
      <c r="L90" s="189"/>
      <c r="M90" s="189"/>
      <c r="N90" s="189"/>
      <c r="O90" s="189"/>
      <c r="P90" s="189"/>
    </row>
    <row r="91" spans="1:16" ht="21.75" customHeight="1" x14ac:dyDescent="0.35">
      <c r="A91" s="218" t="s">
        <v>56</v>
      </c>
      <c r="B91" s="219"/>
      <c r="C91" s="220"/>
      <c r="D91" s="219"/>
      <c r="E91" s="221"/>
      <c r="F91" s="221"/>
      <c r="G91" s="222"/>
      <c r="H91" s="223"/>
      <c r="I91" s="224"/>
      <c r="J91" s="224"/>
      <c r="K91" s="225"/>
      <c r="L91" s="226"/>
      <c r="M91" s="226"/>
      <c r="N91" s="226"/>
      <c r="O91" s="227"/>
      <c r="P91" s="227"/>
    </row>
    <row r="92" spans="1:16" ht="21.75" customHeight="1" x14ac:dyDescent="0.35">
      <c r="A92" s="142"/>
      <c r="B92" s="143" t="s">
        <v>57</v>
      </c>
      <c r="C92" s="143"/>
      <c r="D92" s="144"/>
      <c r="E92" s="143"/>
      <c r="F92" s="143"/>
      <c r="G92" s="228"/>
      <c r="H92" s="145" t="s">
        <v>37</v>
      </c>
      <c r="I92" s="146">
        <f ca="1">IFERROR(__xludf.DUMMYFUNCTION("IMPORTRANGE(""https://docs.google.com/spreadsheets/d/1IYY_tgx_IHuhSq3AJ5eI5OnqOPBNLWSHKh2a30DoXe8/edit?usp=sharing"",""พัทลุง!I32"")"),4)</f>
        <v>4</v>
      </c>
      <c r="J92" s="146">
        <f ca="1">IFERROR(__xludf.DUMMYFUNCTION("IMPORTRANGE(""https://docs.google.com/spreadsheets/d/1IYY_tgx_IHuhSq3AJ5eI5OnqOPBNLWSHKh2a30DoXe8/edit?usp=sharing"",""พัทลุง!J32"")"),0)</f>
        <v>0</v>
      </c>
      <c r="K92" s="147">
        <f t="shared" ref="K92:K93" ca="1" si="51">IF(I92&gt;0,J92*100/I92,0)</f>
        <v>0</v>
      </c>
      <c r="L92" s="229"/>
      <c r="M92" s="229"/>
      <c r="N92" s="230"/>
      <c r="O92" s="147"/>
      <c r="P92" s="147"/>
    </row>
    <row r="93" spans="1:16" ht="21.75" customHeight="1" x14ac:dyDescent="0.35">
      <c r="A93" s="142"/>
      <c r="B93" s="143"/>
      <c r="C93" s="143"/>
      <c r="D93" s="144" t="s">
        <v>58</v>
      </c>
      <c r="E93" s="143"/>
      <c r="F93" s="143"/>
      <c r="G93" s="228"/>
      <c r="H93" s="145" t="s">
        <v>59</v>
      </c>
      <c r="I93" s="146">
        <f ca="1">IFERROR(__xludf.DUMMYFUNCTION("IMPORTRANGE(""https://docs.google.com/spreadsheets/d/1IYY_tgx_IHuhSq3AJ5eI5OnqOPBNLWSHKh2a30DoXe8/edit?usp=sharing"",""พัทลุง!I33"")"),1)</f>
        <v>1</v>
      </c>
      <c r="J93" s="146">
        <f ca="1">IFERROR(__xludf.DUMMYFUNCTION("IMPORTRANGE(""https://docs.google.com/spreadsheets/d/1IYY_tgx_IHuhSq3AJ5eI5OnqOPBNLWSHKh2a30DoXe8/edit?usp=sharing"",""พัทลุง!J33"")"),1)</f>
        <v>1</v>
      </c>
      <c r="K93" s="147">
        <f t="shared" ca="1" si="51"/>
        <v>100</v>
      </c>
      <c r="L93" s="230"/>
      <c r="M93" s="230"/>
      <c r="N93" s="230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52" t="s">
        <v>17</v>
      </c>
      <c r="E94" s="543"/>
      <c r="F94" s="543"/>
      <c r="G94" s="543"/>
      <c r="H94" s="153" t="s">
        <v>12</v>
      </c>
      <c r="I94" s="168"/>
      <c r="J94" s="168"/>
      <c r="K94" s="169"/>
      <c r="L94" s="156">
        <f t="shared" ref="L94:N94" ca="1" si="52">L95+L96</f>
        <v>214500</v>
      </c>
      <c r="M94" s="156">
        <f t="shared" ca="1" si="52"/>
        <v>161130</v>
      </c>
      <c r="N94" s="156">
        <f t="shared" ca="1" si="52"/>
        <v>123020</v>
      </c>
      <c r="O94" s="155">
        <f t="shared" ref="O94:O96" ca="1" si="53">IF(L94&gt;0,N94*100/L94,0)</f>
        <v>57.351981351981351</v>
      </c>
      <c r="P94" s="155">
        <f t="shared" ref="P94:P96" ca="1" si="54">IF(M94&gt;0,N94*100/M94,0)</f>
        <v>76.34829020045926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8"/>
      <c r="J95" s="168"/>
      <c r="K95" s="169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8"/>
      <c r="J96" s="168"/>
      <c r="K96" s="169"/>
      <c r="L96" s="161">
        <f t="shared" ref="L96:N96" ca="1" si="56">L98+L102</f>
        <v>214500</v>
      </c>
      <c r="M96" s="161">
        <f t="shared" ca="1" si="56"/>
        <v>161130</v>
      </c>
      <c r="N96" s="161">
        <f t="shared" ca="1" si="56"/>
        <v>123020</v>
      </c>
      <c r="O96" s="160">
        <f t="shared" ca="1" si="53"/>
        <v>57.351981351981351</v>
      </c>
      <c r="P96" s="160">
        <f t="shared" ca="1" si="54"/>
        <v>76.34829020045926</v>
      </c>
    </row>
    <row r="97" spans="1:16" ht="21.75" customHeight="1" x14ac:dyDescent="0.35">
      <c r="A97" s="162"/>
      <c r="B97" s="163"/>
      <c r="C97" s="163" t="s">
        <v>16</v>
      </c>
      <c r="D97" s="164" t="s">
        <v>38</v>
      </c>
      <c r="E97" s="165"/>
      <c r="F97" s="165"/>
      <c r="G97" s="166" t="s">
        <v>39</v>
      </c>
      <c r="H97" s="167" t="s">
        <v>12</v>
      </c>
      <c r="I97" s="168" t="s">
        <v>40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 x14ac:dyDescent="0.35">
      <c r="A98" s="162"/>
      <c r="B98" s="163"/>
      <c r="C98" s="163"/>
      <c r="D98" s="172"/>
      <c r="E98" s="165"/>
      <c r="F98" s="165" t="s">
        <v>40</v>
      </c>
      <c r="G98" s="166" t="s">
        <v>41</v>
      </c>
      <c r="H98" s="167" t="s">
        <v>12</v>
      </c>
      <c r="I98" s="168"/>
      <c r="J98" s="168"/>
      <c r="K98" s="169"/>
      <c r="L98" s="173">
        <f ca="1">L99+L100</f>
        <v>122100</v>
      </c>
      <c r="M98" s="174">
        <f ca="1">IFERROR(__xludf.DUMMYFUNCTION("IMPORTRANGE(""https://docs.google.com/spreadsheets/d/1Yj_ptqi66GCucihVvJfMjLAmec39IyEx_6qawtMGysU/edit?usp=sharing"",""สบก!AR88"")"),68730)</f>
        <v>68730</v>
      </c>
      <c r="N98" s="175">
        <f ca="1">IFERROR(__xludf.DUMMYFUNCTION("IMPORTRANGE(""https://docs.google.com/spreadsheets/d/1Yj_ptqi66GCucihVvJfMjLAmec39IyEx_6qawtMGysU/edit?usp=sharing"",""สบก!AS88"")"),30620)</f>
        <v>30620</v>
      </c>
      <c r="O98" s="176">
        <f ca="1">IF(L98&gt;0,N98*100/L98,0)</f>
        <v>25.077805077805078</v>
      </c>
      <c r="P98" s="176">
        <f ca="1">IF(M98&gt;0,N98*100/M98,0)</f>
        <v>44.551142150443766</v>
      </c>
    </row>
    <row r="99" spans="1:16" ht="21.75" customHeight="1" x14ac:dyDescent="0.35">
      <c r="A99" s="162"/>
      <c r="B99" s="163"/>
      <c r="C99" s="163"/>
      <c r="D99" s="172"/>
      <c r="E99" s="165"/>
      <c r="F99" s="165"/>
      <c r="G99" s="177" t="s">
        <v>42</v>
      </c>
      <c r="H99" s="167" t="s">
        <v>12</v>
      </c>
      <c r="I99" s="168"/>
      <c r="J99" s="168"/>
      <c r="K99" s="169"/>
      <c r="L99" s="174">
        <f ca="1">IFERROR(__xludf.DUMMYFUNCTION("IMPORTRANGE(""https://docs.google.com/spreadsheets/d/1Yj_ptqi66GCucihVvJfMjLAmec39IyEx_6qawtMGysU/edit?usp=sharing"",""สบก!AN88"")"),0)</f>
        <v>0</v>
      </c>
      <c r="M99" s="173"/>
      <c r="N99" s="173"/>
      <c r="O99" s="176"/>
      <c r="P99" s="176"/>
    </row>
    <row r="100" spans="1:16" ht="21.75" customHeight="1" x14ac:dyDescent="0.35">
      <c r="A100" s="162"/>
      <c r="B100" s="163"/>
      <c r="C100" s="163"/>
      <c r="D100" s="172"/>
      <c r="E100" s="165"/>
      <c r="F100" s="165"/>
      <c r="G100" s="177" t="s">
        <v>43</v>
      </c>
      <c r="H100" s="167" t="s">
        <v>12</v>
      </c>
      <c r="I100" s="168"/>
      <c r="J100" s="195"/>
      <c r="K100" s="231"/>
      <c r="L100" s="174">
        <f ca="1">IFERROR(__xludf.DUMMYFUNCTION("IMPORTRANGE(""https://docs.google.com/spreadsheets/d/1Yj_ptqi66GCucihVvJfMjLAmec39IyEx_6qawtMGysU/edit?usp=sharing"",""สบก!AO88"")"),122100)</f>
        <v>122100</v>
      </c>
      <c r="M100" s="173"/>
      <c r="N100" s="173"/>
      <c r="O100" s="176"/>
      <c r="P100" s="176"/>
    </row>
    <row r="101" spans="1:16" ht="21.75" customHeight="1" x14ac:dyDescent="0.45">
      <c r="A101" s="178"/>
      <c r="B101" s="81"/>
      <c r="C101" s="82" t="s">
        <v>16</v>
      </c>
      <c r="D101" s="549" t="s">
        <v>23</v>
      </c>
      <c r="E101" s="545"/>
      <c r="F101" s="89"/>
      <c r="G101" s="83" t="s">
        <v>18</v>
      </c>
      <c r="H101" s="179" t="s">
        <v>12</v>
      </c>
      <c r="I101" s="195"/>
      <c r="J101" s="195"/>
      <c r="K101" s="231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80"/>
      <c r="B102" s="95"/>
      <c r="C102" s="95"/>
      <c r="D102" s="181"/>
      <c r="E102" s="96"/>
      <c r="F102" s="96"/>
      <c r="G102" s="97" t="s">
        <v>19</v>
      </c>
      <c r="H102" s="182" t="s">
        <v>12</v>
      </c>
      <c r="I102" s="195"/>
      <c r="J102" s="195"/>
      <c r="K102" s="231"/>
      <c r="L102" s="91">
        <f ca="1">IFERROR(__xludf.DUMMYFUNCTION("IMPORTRANGE(""https://docs.google.com/spreadsheets/d/1Yj_ptqi66GCucihVvJfMjLAmec39IyEx_6qawtMGysU/edit?usp=sharing"",""สบก!AP88"")"),92400)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IFERROR(__xludf.DUMMYFUNCTION("IMPORTRANGE(""https://docs.google.com/spreadsheets/d/1Yj_ptqi66GCucihVvJfMjLAmec39IyEx_6qawtMGysU/edit?usp=sharing"",""สบก!AT88"")"),92400)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3"/>
      <c r="B103" s="184"/>
      <c r="C103" s="163" t="s">
        <v>16</v>
      </c>
      <c r="D103" s="185" t="s">
        <v>44</v>
      </c>
      <c r="E103" s="186"/>
      <c r="F103" s="186"/>
      <c r="G103" s="187"/>
      <c r="H103" s="188"/>
      <c r="I103" s="168"/>
      <c r="J103" s="195"/>
      <c r="K103" s="231"/>
      <c r="L103" s="176"/>
      <c r="M103" s="176"/>
      <c r="N103" s="176"/>
      <c r="O103" s="189"/>
      <c r="P103" s="189"/>
    </row>
    <row r="104" spans="1:16" ht="21.75" customHeight="1" x14ac:dyDescent="0.35">
      <c r="A104" s="183"/>
      <c r="B104" s="184"/>
      <c r="C104" s="184"/>
      <c r="D104" s="190">
        <v>1</v>
      </c>
      <c r="E104" s="191" t="s">
        <v>45</v>
      </c>
      <c r="F104" s="192"/>
      <c r="G104" s="193"/>
      <c r="H104" s="194"/>
      <c r="I104" s="195"/>
      <c r="J104" s="195">
        <f ca="1">IFERROR(__xludf.DUMMYFUNCTION("IMPORTRANGE(""https://docs.google.com/spreadsheets/d/1IYY_tgx_IHuhSq3AJ5eI5OnqOPBNLWSHKh2a30DoXe8/edit?usp=sharing"",""พัทลุง!J39"")"),0)</f>
        <v>0</v>
      </c>
      <c r="K104" s="231"/>
      <c r="L104" s="176"/>
      <c r="M104" s="176"/>
      <c r="N104" s="176"/>
      <c r="O104" s="189"/>
      <c r="P104" s="189"/>
    </row>
    <row r="105" spans="1:16" ht="21.75" customHeight="1" x14ac:dyDescent="0.35">
      <c r="A105" s="183"/>
      <c r="B105" s="184"/>
      <c r="C105" s="184"/>
      <c r="D105" s="197">
        <v>2</v>
      </c>
      <c r="E105" s="198" t="s">
        <v>46</v>
      </c>
      <c r="F105" s="199"/>
      <c r="G105" s="200"/>
      <c r="H105" s="194"/>
      <c r="I105" s="195"/>
      <c r="J105" s="195">
        <f ca="1">IFERROR(__xludf.DUMMYFUNCTION("IMPORTRANGE(""https://docs.google.com/spreadsheets/d/1IYY_tgx_IHuhSq3AJ5eI5OnqOPBNLWSHKh2a30DoXe8/edit?usp=sharing"",""พัทลุง!J40"")"),1)</f>
        <v>1</v>
      </c>
      <c r="K105" s="231"/>
      <c r="L105" s="176" t="s">
        <v>40</v>
      </c>
      <c r="M105" s="176"/>
      <c r="N105" s="176" t="s">
        <v>40</v>
      </c>
      <c r="O105" s="189"/>
      <c r="P105" s="189"/>
    </row>
    <row r="106" spans="1:16" ht="21.75" customHeight="1" x14ac:dyDescent="0.35">
      <c r="A106" s="183"/>
      <c r="B106" s="184"/>
      <c r="C106" s="184"/>
      <c r="D106" s="201"/>
      <c r="E106" s="202" t="s">
        <v>47</v>
      </c>
      <c r="F106" s="203"/>
      <c r="G106" s="204"/>
      <c r="H106" s="194"/>
      <c r="I106" s="195"/>
      <c r="J106" s="195">
        <f ca="1">IFERROR(__xludf.DUMMYFUNCTION("IMPORTRANGE(""https://docs.google.com/spreadsheets/d/1IYY_tgx_IHuhSq3AJ5eI5OnqOPBNLWSHKh2a30DoXe8/edit?usp=sharing"",""พัทลุง!J41"")"),1)</f>
        <v>1</v>
      </c>
      <c r="K106" s="231"/>
      <c r="L106" s="176"/>
      <c r="M106" s="176"/>
      <c r="N106" s="176"/>
      <c r="O106" s="189"/>
      <c r="P106" s="189"/>
    </row>
    <row r="107" spans="1:16" ht="21.75" customHeight="1" x14ac:dyDescent="0.35">
      <c r="A107" s="183"/>
      <c r="B107" s="184"/>
      <c r="C107" s="184"/>
      <c r="D107" s="201"/>
      <c r="E107" s="202" t="s">
        <v>48</v>
      </c>
      <c r="F107" s="203"/>
      <c r="G107" s="204"/>
      <c r="H107" s="194"/>
      <c r="I107" s="195"/>
      <c r="J107" s="195">
        <f ca="1">IFERROR(__xludf.DUMMYFUNCTION("IMPORTRANGE(""https://docs.google.com/spreadsheets/d/1IYY_tgx_IHuhSq3AJ5eI5OnqOPBNLWSHKh2a30DoXe8/edit?usp=sharing"",""พัทลุง!J42"")"),1)</f>
        <v>1</v>
      </c>
      <c r="K107" s="231"/>
      <c r="L107" s="176"/>
      <c r="M107" s="176"/>
      <c r="N107" s="176"/>
      <c r="O107" s="189"/>
      <c r="P107" s="189"/>
    </row>
    <row r="108" spans="1:16" ht="21.75" customHeight="1" x14ac:dyDescent="0.35">
      <c r="A108" s="183"/>
      <c r="B108" s="184"/>
      <c r="C108" s="184"/>
      <c r="D108" s="201"/>
      <c r="E108" s="203"/>
      <c r="F108" s="203" t="s">
        <v>60</v>
      </c>
      <c r="G108" s="203"/>
      <c r="H108" s="188" t="s">
        <v>61</v>
      </c>
      <c r="I108" s="210">
        <f ca="1">IFERROR(__xludf.DUMMYFUNCTION("IMPORTRANGE(""https://docs.google.com/spreadsheets/d/1IYY_tgx_IHuhSq3AJ5eI5OnqOPBNLWSHKh2a30DoXe8/edit?usp=sharing"",""พัทลุง!I43"")"),1)</f>
        <v>1</v>
      </c>
      <c r="J108" s="211">
        <f ca="1">IFERROR(__xludf.DUMMYFUNCTION("IMPORTRANGE(""https://docs.google.com/spreadsheets/d/1IYY_tgx_IHuhSq3AJ5eI5OnqOPBNLWSHKh2a30DoXe8/edit?usp=sharing"",""พัทลุง!J43"")"),1)</f>
        <v>1</v>
      </c>
      <c r="K108" s="231">
        <f t="shared" ref="K108:K113" ca="1" si="57">IF(I108&gt;0,J108*100/I108,0)</f>
        <v>100</v>
      </c>
      <c r="L108" s="176"/>
      <c r="M108" s="176"/>
      <c r="N108" s="176"/>
      <c r="O108" s="189"/>
      <c r="P108" s="189"/>
    </row>
    <row r="109" spans="1:16" ht="21.75" customHeight="1" x14ac:dyDescent="0.35">
      <c r="A109" s="183"/>
      <c r="B109" s="184"/>
      <c r="C109" s="184"/>
      <c r="D109" s="201"/>
      <c r="E109" s="206"/>
      <c r="F109" s="202" t="s">
        <v>62</v>
      </c>
      <c r="G109" s="203"/>
      <c r="H109" s="188" t="s">
        <v>37</v>
      </c>
      <c r="I109" s="210">
        <f ca="1">IFERROR(__xludf.DUMMYFUNCTION("IMPORTRANGE(""https://docs.google.com/spreadsheets/d/1IYY_tgx_IHuhSq3AJ5eI5OnqOPBNLWSHKh2a30DoXe8/edit?usp=sharing"",""พัทลุง!I44"")"),4)</f>
        <v>4</v>
      </c>
      <c r="J109" s="211">
        <f ca="1">IFERROR(__xludf.DUMMYFUNCTION("IMPORTRANGE(""https://docs.google.com/spreadsheets/d/1IYY_tgx_IHuhSq3AJ5eI5OnqOPBNLWSHKh2a30DoXe8/edit?usp=sharing"",""พัทลุง!J44"")"),0)</f>
        <v>0</v>
      </c>
      <c r="K109" s="231">
        <f t="shared" ca="1" si="57"/>
        <v>0</v>
      </c>
      <c r="L109" s="176"/>
      <c r="M109" s="176"/>
      <c r="N109" s="176"/>
      <c r="O109" s="189"/>
      <c r="P109" s="189"/>
    </row>
    <row r="110" spans="1:16" ht="21.75" customHeight="1" x14ac:dyDescent="0.35">
      <c r="A110" s="183"/>
      <c r="B110" s="184"/>
      <c r="C110" s="184"/>
      <c r="D110" s="201"/>
      <c r="E110" s="206"/>
      <c r="F110" s="203"/>
      <c r="G110" s="232" t="s">
        <v>63</v>
      </c>
      <c r="H110" s="188" t="s">
        <v>37</v>
      </c>
      <c r="I110" s="210">
        <f ca="1">IFERROR(__xludf.DUMMYFUNCTION("IMPORTRANGE(""https://docs.google.com/spreadsheets/d/1IYY_tgx_IHuhSq3AJ5eI5OnqOPBNLWSHKh2a30DoXe8/edit?usp=sharing"",""พัทลุง!I45"")"),4)</f>
        <v>4</v>
      </c>
      <c r="J110" s="211">
        <f ca="1">IFERROR(__xludf.DUMMYFUNCTION("IMPORTRANGE(""https://docs.google.com/spreadsheets/d/1IYY_tgx_IHuhSq3AJ5eI5OnqOPBNLWSHKh2a30DoXe8/edit?usp=sharing"",""พัทลุง!J45"")"),4)</f>
        <v>4</v>
      </c>
      <c r="K110" s="231">
        <f t="shared" ca="1" si="57"/>
        <v>100</v>
      </c>
      <c r="L110" s="176"/>
      <c r="M110" s="176"/>
      <c r="N110" s="176"/>
      <c r="O110" s="189"/>
      <c r="P110" s="189"/>
    </row>
    <row r="111" spans="1:16" ht="21.75" customHeight="1" x14ac:dyDescent="0.35">
      <c r="A111" s="183"/>
      <c r="B111" s="184"/>
      <c r="C111" s="184"/>
      <c r="D111" s="201"/>
      <c r="E111" s="206"/>
      <c r="F111" s="203"/>
      <c r="G111" s="232" t="s">
        <v>64</v>
      </c>
      <c r="H111" s="188" t="s">
        <v>37</v>
      </c>
      <c r="I111" s="210">
        <f ca="1">IFERROR(__xludf.DUMMYFUNCTION("IMPORTRANGE(""https://docs.google.com/spreadsheets/d/1IYY_tgx_IHuhSq3AJ5eI5OnqOPBNLWSHKh2a30DoXe8/edit?usp=sharing"",""พัทลุง!I46"")"),4)</f>
        <v>4</v>
      </c>
      <c r="J111" s="211">
        <f ca="1">IFERROR(__xludf.DUMMYFUNCTION("IMPORTRANGE(""https://docs.google.com/spreadsheets/d/1IYY_tgx_IHuhSq3AJ5eI5OnqOPBNLWSHKh2a30DoXe8/edit?usp=sharing"",""พัทลุง!J46"")"),4)</f>
        <v>4</v>
      </c>
      <c r="K111" s="231">
        <f t="shared" ca="1" si="57"/>
        <v>100</v>
      </c>
      <c r="L111" s="176"/>
      <c r="M111" s="176"/>
      <c r="N111" s="176"/>
      <c r="O111" s="189"/>
      <c r="P111" s="189"/>
    </row>
    <row r="112" spans="1:16" ht="21.75" customHeight="1" x14ac:dyDescent="0.35">
      <c r="A112" s="183"/>
      <c r="B112" s="184"/>
      <c r="C112" s="184"/>
      <c r="D112" s="201"/>
      <c r="E112" s="206"/>
      <c r="F112" s="203"/>
      <c r="G112" s="233" t="s">
        <v>65</v>
      </c>
      <c r="H112" s="188" t="s">
        <v>37</v>
      </c>
      <c r="I112" s="210">
        <f ca="1">IFERROR(__xludf.DUMMYFUNCTION("IMPORTRANGE(""https://docs.google.com/spreadsheets/d/1IYY_tgx_IHuhSq3AJ5eI5OnqOPBNLWSHKh2a30DoXe8/edit?usp=sharing"",""พัทลุง!I47"")"),4)</f>
        <v>4</v>
      </c>
      <c r="J112" s="211">
        <f ca="1">IFERROR(__xludf.DUMMYFUNCTION("IMPORTRANGE(""https://docs.google.com/spreadsheets/d/1IYY_tgx_IHuhSq3AJ5eI5OnqOPBNLWSHKh2a30DoXe8/edit?usp=sharing"",""พัทลุง!J47"")"),0)</f>
        <v>0</v>
      </c>
      <c r="K112" s="231">
        <f t="shared" ca="1" si="57"/>
        <v>0</v>
      </c>
      <c r="L112" s="176"/>
      <c r="M112" s="176"/>
      <c r="N112" s="176"/>
      <c r="O112" s="189"/>
      <c r="P112" s="189"/>
    </row>
    <row r="113" spans="1:16" ht="21.75" customHeight="1" x14ac:dyDescent="0.35">
      <c r="A113" s="183"/>
      <c r="B113" s="184"/>
      <c r="C113" s="184"/>
      <c r="D113" s="201"/>
      <c r="E113" s="206"/>
      <c r="F113" s="203" t="s">
        <v>66</v>
      </c>
      <c r="G113" s="203"/>
      <c r="H113" s="188" t="s">
        <v>59</v>
      </c>
      <c r="I113" s="210">
        <f ca="1">IFERROR(__xludf.DUMMYFUNCTION("IMPORTRANGE(""https://docs.google.com/spreadsheets/d/1IYY_tgx_IHuhSq3AJ5eI5OnqOPBNLWSHKh2a30DoXe8/edit?usp=sharing"",""พัทลุง!I48"")"),1)</f>
        <v>1</v>
      </c>
      <c r="J113" s="211">
        <f ca="1">IFERROR(__xludf.DUMMYFUNCTION("IMPORTRANGE(""https://docs.google.com/spreadsheets/d/1IYY_tgx_IHuhSq3AJ5eI5OnqOPBNLWSHKh2a30DoXe8/edit?usp=sharing"",""พัทลุง!J48"")"),1)</f>
        <v>1</v>
      </c>
      <c r="K113" s="231">
        <f t="shared" ca="1" si="57"/>
        <v>100</v>
      </c>
      <c r="L113" s="176"/>
      <c r="M113" s="176"/>
      <c r="N113" s="176"/>
      <c r="O113" s="189"/>
      <c r="P113" s="189"/>
    </row>
    <row r="114" spans="1:16" ht="21.75" customHeight="1" x14ac:dyDescent="0.35">
      <c r="A114" s="183"/>
      <c r="B114" s="184"/>
      <c r="C114" s="184"/>
      <c r="D114" s="201"/>
      <c r="E114" s="202" t="s">
        <v>54</v>
      </c>
      <c r="F114" s="203"/>
      <c r="G114" s="204"/>
      <c r="H114" s="194"/>
      <c r="I114" s="195"/>
      <c r="J114" s="195">
        <f ca="1">IFERROR(__xludf.DUMMYFUNCTION("IMPORTRANGE(""https://docs.google.com/spreadsheets/d/1IYY_tgx_IHuhSq3AJ5eI5OnqOPBNLWSHKh2a30DoXe8/edit?usp=sharing"",""พัทลุง!J49"")"),0)</f>
        <v>0</v>
      </c>
      <c r="K114" s="231"/>
      <c r="L114" s="176"/>
      <c r="M114" s="176"/>
      <c r="N114" s="176"/>
      <c r="O114" s="189"/>
      <c r="P114" s="189"/>
    </row>
    <row r="115" spans="1:16" ht="21.75" customHeight="1" x14ac:dyDescent="0.35">
      <c r="A115" s="183"/>
      <c r="B115" s="184"/>
      <c r="C115" s="184"/>
      <c r="D115" s="213">
        <v>3</v>
      </c>
      <c r="E115" s="214" t="s">
        <v>55</v>
      </c>
      <c r="F115" s="215"/>
      <c r="G115" s="216"/>
      <c r="H115" s="194"/>
      <c r="I115" s="195"/>
      <c r="J115" s="234">
        <f ca="1">IFERROR(__xludf.DUMMYFUNCTION("IMPORTRANGE(""https://docs.google.com/spreadsheets/d/1IYY_tgx_IHuhSq3AJ5eI5OnqOPBNLWSHKh2a30DoXe8/edit?usp=sharing"",""พัทลุง!J50"")"),0)</f>
        <v>0</v>
      </c>
      <c r="K115" s="231"/>
      <c r="L115" s="176"/>
      <c r="M115" s="176"/>
      <c r="N115" s="176"/>
      <c r="O115" s="189"/>
      <c r="P115" s="189"/>
    </row>
    <row r="116" spans="1:16" ht="21.75" customHeight="1" x14ac:dyDescent="0.35">
      <c r="A116" s="218" t="s">
        <v>67</v>
      </c>
      <c r="B116" s="235"/>
      <c r="C116" s="236"/>
      <c r="D116" s="235"/>
      <c r="E116" s="237"/>
      <c r="F116" s="237"/>
      <c r="G116" s="238"/>
      <c r="H116" s="223"/>
      <c r="I116" s="224"/>
      <c r="J116" s="224"/>
      <c r="K116" s="225"/>
      <c r="L116" s="226"/>
      <c r="M116" s="226"/>
      <c r="N116" s="226"/>
      <c r="O116" s="227"/>
      <c r="P116" s="227"/>
    </row>
    <row r="117" spans="1:16" ht="21.75" customHeight="1" x14ac:dyDescent="0.35">
      <c r="A117" s="142"/>
      <c r="B117" s="143" t="s">
        <v>68</v>
      </c>
      <c r="C117" s="239"/>
      <c r="D117" s="144"/>
      <c r="E117" s="143"/>
      <c r="F117" s="143"/>
      <c r="G117" s="228"/>
      <c r="H117" s="145" t="s">
        <v>37</v>
      </c>
      <c r="I117" s="146">
        <f ca="1">IFERROR(__xludf.DUMMYFUNCTION("IMPORTRANGE(""https://docs.google.com/spreadsheets/d/1IYY_tgx_IHuhSq3AJ5eI5OnqOPBNLWSHKh2a30DoXe8/edit?usp=sharing"",""พัทลุง!I52"")"),0)</f>
        <v>0</v>
      </c>
      <c r="J117" s="146">
        <f ca="1">IFERROR(__xludf.DUMMYFUNCTION("IMPORTRANGE(""https://docs.google.com/spreadsheets/d/1IYY_tgx_IHuhSq3AJ5eI5OnqOPBNLWSHKh2a30DoXe8/edit?usp=sharing"",""พัทลุง!J52"")"),0)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52" t="s">
        <v>17</v>
      </c>
      <c r="E118" s="543"/>
      <c r="F118" s="543"/>
      <c r="G118" s="543"/>
      <c r="H118" s="153" t="s">
        <v>12</v>
      </c>
      <c r="I118" s="168"/>
      <c r="J118" s="168"/>
      <c r="K118" s="169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8"/>
      <c r="J119" s="168"/>
      <c r="K119" s="169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8"/>
      <c r="J120" s="168"/>
      <c r="K120" s="169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5">
      <c r="A121" s="162"/>
      <c r="B121" s="163"/>
      <c r="C121" s="163" t="s">
        <v>16</v>
      </c>
      <c r="D121" s="164" t="s">
        <v>38</v>
      </c>
      <c r="E121" s="165"/>
      <c r="F121" s="165"/>
      <c r="G121" s="166" t="s">
        <v>39</v>
      </c>
      <c r="H121" s="167" t="s">
        <v>12</v>
      </c>
      <c r="I121" s="168" t="s">
        <v>40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 x14ac:dyDescent="0.35">
      <c r="A122" s="162"/>
      <c r="B122" s="163"/>
      <c r="C122" s="163"/>
      <c r="D122" s="172"/>
      <c r="E122" s="165"/>
      <c r="F122" s="165" t="s">
        <v>40</v>
      </c>
      <c r="G122" s="166" t="s">
        <v>41</v>
      </c>
      <c r="H122" s="167" t="s">
        <v>12</v>
      </c>
      <c r="I122" s="168"/>
      <c r="J122" s="168"/>
      <c r="K122" s="169"/>
      <c r="L122" s="173">
        <f ca="1">L123+L124</f>
        <v>0</v>
      </c>
      <c r="M122" s="174">
        <f ca="1">IFERROR(__xludf.DUMMYFUNCTION("IMPORTRANGE(""https://docs.google.com/spreadsheets/d/1Yj_ptqi66GCucihVvJfMjLAmec39IyEx_6qawtMGysU/edit?usp=sharing"",""สบก!BA88"")"),0)</f>
        <v>0</v>
      </c>
      <c r="N122" s="175">
        <f ca="1">IFERROR(__xludf.DUMMYFUNCTION("IMPORTRANGE(""https://docs.google.com/spreadsheets/d/1Yj_ptqi66GCucihVvJfMjLAmec39IyEx_6qawtMGysU/edit?usp=sharing"",""สบก!BB88"")"),0)</f>
        <v>0</v>
      </c>
      <c r="O122" s="176">
        <f ca="1">IF(L122&gt;0,N122*100/L122,0)</f>
        <v>0</v>
      </c>
      <c r="P122" s="176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2"/>
      <c r="E123" s="165"/>
      <c r="F123" s="165"/>
      <c r="G123" s="177" t="s">
        <v>42</v>
      </c>
      <c r="H123" s="167" t="s">
        <v>12</v>
      </c>
      <c r="I123" s="168"/>
      <c r="J123" s="168"/>
      <c r="K123" s="169"/>
      <c r="L123" s="174">
        <f ca="1">IFERROR(__xludf.DUMMYFUNCTION("IMPORTRANGE(""https://docs.google.com/spreadsheets/d/1Yj_ptqi66GCucihVvJfMjLAmec39IyEx_6qawtMGysU/edit?usp=sharing"",""สบก!AW88"")"),0)</f>
        <v>0</v>
      </c>
      <c r="M123" s="173"/>
      <c r="N123" s="173"/>
      <c r="O123" s="176"/>
      <c r="P123" s="176"/>
    </row>
    <row r="124" spans="1:16" ht="21.75" customHeight="1" x14ac:dyDescent="0.35">
      <c r="A124" s="162"/>
      <c r="B124" s="163"/>
      <c r="C124" s="163"/>
      <c r="D124" s="172"/>
      <c r="E124" s="165"/>
      <c r="F124" s="165"/>
      <c r="G124" s="177" t="s">
        <v>43</v>
      </c>
      <c r="H124" s="167" t="s">
        <v>12</v>
      </c>
      <c r="I124" s="168"/>
      <c r="J124" s="195"/>
      <c r="K124" s="231"/>
      <c r="L124" s="174">
        <f ca="1">IFERROR(__xludf.DUMMYFUNCTION("IMPORTRANGE(""https://docs.google.com/spreadsheets/d/1Yj_ptqi66GCucihVvJfMjLAmec39IyEx_6qawtMGysU/edit?usp=sharing"",""สบก!AX88"")"),0)</f>
        <v>0</v>
      </c>
      <c r="M124" s="173"/>
      <c r="N124" s="173"/>
      <c r="O124" s="176"/>
      <c r="P124" s="176"/>
    </row>
    <row r="125" spans="1:16" ht="21.75" customHeight="1" x14ac:dyDescent="0.45">
      <c r="A125" s="178"/>
      <c r="B125" s="81"/>
      <c r="C125" s="82" t="s">
        <v>16</v>
      </c>
      <c r="D125" s="549" t="s">
        <v>23</v>
      </c>
      <c r="E125" s="545"/>
      <c r="F125" s="89"/>
      <c r="G125" s="83" t="s">
        <v>18</v>
      </c>
      <c r="H125" s="179" t="s">
        <v>12</v>
      </c>
      <c r="I125" s="195"/>
      <c r="J125" s="195"/>
      <c r="K125" s="231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80"/>
      <c r="B126" s="95"/>
      <c r="C126" s="95"/>
      <c r="D126" s="181"/>
      <c r="E126" s="96"/>
      <c r="F126" s="96"/>
      <c r="G126" s="97" t="s">
        <v>19</v>
      </c>
      <c r="H126" s="182" t="s">
        <v>12</v>
      </c>
      <c r="I126" s="195"/>
      <c r="J126" s="195"/>
      <c r="K126" s="231"/>
      <c r="L126" s="91">
        <f ca="1">IFERROR(__xludf.DUMMYFUNCTION("IMPORTRANGE(""https://docs.google.com/spreadsheets/d/1Yj_ptqi66GCucihVvJfMjLAmec39IyEx_6qawtMGysU/edit?usp=sharing"",""สบก!AY88"")"),0)</f>
        <v>0</v>
      </c>
      <c r="M126" s="101"/>
      <c r="N126" s="91">
        <f ca="1">IFERROR(__xludf.DUMMYFUNCTION("IMPORTRANGE(""https://docs.google.com/spreadsheets/d/1Yj_ptqi66GCucihVvJfMjLAmec39IyEx_6qawtMGysU/edit?usp=sharing"",""สบก!BC88"")"),0)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3"/>
      <c r="B127" s="184"/>
      <c r="C127" s="163" t="s">
        <v>16</v>
      </c>
      <c r="D127" s="240" t="s">
        <v>254</v>
      </c>
      <c r="E127" s="186"/>
      <c r="F127" s="186"/>
      <c r="G127" s="187"/>
      <c r="H127" s="188"/>
      <c r="I127" s="168"/>
      <c r="J127" s="195"/>
      <c r="K127" s="231"/>
      <c r="L127" s="176"/>
      <c r="M127" s="176"/>
      <c r="N127" s="176"/>
      <c r="O127" s="189"/>
      <c r="P127" s="189"/>
    </row>
    <row r="128" spans="1:16" ht="21.75" customHeight="1" x14ac:dyDescent="0.35">
      <c r="A128" s="183"/>
      <c r="B128" s="184"/>
      <c r="C128" s="184"/>
      <c r="D128" s="190">
        <v>1</v>
      </c>
      <c r="E128" s="191" t="s">
        <v>45</v>
      </c>
      <c r="F128" s="192"/>
      <c r="G128" s="193"/>
      <c r="H128" s="194"/>
      <c r="I128" s="195"/>
      <c r="J128" s="211">
        <f ca="1">IFERROR(__xludf.DUMMYFUNCTION("IMPORTRANGE(""https://docs.google.com/spreadsheets/d/1IYY_tgx_IHuhSq3AJ5eI5OnqOPBNLWSHKh2a30DoXe8/edit?usp=sharing"",""พัทลุง!J58"")"),0)</f>
        <v>0</v>
      </c>
      <c r="K128" s="231"/>
      <c r="L128" s="176"/>
      <c r="M128" s="176"/>
      <c r="N128" s="176"/>
      <c r="O128" s="189"/>
      <c r="P128" s="189"/>
    </row>
    <row r="129" spans="1:16" ht="21.75" customHeight="1" x14ac:dyDescent="0.35">
      <c r="A129" s="183"/>
      <c r="B129" s="184"/>
      <c r="C129" s="184"/>
      <c r="D129" s="197">
        <v>2</v>
      </c>
      <c r="E129" s="198" t="s">
        <v>46</v>
      </c>
      <c r="F129" s="199"/>
      <c r="G129" s="200"/>
      <c r="H129" s="194"/>
      <c r="I129" s="195"/>
      <c r="J129" s="195">
        <f ca="1">IFERROR(__xludf.DUMMYFUNCTION("IMPORTRANGE(""https://docs.google.com/spreadsheets/d/1IYY_tgx_IHuhSq3AJ5eI5OnqOPBNLWSHKh2a30DoXe8/edit?usp=sharing"",""พัทลุง!J59"")"),0)</f>
        <v>0</v>
      </c>
      <c r="K129" s="231"/>
      <c r="L129" s="176" t="s">
        <v>40</v>
      </c>
      <c r="M129" s="176"/>
      <c r="N129" s="176" t="s">
        <v>40</v>
      </c>
      <c r="O129" s="189"/>
      <c r="P129" s="189"/>
    </row>
    <row r="130" spans="1:16" ht="21.75" customHeight="1" x14ac:dyDescent="0.35">
      <c r="A130" s="183"/>
      <c r="B130" s="184"/>
      <c r="C130" s="184"/>
      <c r="D130" s="201"/>
      <c r="E130" s="202" t="s">
        <v>47</v>
      </c>
      <c r="F130" s="203"/>
      <c r="G130" s="204"/>
      <c r="H130" s="194"/>
      <c r="I130" s="195"/>
      <c r="J130" s="195">
        <f ca="1">IFERROR(__xludf.DUMMYFUNCTION("IMPORTRANGE(""https://docs.google.com/spreadsheets/d/1IYY_tgx_IHuhSq3AJ5eI5OnqOPBNLWSHKh2a30DoXe8/edit?usp=sharing"",""พัทลุง!J60"")"),0)</f>
        <v>0</v>
      </c>
      <c r="K130" s="231"/>
      <c r="L130" s="176"/>
      <c r="M130" s="176"/>
      <c r="N130" s="176"/>
      <c r="O130" s="189"/>
      <c r="P130" s="189"/>
    </row>
    <row r="131" spans="1:16" ht="21.75" customHeight="1" x14ac:dyDescent="0.35">
      <c r="A131" s="183"/>
      <c r="B131" s="184"/>
      <c r="C131" s="184"/>
      <c r="D131" s="201"/>
      <c r="E131" s="202" t="s">
        <v>48</v>
      </c>
      <c r="F131" s="203"/>
      <c r="G131" s="204"/>
      <c r="H131" s="194"/>
      <c r="I131" s="195"/>
      <c r="J131" s="195">
        <f ca="1">IFERROR(__xludf.DUMMYFUNCTION("IMPORTRANGE(""https://docs.google.com/spreadsheets/d/1IYY_tgx_IHuhSq3AJ5eI5OnqOPBNLWSHKh2a30DoXe8/edit?usp=sharing"",""พัทลุง!J61"")"),0)</f>
        <v>0</v>
      </c>
      <c r="K131" s="231"/>
      <c r="L131" s="176"/>
      <c r="M131" s="176"/>
      <c r="N131" s="176"/>
      <c r="O131" s="189"/>
      <c r="P131" s="189"/>
    </row>
    <row r="132" spans="1:16" ht="21.75" customHeight="1" x14ac:dyDescent="0.35">
      <c r="A132" s="183"/>
      <c r="B132" s="184"/>
      <c r="C132" s="184"/>
      <c r="D132" s="201"/>
      <c r="E132" s="206"/>
      <c r="F132" s="202" t="s">
        <v>70</v>
      </c>
      <c r="G132" s="204"/>
      <c r="H132" s="188" t="s">
        <v>37</v>
      </c>
      <c r="I132" s="195">
        <f ca="1">IFERROR(__xludf.DUMMYFUNCTION("IMPORTRANGE(""https://docs.google.com/spreadsheets/d/1IYY_tgx_IHuhSq3AJ5eI5OnqOPBNLWSHKh2a30DoXe8/edit?usp=sharing"",""พัทลุง!I62"")"),0)</f>
        <v>0</v>
      </c>
      <c r="J132" s="211">
        <f ca="1">IFERROR(__xludf.DUMMYFUNCTION("IMPORTRANGE(""https://docs.google.com/spreadsheets/d/1IYY_tgx_IHuhSq3AJ5eI5OnqOPBNLWSHKh2a30DoXe8/edit?usp=sharing"",""พัทลุง!J62"")"),0)</f>
        <v>0</v>
      </c>
      <c r="K132" s="231">
        <f t="shared" ref="K132:K133" ca="1" si="63">IF(I132&gt;0,J132*100/I132,0)</f>
        <v>0</v>
      </c>
      <c r="L132" s="176"/>
      <c r="M132" s="176"/>
      <c r="N132" s="176"/>
      <c r="O132" s="189"/>
      <c r="P132" s="189"/>
    </row>
    <row r="133" spans="1:16" ht="21.75" customHeight="1" x14ac:dyDescent="0.35">
      <c r="A133" s="183"/>
      <c r="B133" s="184"/>
      <c r="C133" s="184"/>
      <c r="D133" s="201"/>
      <c r="E133" s="206"/>
      <c r="F133" s="202" t="s">
        <v>71</v>
      </c>
      <c r="G133" s="204"/>
      <c r="H133" s="188" t="s">
        <v>37</v>
      </c>
      <c r="I133" s="195">
        <f ca="1">IFERROR(__xludf.DUMMYFUNCTION("IMPORTRANGE(""https://docs.google.com/spreadsheets/d/1IYY_tgx_IHuhSq3AJ5eI5OnqOPBNLWSHKh2a30DoXe8/edit?usp=sharing"",""พัทลุง!I63"")"),0)</f>
        <v>0</v>
      </c>
      <c r="J133" s="211">
        <f ca="1">IFERROR(__xludf.DUMMYFUNCTION("IMPORTRANGE(""https://docs.google.com/spreadsheets/d/1IYY_tgx_IHuhSq3AJ5eI5OnqOPBNLWSHKh2a30DoXe8/edit?usp=sharing"",""พัทลุง!J63"")"),0)</f>
        <v>0</v>
      </c>
      <c r="K133" s="231">
        <f t="shared" ca="1" si="63"/>
        <v>0</v>
      </c>
      <c r="L133" s="176"/>
      <c r="M133" s="176"/>
      <c r="N133" s="176"/>
      <c r="O133" s="189"/>
      <c r="P133" s="189"/>
    </row>
    <row r="134" spans="1:16" ht="21.75" customHeight="1" x14ac:dyDescent="0.35">
      <c r="A134" s="183"/>
      <c r="B134" s="184"/>
      <c r="C134" s="184"/>
      <c r="D134" s="201"/>
      <c r="E134" s="202" t="s">
        <v>54</v>
      </c>
      <c r="F134" s="203"/>
      <c r="G134" s="204"/>
      <c r="H134" s="194"/>
      <c r="I134" s="195"/>
      <c r="J134" s="195">
        <f ca="1">IFERROR(__xludf.DUMMYFUNCTION("IMPORTRANGE(""https://docs.google.com/spreadsheets/d/1IYY_tgx_IHuhSq3AJ5eI5OnqOPBNLWSHKh2a30DoXe8/edit?usp=sharing"",""พัทลุง!J64"")"),0)</f>
        <v>0</v>
      </c>
      <c r="K134" s="231"/>
      <c r="L134" s="176"/>
      <c r="M134" s="176"/>
      <c r="N134" s="176"/>
      <c r="O134" s="189"/>
      <c r="P134" s="189"/>
    </row>
    <row r="135" spans="1:16" ht="21.75" customHeight="1" x14ac:dyDescent="0.35">
      <c r="A135" s="241"/>
      <c r="B135" s="242"/>
      <c r="C135" s="242"/>
      <c r="D135" s="243">
        <v>3</v>
      </c>
      <c r="E135" s="244" t="s">
        <v>55</v>
      </c>
      <c r="F135" s="245"/>
      <c r="G135" s="246"/>
      <c r="H135" s="247"/>
      <c r="I135" s="248"/>
      <c r="J135" s="249">
        <f ca="1">IFERROR(__xludf.DUMMYFUNCTION("IMPORTRANGE(""https://docs.google.com/spreadsheets/d/1IYY_tgx_IHuhSq3AJ5eI5OnqOPBNLWSHKh2a30DoXe8/edit?usp=sharing"",""พัทลุง!J65"")"),0)</f>
        <v>0</v>
      </c>
      <c r="K135" s="250"/>
      <c r="L135" s="251"/>
      <c r="M135" s="251"/>
      <c r="N135" s="251"/>
      <c r="O135" s="252"/>
      <c r="P135" s="252"/>
    </row>
    <row r="136" spans="1:16" ht="21.75" customHeight="1" x14ac:dyDescent="0.35">
      <c r="A136" s="253" t="s">
        <v>72</v>
      </c>
      <c r="B136" s="254"/>
      <c r="C136" s="254"/>
      <c r="D136" s="254"/>
      <c r="E136" s="255"/>
      <c r="F136" s="255"/>
      <c r="G136" s="256"/>
      <c r="H136" s="257"/>
      <c r="I136" s="258"/>
      <c r="J136" s="258"/>
      <c r="K136" s="259"/>
      <c r="L136" s="260"/>
      <c r="M136" s="260"/>
      <c r="N136" s="260"/>
      <c r="O136" s="260"/>
      <c r="P136" s="260"/>
    </row>
    <row r="137" spans="1:16" ht="21.75" customHeight="1" x14ac:dyDescent="0.35">
      <c r="A137" s="261" t="s">
        <v>73</v>
      </c>
      <c r="B137" s="262"/>
      <c r="C137" s="262"/>
      <c r="D137" s="263"/>
      <c r="E137" s="263"/>
      <c r="F137" s="263"/>
      <c r="G137" s="264"/>
      <c r="H137" s="265"/>
      <c r="I137" s="266"/>
      <c r="J137" s="266"/>
      <c r="K137" s="267"/>
      <c r="L137" s="267"/>
      <c r="M137" s="267"/>
      <c r="N137" s="267"/>
      <c r="O137" s="268"/>
      <c r="P137" s="268"/>
    </row>
    <row r="138" spans="1:16" ht="21.75" customHeight="1" x14ac:dyDescent="0.35">
      <c r="A138" s="269"/>
      <c r="B138" s="270" t="s">
        <v>74</v>
      </c>
      <c r="C138" s="271"/>
      <c r="D138" s="270"/>
      <c r="E138" s="270"/>
      <c r="F138" s="270"/>
      <c r="G138" s="272"/>
      <c r="H138" s="273" t="s">
        <v>37</v>
      </c>
      <c r="I138" s="274">
        <f ca="1">IFERROR(__xludf.DUMMYFUNCTION("IMPORTRANGE(""https://docs.google.com/spreadsheets/d/1IYY_tgx_IHuhSq3AJ5eI5OnqOPBNLWSHKh2a30DoXe8/edit?usp=sharing"",""พัทลุง!I68"")"),0)</f>
        <v>0</v>
      </c>
      <c r="J138" s="274">
        <f ca="1">IFERROR(__xludf.DUMMYFUNCTION("IMPORTRANGE(""https://docs.google.com/spreadsheets/d/1IYY_tgx_IHuhSq3AJ5eI5OnqOPBNLWSHKh2a30DoXe8/edit?usp=sharing"",""พัทลุง!J68"")"),0)</f>
        <v>0</v>
      </c>
      <c r="K138" s="275">
        <f ca="1">IF(I138&gt;0,J138*100/I138,0)</f>
        <v>0</v>
      </c>
      <c r="L138" s="276"/>
      <c r="M138" s="276"/>
      <c r="N138" s="276"/>
      <c r="O138" s="275"/>
      <c r="P138" s="275"/>
    </row>
    <row r="139" spans="1:16" ht="21.75" customHeight="1" x14ac:dyDescent="0.35">
      <c r="A139" s="269"/>
      <c r="B139" s="270" t="s">
        <v>75</v>
      </c>
      <c r="C139" s="271"/>
      <c r="D139" s="270"/>
      <c r="E139" s="270"/>
      <c r="F139" s="270"/>
      <c r="G139" s="272"/>
      <c r="H139" s="273"/>
      <c r="I139" s="274"/>
      <c r="J139" s="274"/>
      <c r="K139" s="275"/>
      <c r="L139" s="276"/>
      <c r="M139" s="276"/>
      <c r="N139" s="276"/>
      <c r="O139" s="275"/>
      <c r="P139" s="275"/>
    </row>
    <row r="140" spans="1:16" ht="21.75" customHeight="1" x14ac:dyDescent="0.45">
      <c r="A140" s="150"/>
      <c r="B140" s="151"/>
      <c r="C140" s="152" t="s">
        <v>16</v>
      </c>
      <c r="D140" s="552" t="s">
        <v>17</v>
      </c>
      <c r="E140" s="543"/>
      <c r="F140" s="543"/>
      <c r="G140" s="543"/>
      <c r="H140" s="153" t="s">
        <v>12</v>
      </c>
      <c r="I140" s="168"/>
      <c r="J140" s="168"/>
      <c r="K140" s="169"/>
      <c r="L140" s="156">
        <f t="shared" ref="L140:N140" ca="1" si="64">L141+L142</f>
        <v>43000</v>
      </c>
      <c r="M140" s="156">
        <f t="shared" ca="1" si="64"/>
        <v>39750</v>
      </c>
      <c r="N140" s="156">
        <f t="shared" ca="1" si="64"/>
        <v>28740</v>
      </c>
      <c r="O140" s="155">
        <f t="shared" ref="O140:O142" ca="1" si="65">IF(L140&gt;0,N140*100/L140,0)</f>
        <v>66.837209302325576</v>
      </c>
      <c r="P140" s="155">
        <f t="shared" ref="P140:P142" ca="1" si="66">IF(M140&gt;0,N140*100/M140,0)</f>
        <v>72.301886792452834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8"/>
      <c r="J141" s="168"/>
      <c r="K141" s="169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8"/>
      <c r="J142" s="168"/>
      <c r="K142" s="169"/>
      <c r="L142" s="161">
        <f t="shared" ref="L142:N142" ca="1" si="68">L144+L148</f>
        <v>43000</v>
      </c>
      <c r="M142" s="161">
        <f t="shared" ca="1" si="68"/>
        <v>39750</v>
      </c>
      <c r="N142" s="161">
        <f t="shared" ca="1" si="68"/>
        <v>28740</v>
      </c>
      <c r="O142" s="160">
        <f t="shared" ca="1" si="65"/>
        <v>66.837209302325576</v>
      </c>
      <c r="P142" s="160">
        <f t="shared" ca="1" si="66"/>
        <v>72.301886792452834</v>
      </c>
    </row>
    <row r="143" spans="1:16" ht="21.75" customHeight="1" x14ac:dyDescent="0.35">
      <c r="A143" s="162"/>
      <c r="B143" s="163"/>
      <c r="C143" s="163" t="s">
        <v>16</v>
      </c>
      <c r="D143" s="164" t="s">
        <v>38</v>
      </c>
      <c r="E143" s="165"/>
      <c r="F143" s="165"/>
      <c r="G143" s="166" t="s">
        <v>39</v>
      </c>
      <c r="H143" s="167" t="s">
        <v>12</v>
      </c>
      <c r="I143" s="168" t="s">
        <v>40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 x14ac:dyDescent="0.35">
      <c r="A144" s="162"/>
      <c r="B144" s="163"/>
      <c r="C144" s="163"/>
      <c r="D144" s="172"/>
      <c r="E144" s="165"/>
      <c r="F144" s="165" t="s">
        <v>40</v>
      </c>
      <c r="G144" s="166" t="s">
        <v>41</v>
      </c>
      <c r="H144" s="167" t="s">
        <v>12</v>
      </c>
      <c r="I144" s="168"/>
      <c r="J144" s="168"/>
      <c r="K144" s="169"/>
      <c r="L144" s="173">
        <f ca="1">L145+L146</f>
        <v>43000</v>
      </c>
      <c r="M144" s="174">
        <f ca="1">IFERROR(__xludf.DUMMYFUNCTION("IMPORTRANGE(""https://docs.google.com/spreadsheets/d/1Yj_ptqi66GCucihVvJfMjLAmec39IyEx_6qawtMGysU/edit?usp=sharing"",""สบก!BJ88"")"),39750)</f>
        <v>39750</v>
      </c>
      <c r="N144" s="175">
        <f ca="1">IFERROR(__xludf.DUMMYFUNCTION("IMPORTRANGE(""https://docs.google.com/spreadsheets/d/1Yj_ptqi66GCucihVvJfMjLAmec39IyEx_6qawtMGysU/edit?usp=sharing"",""สบก!BK88"")"),28740)</f>
        <v>28740</v>
      </c>
      <c r="O144" s="176">
        <f ca="1">IF(L144&gt;0,N144*100/L144,0)</f>
        <v>66.837209302325576</v>
      </c>
      <c r="P144" s="176">
        <f ca="1">IF(M144&gt;0,N144*100/M144,0)</f>
        <v>72.301886792452834</v>
      </c>
    </row>
    <row r="145" spans="1:16" ht="21.75" customHeight="1" x14ac:dyDescent="0.35">
      <c r="A145" s="162"/>
      <c r="B145" s="163"/>
      <c r="C145" s="163"/>
      <c r="D145" s="172"/>
      <c r="E145" s="165"/>
      <c r="F145" s="165"/>
      <c r="G145" s="177" t="s">
        <v>42</v>
      </c>
      <c r="H145" s="167" t="s">
        <v>12</v>
      </c>
      <c r="I145" s="168"/>
      <c r="J145" s="168"/>
      <c r="K145" s="169"/>
      <c r="L145" s="174">
        <f ca="1">IFERROR(__xludf.DUMMYFUNCTION("IMPORTRANGE(""https://docs.google.com/spreadsheets/d/1Yj_ptqi66GCucihVvJfMjLAmec39IyEx_6qawtMGysU/edit?usp=sharing"",""สบก!BF88"")"),0)</f>
        <v>0</v>
      </c>
      <c r="M145" s="173"/>
      <c r="N145" s="173"/>
      <c r="O145" s="176"/>
      <c r="P145" s="176"/>
    </row>
    <row r="146" spans="1:16" ht="21.75" customHeight="1" x14ac:dyDescent="0.35">
      <c r="A146" s="162"/>
      <c r="B146" s="163"/>
      <c r="C146" s="163"/>
      <c r="D146" s="172"/>
      <c r="E146" s="165"/>
      <c r="F146" s="165"/>
      <c r="G146" s="177" t="s">
        <v>43</v>
      </c>
      <c r="H146" s="167" t="s">
        <v>12</v>
      </c>
      <c r="I146" s="168"/>
      <c r="J146" s="168"/>
      <c r="K146" s="169"/>
      <c r="L146" s="174">
        <f ca="1">IFERROR(__xludf.DUMMYFUNCTION("IMPORTRANGE(""https://docs.google.com/spreadsheets/d/1Yj_ptqi66GCucihVvJfMjLAmec39IyEx_6qawtMGysU/edit?usp=sharing"",""สบก!BG88"")"),43000)</f>
        <v>43000</v>
      </c>
      <c r="M146" s="173"/>
      <c r="N146" s="173"/>
      <c r="O146" s="176"/>
      <c r="P146" s="176"/>
    </row>
    <row r="147" spans="1:16" ht="21.75" customHeight="1" x14ac:dyDescent="0.45">
      <c r="A147" s="178"/>
      <c r="B147" s="81"/>
      <c r="C147" s="82" t="s">
        <v>16</v>
      </c>
      <c r="D147" s="549" t="s">
        <v>23</v>
      </c>
      <c r="E147" s="545"/>
      <c r="F147" s="89"/>
      <c r="G147" s="83" t="s">
        <v>18</v>
      </c>
      <c r="H147" s="179" t="s">
        <v>12</v>
      </c>
      <c r="I147" s="195"/>
      <c r="J147" s="195"/>
      <c r="K147" s="231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80"/>
      <c r="B148" s="95"/>
      <c r="C148" s="95"/>
      <c r="D148" s="181"/>
      <c r="E148" s="96"/>
      <c r="F148" s="96"/>
      <c r="G148" s="97" t="s">
        <v>19</v>
      </c>
      <c r="H148" s="182" t="s">
        <v>12</v>
      </c>
      <c r="I148" s="195"/>
      <c r="J148" s="195"/>
      <c r="K148" s="231"/>
      <c r="L148" s="91">
        <f ca="1">IFERROR(__xludf.DUMMYFUNCTION("IMPORTRANGE(""https://docs.google.com/spreadsheets/d/1Yj_ptqi66GCucihVvJfMjLAmec39IyEx_6qawtMGysU/edit?usp=sharing"",""สบก!BH88"")"),0)</f>
        <v>0</v>
      </c>
      <c r="M148" s="101"/>
      <c r="N148" s="91">
        <f ca="1">IFERROR(__xludf.DUMMYFUNCTION("IMPORTRANGE(""https://docs.google.com/spreadsheets/d/1Yj_ptqi66GCucihVvJfMjLAmec39IyEx_6qawtMGysU/edit?usp=sharing"",""สบก!BL88"")"),0)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7"/>
      <c r="B149" s="278"/>
      <c r="C149" s="279" t="s">
        <v>76</v>
      </c>
      <c r="D149" s="279"/>
      <c r="E149" s="279"/>
      <c r="F149" s="279"/>
      <c r="G149" s="280"/>
      <c r="H149" s="281" t="s">
        <v>77</v>
      </c>
      <c r="I149" s="282">
        <f ca="1">IFERROR(__xludf.DUMMYFUNCTION("IMPORTRANGE(""https://docs.google.com/spreadsheets/d/1IYY_tgx_IHuhSq3AJ5eI5OnqOPBNLWSHKh2a30DoXe8/edit?usp=sharing"",""พัทลุง!I74"")"),4)</f>
        <v>4</v>
      </c>
      <c r="J149" s="282">
        <f ca="1">IFERROR(__xludf.DUMMYFUNCTION("IMPORTRANGE(""https://docs.google.com/spreadsheets/d/1IYY_tgx_IHuhSq3AJ5eI5OnqOPBNLWSHKh2a30DoXe8/edit?usp=sharing"",""พัทลุง!J74"")"),1)</f>
        <v>1</v>
      </c>
      <c r="K149" s="283">
        <f ca="1">IF(I149&gt;0,J149*100/I149,0)</f>
        <v>25</v>
      </c>
      <c r="L149" s="284"/>
      <c r="M149" s="284"/>
      <c r="N149" s="284"/>
      <c r="O149" s="284"/>
      <c r="P149" s="284"/>
    </row>
    <row r="150" spans="1:16" ht="21.75" customHeight="1" x14ac:dyDescent="0.35">
      <c r="A150" s="162"/>
      <c r="B150" s="163"/>
      <c r="C150" s="163" t="s">
        <v>16</v>
      </c>
      <c r="D150" s="164" t="s">
        <v>38</v>
      </c>
      <c r="E150" s="165"/>
      <c r="F150" s="165"/>
      <c r="G150" s="166" t="s">
        <v>39</v>
      </c>
      <c r="H150" s="167" t="s">
        <v>12</v>
      </c>
      <c r="I150" s="168" t="s">
        <v>40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 x14ac:dyDescent="0.35">
      <c r="A151" s="162"/>
      <c r="B151" s="163"/>
      <c r="C151" s="163"/>
      <c r="D151" s="172"/>
      <c r="E151" s="165"/>
      <c r="F151" s="165" t="s">
        <v>40</v>
      </c>
      <c r="G151" s="166" t="s">
        <v>41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 x14ac:dyDescent="0.35">
      <c r="A152" s="162"/>
      <c r="B152" s="163"/>
      <c r="C152" s="163"/>
      <c r="D152" s="172"/>
      <c r="E152" s="165"/>
      <c r="F152" s="165"/>
      <c r="G152" s="177" t="s">
        <v>43</v>
      </c>
      <c r="H152" s="167" t="s">
        <v>12</v>
      </c>
      <c r="I152" s="168"/>
      <c r="J152" s="168"/>
      <c r="K152" s="169"/>
      <c r="L152" s="176"/>
      <c r="M152" s="176"/>
      <c r="N152" s="173"/>
      <c r="O152" s="176"/>
      <c r="P152" s="176"/>
    </row>
    <row r="153" spans="1:16" ht="21.75" customHeight="1" x14ac:dyDescent="0.35">
      <c r="A153" s="183"/>
      <c r="B153" s="184"/>
      <c r="C153" s="163" t="s">
        <v>16</v>
      </c>
      <c r="D153" s="185" t="s">
        <v>44</v>
      </c>
      <c r="E153" s="186"/>
      <c r="F153" s="186"/>
      <c r="G153" s="187"/>
      <c r="H153" s="188"/>
      <c r="I153" s="168"/>
      <c r="J153" s="168"/>
      <c r="K153" s="169"/>
      <c r="L153" s="189"/>
      <c r="M153" s="189"/>
      <c r="N153" s="189"/>
      <c r="O153" s="189"/>
      <c r="P153" s="189"/>
    </row>
    <row r="154" spans="1:16" ht="21.75" customHeight="1" x14ac:dyDescent="0.35">
      <c r="A154" s="183"/>
      <c r="B154" s="184"/>
      <c r="C154" s="184"/>
      <c r="D154" s="190">
        <v>1</v>
      </c>
      <c r="E154" s="191" t="s">
        <v>45</v>
      </c>
      <c r="F154" s="192"/>
      <c r="G154" s="193"/>
      <c r="H154" s="194"/>
      <c r="I154" s="195"/>
      <c r="J154" s="196">
        <f ca="1">IFERROR(__xludf.DUMMYFUNCTION("IMPORTRANGE(""https://docs.google.com/spreadsheets/d/1IYY_tgx_IHuhSq3AJ5eI5OnqOPBNLWSHKh2a30DoXe8/edit?usp=sharing"",""พัทลุง!J79"")"),0)</f>
        <v>0</v>
      </c>
      <c r="K154" s="169"/>
      <c r="L154" s="189"/>
      <c r="M154" s="189"/>
      <c r="N154" s="189"/>
      <c r="O154" s="189"/>
      <c r="P154" s="189"/>
    </row>
    <row r="155" spans="1:16" ht="21.75" customHeight="1" x14ac:dyDescent="0.35">
      <c r="A155" s="183"/>
      <c r="B155" s="184"/>
      <c r="C155" s="184"/>
      <c r="D155" s="197">
        <v>2</v>
      </c>
      <c r="E155" s="198" t="s">
        <v>46</v>
      </c>
      <c r="F155" s="199"/>
      <c r="G155" s="200"/>
      <c r="H155" s="194"/>
      <c r="I155" s="195"/>
      <c r="J155" s="205">
        <f ca="1">IFERROR(__xludf.DUMMYFUNCTION("IMPORTRANGE(""https://docs.google.com/spreadsheets/d/1IYY_tgx_IHuhSq3AJ5eI5OnqOPBNLWSHKh2a30DoXe8/edit?usp=sharing"",""พัทลุง!J80"")"),1)</f>
        <v>1</v>
      </c>
      <c r="K155" s="169"/>
      <c r="L155" s="189"/>
      <c r="M155" s="189"/>
      <c r="N155" s="189"/>
      <c r="O155" s="189"/>
      <c r="P155" s="189"/>
    </row>
    <row r="156" spans="1:16" ht="21.75" customHeight="1" x14ac:dyDescent="0.35">
      <c r="A156" s="183"/>
      <c r="B156" s="184"/>
      <c r="C156" s="184"/>
      <c r="D156" s="201"/>
      <c r="E156" s="202" t="s">
        <v>47</v>
      </c>
      <c r="F156" s="203"/>
      <c r="G156" s="204"/>
      <c r="H156" s="194"/>
      <c r="I156" s="195"/>
      <c r="J156" s="205">
        <f ca="1">IFERROR(__xludf.DUMMYFUNCTION("IMPORTRANGE(""https://docs.google.com/spreadsheets/d/1IYY_tgx_IHuhSq3AJ5eI5OnqOPBNLWSHKh2a30DoXe8/edit?usp=sharing"",""พัทลุง!J81"")"),1)</f>
        <v>1</v>
      </c>
      <c r="K156" s="169"/>
      <c r="L156" s="189"/>
      <c r="M156" s="189"/>
      <c r="N156" s="189"/>
      <c r="O156" s="189"/>
      <c r="P156" s="189"/>
    </row>
    <row r="157" spans="1:16" ht="21.75" customHeight="1" x14ac:dyDescent="0.35">
      <c r="A157" s="183"/>
      <c r="B157" s="184"/>
      <c r="C157" s="184"/>
      <c r="D157" s="201"/>
      <c r="E157" s="202" t="s">
        <v>48</v>
      </c>
      <c r="F157" s="203"/>
      <c r="G157" s="204"/>
      <c r="H157" s="194"/>
      <c r="I157" s="195"/>
      <c r="J157" s="205">
        <f ca="1">IFERROR(__xludf.DUMMYFUNCTION("IMPORTRANGE(""https://docs.google.com/spreadsheets/d/1IYY_tgx_IHuhSq3AJ5eI5OnqOPBNLWSHKh2a30DoXe8/edit?usp=sharing"",""พัทลุง!J82"")"),1)</f>
        <v>1</v>
      </c>
      <c r="K157" s="169"/>
      <c r="L157" s="189"/>
      <c r="M157" s="189"/>
      <c r="N157" s="189"/>
      <c r="O157" s="189"/>
      <c r="P157" s="189"/>
    </row>
    <row r="158" spans="1:16" ht="21.75" customHeight="1" x14ac:dyDescent="0.35">
      <c r="A158" s="183"/>
      <c r="B158" s="184"/>
      <c r="C158" s="184"/>
      <c r="D158" s="201"/>
      <c r="E158" s="206"/>
      <c r="F158" s="202" t="s">
        <v>78</v>
      </c>
      <c r="G158" s="204"/>
      <c r="H158" s="188" t="s">
        <v>77</v>
      </c>
      <c r="I158" s="195">
        <f ca="1">IFERROR(__xludf.DUMMYFUNCTION("IMPORTRANGE(""https://docs.google.com/spreadsheets/d/1IYY_tgx_IHuhSq3AJ5eI5OnqOPBNLWSHKh2a30DoXe8/edit?usp=sharing"",""พัทลุง!I83"")"),4)</f>
        <v>4</v>
      </c>
      <c r="J158" s="196">
        <f ca="1">IFERROR(__xludf.DUMMYFUNCTION("IMPORTRANGE(""https://docs.google.com/spreadsheets/d/1IYY_tgx_IHuhSq3AJ5eI5OnqOPBNLWSHKh2a30DoXe8/edit?usp=sharing"",""พัทลุง!J83"")"),1)</f>
        <v>1</v>
      </c>
      <c r="K158" s="169">
        <f ca="1">IF(I158&gt;0,J158*100/I158,0)</f>
        <v>25</v>
      </c>
      <c r="L158" s="189"/>
      <c r="M158" s="189"/>
      <c r="N158" s="189"/>
      <c r="O158" s="189"/>
      <c r="P158" s="189"/>
    </row>
    <row r="159" spans="1:16" ht="21.75" customHeight="1" x14ac:dyDescent="0.35">
      <c r="A159" s="183"/>
      <c r="B159" s="184"/>
      <c r="C159" s="184"/>
      <c r="D159" s="201"/>
      <c r="E159" s="203"/>
      <c r="F159" s="285" t="s">
        <v>79</v>
      </c>
      <c r="G159" s="204"/>
      <c r="H159" s="286" t="s">
        <v>37</v>
      </c>
      <c r="I159" s="195"/>
      <c r="J159" s="211">
        <f ca="1">IFERROR(__xludf.DUMMYFUNCTION("IMPORTRANGE(""https://docs.google.com/spreadsheets/d/1IYY_tgx_IHuhSq3AJ5eI5OnqOPBNLWSHKh2a30DoXe8/edit?usp=sharing"",""พัทลุง!J84"")"),15)</f>
        <v>15</v>
      </c>
      <c r="K159" s="169"/>
      <c r="L159" s="189"/>
      <c r="M159" s="189"/>
      <c r="N159" s="189"/>
      <c r="O159" s="189"/>
      <c r="P159" s="189"/>
    </row>
    <row r="160" spans="1:16" ht="21.75" customHeight="1" x14ac:dyDescent="0.45">
      <c r="A160" s="183"/>
      <c r="B160" s="184"/>
      <c r="C160" s="184"/>
      <c r="D160" s="201"/>
      <c r="E160" s="203"/>
      <c r="F160" s="203"/>
      <c r="G160" s="287" t="s">
        <v>80</v>
      </c>
      <c r="H160" s="286" t="s">
        <v>37</v>
      </c>
      <c r="I160" s="195"/>
      <c r="J160" s="288">
        <f ca="1">IFERROR(__xludf.DUMMYFUNCTION("IMPORTRANGE(""https://docs.google.com/spreadsheets/d/1IYY_tgx_IHuhSq3AJ5eI5OnqOPBNLWSHKh2a30DoXe8/edit?usp=sharing"",""พัทลุง!J85"")"),15)</f>
        <v>15</v>
      </c>
      <c r="K160" s="169"/>
      <c r="L160" s="189"/>
      <c r="M160" s="189"/>
      <c r="N160" s="189"/>
      <c r="O160" s="189"/>
      <c r="P160" s="189"/>
    </row>
    <row r="161" spans="1:16" ht="21.75" customHeight="1" x14ac:dyDescent="0.45">
      <c r="A161" s="183"/>
      <c r="B161" s="184"/>
      <c r="C161" s="184"/>
      <c r="D161" s="201"/>
      <c r="E161" s="203"/>
      <c r="F161" s="203"/>
      <c r="G161" s="287" t="s">
        <v>81</v>
      </c>
      <c r="H161" s="286" t="s">
        <v>37</v>
      </c>
      <c r="I161" s="195"/>
      <c r="J161" s="288">
        <f ca="1">IFERROR(__xludf.DUMMYFUNCTION("IMPORTRANGE(""https://docs.google.com/spreadsheets/d/1IYY_tgx_IHuhSq3AJ5eI5OnqOPBNLWSHKh2a30DoXe8/edit?usp=sharing"",""พัทลุง!J86"")"),0)</f>
        <v>0</v>
      </c>
      <c r="K161" s="169"/>
      <c r="L161" s="189"/>
      <c r="M161" s="189"/>
      <c r="N161" s="189"/>
      <c r="O161" s="189"/>
      <c r="P161" s="189"/>
    </row>
    <row r="162" spans="1:16" ht="21.75" customHeight="1" x14ac:dyDescent="0.35">
      <c r="A162" s="183"/>
      <c r="B162" s="184"/>
      <c r="C162" s="184"/>
      <c r="D162" s="201"/>
      <c r="E162" s="202" t="s">
        <v>54</v>
      </c>
      <c r="F162" s="203"/>
      <c r="G162" s="204"/>
      <c r="H162" s="194"/>
      <c r="I162" s="195"/>
      <c r="J162" s="205">
        <f ca="1">IFERROR(__xludf.DUMMYFUNCTION("IMPORTRANGE(""https://docs.google.com/spreadsheets/d/1IYY_tgx_IHuhSq3AJ5eI5OnqOPBNLWSHKh2a30DoXe8/edit?usp=sharing"",""พัทลุง!J87"")"),0)</f>
        <v>0</v>
      </c>
      <c r="K162" s="169"/>
      <c r="L162" s="189"/>
      <c r="M162" s="189"/>
      <c r="N162" s="189"/>
      <c r="O162" s="189"/>
      <c r="P162" s="189"/>
    </row>
    <row r="163" spans="1:16" ht="21.75" customHeight="1" x14ac:dyDescent="0.35">
      <c r="A163" s="183"/>
      <c r="B163" s="184"/>
      <c r="C163" s="184"/>
      <c r="D163" s="213">
        <v>3</v>
      </c>
      <c r="E163" s="214" t="s">
        <v>55</v>
      </c>
      <c r="F163" s="215"/>
      <c r="G163" s="216"/>
      <c r="H163" s="194"/>
      <c r="I163" s="195"/>
      <c r="J163" s="217">
        <f ca="1">IFERROR(__xludf.DUMMYFUNCTION("IMPORTRANGE(""https://docs.google.com/spreadsheets/d/1IYY_tgx_IHuhSq3AJ5eI5OnqOPBNLWSHKh2a30DoXe8/edit?usp=sharing"",""พัทลุง!J88"")"),0)</f>
        <v>0</v>
      </c>
      <c r="K163" s="169"/>
      <c r="L163" s="189"/>
      <c r="M163" s="189"/>
      <c r="N163" s="189"/>
      <c r="O163" s="189"/>
      <c r="P163" s="189"/>
    </row>
    <row r="164" spans="1:16" ht="21.75" customHeight="1" x14ac:dyDescent="0.35">
      <c r="A164" s="277"/>
      <c r="B164" s="278"/>
      <c r="C164" s="279" t="s">
        <v>82</v>
      </c>
      <c r="D164" s="279"/>
      <c r="E164" s="279"/>
      <c r="F164" s="279"/>
      <c r="G164" s="280"/>
      <c r="H164" s="289" t="s">
        <v>83</v>
      </c>
      <c r="I164" s="290">
        <f ca="1">IFERROR(__xludf.DUMMYFUNCTION("IMPORTRANGE(""https://docs.google.com/spreadsheets/d/1IYY_tgx_IHuhSq3AJ5eI5OnqOPBNLWSHKh2a30DoXe8/edit?usp=sharing"",""พัทลุง!I89"")"),2)</f>
        <v>2</v>
      </c>
      <c r="J164" s="290">
        <f ca="1">IFERROR(__xludf.DUMMYFUNCTION("IMPORTRANGE(""https://docs.google.com/spreadsheets/d/1IYY_tgx_IHuhSq3AJ5eI5OnqOPBNLWSHKh2a30DoXe8/edit?usp=sharing"",""พัทลุง!J89"")"),2)</f>
        <v>2</v>
      </c>
      <c r="K164" s="291">
        <f ca="1">IF(I164&gt;0,J164*100/I164,0)</f>
        <v>100</v>
      </c>
      <c r="L164" s="284"/>
      <c r="M164" s="284"/>
      <c r="N164" s="284"/>
      <c r="O164" s="284"/>
      <c r="P164" s="284"/>
    </row>
    <row r="165" spans="1:16" ht="21.75" customHeight="1" x14ac:dyDescent="0.35">
      <c r="A165" s="162"/>
      <c r="B165" s="163"/>
      <c r="C165" s="163" t="s">
        <v>16</v>
      </c>
      <c r="D165" s="164" t="s">
        <v>38</v>
      </c>
      <c r="E165" s="165"/>
      <c r="F165" s="165"/>
      <c r="G165" s="166" t="s">
        <v>39</v>
      </c>
      <c r="H165" s="167" t="s">
        <v>12</v>
      </c>
      <c r="I165" s="168" t="s">
        <v>40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 x14ac:dyDescent="0.35">
      <c r="A166" s="162"/>
      <c r="B166" s="163"/>
      <c r="C166" s="163"/>
      <c r="D166" s="172"/>
      <c r="E166" s="165"/>
      <c r="F166" s="165" t="s">
        <v>40</v>
      </c>
      <c r="G166" s="166" t="s">
        <v>41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 x14ac:dyDescent="0.35">
      <c r="A167" s="162"/>
      <c r="B167" s="163"/>
      <c r="C167" s="163"/>
      <c r="D167" s="172"/>
      <c r="E167" s="165"/>
      <c r="F167" s="165"/>
      <c r="G167" s="177" t="s">
        <v>43</v>
      </c>
      <c r="H167" s="167" t="s">
        <v>12</v>
      </c>
      <c r="I167" s="168"/>
      <c r="J167" s="168"/>
      <c r="K167" s="169"/>
      <c r="L167" s="176"/>
      <c r="M167" s="176"/>
      <c r="N167" s="173"/>
      <c r="O167" s="176"/>
      <c r="P167" s="176"/>
    </row>
    <row r="168" spans="1:16" ht="21.75" customHeight="1" x14ac:dyDescent="0.35">
      <c r="A168" s="183"/>
      <c r="B168" s="184"/>
      <c r="C168" s="163" t="s">
        <v>16</v>
      </c>
      <c r="D168" s="185" t="s">
        <v>44</v>
      </c>
      <c r="E168" s="186"/>
      <c r="F168" s="186"/>
      <c r="G168" s="187"/>
      <c r="H168" s="188"/>
      <c r="I168" s="168"/>
      <c r="J168" s="168"/>
      <c r="K168" s="169"/>
      <c r="L168" s="189"/>
      <c r="M168" s="189"/>
      <c r="N168" s="189"/>
      <c r="O168" s="189"/>
      <c r="P168" s="189"/>
    </row>
    <row r="169" spans="1:16" ht="21.75" customHeight="1" x14ac:dyDescent="0.35">
      <c r="A169" s="183"/>
      <c r="B169" s="184"/>
      <c r="C169" s="184"/>
      <c r="D169" s="190">
        <v>1</v>
      </c>
      <c r="E169" s="191" t="s">
        <v>45</v>
      </c>
      <c r="F169" s="192"/>
      <c r="G169" s="193"/>
      <c r="H169" s="194"/>
      <c r="I169" s="195"/>
      <c r="J169" s="196">
        <f ca="1">IFERROR(__xludf.DUMMYFUNCTION("IMPORTRANGE(""https://docs.google.com/spreadsheets/d/1IYY_tgx_IHuhSq3AJ5eI5OnqOPBNLWSHKh2a30DoXe8/edit?usp=sharing"",""พัทลุง!J94"")"),0)</f>
        <v>0</v>
      </c>
      <c r="K169" s="169"/>
      <c r="L169" s="189"/>
      <c r="M169" s="189"/>
      <c r="N169" s="189"/>
      <c r="O169" s="189"/>
      <c r="P169" s="189"/>
    </row>
    <row r="170" spans="1:16" ht="21.75" customHeight="1" x14ac:dyDescent="0.35">
      <c r="A170" s="183"/>
      <c r="B170" s="184"/>
      <c r="C170" s="184"/>
      <c r="D170" s="197">
        <v>2</v>
      </c>
      <c r="E170" s="198" t="s">
        <v>46</v>
      </c>
      <c r="F170" s="199"/>
      <c r="G170" s="200"/>
      <c r="H170" s="194"/>
      <c r="I170" s="195"/>
      <c r="J170" s="205">
        <f ca="1">IFERROR(__xludf.DUMMYFUNCTION("IMPORTRANGE(""https://docs.google.com/spreadsheets/d/1IYY_tgx_IHuhSq3AJ5eI5OnqOPBNLWSHKh2a30DoXe8/edit?usp=sharing"",""พัทลุง!J95"")"),1)</f>
        <v>1</v>
      </c>
      <c r="K170" s="169"/>
      <c r="L170" s="189"/>
      <c r="M170" s="189"/>
      <c r="N170" s="189"/>
      <c r="O170" s="189"/>
      <c r="P170" s="189"/>
    </row>
    <row r="171" spans="1:16" ht="21.75" customHeight="1" x14ac:dyDescent="0.35">
      <c r="A171" s="183"/>
      <c r="B171" s="184"/>
      <c r="C171" s="184"/>
      <c r="D171" s="201"/>
      <c r="E171" s="202" t="s">
        <v>47</v>
      </c>
      <c r="F171" s="203"/>
      <c r="G171" s="204"/>
      <c r="H171" s="194"/>
      <c r="I171" s="195"/>
      <c r="J171" s="205">
        <f ca="1">IFERROR(__xludf.DUMMYFUNCTION("IMPORTRANGE(""https://docs.google.com/spreadsheets/d/1IYY_tgx_IHuhSq3AJ5eI5OnqOPBNLWSHKh2a30DoXe8/edit?usp=sharing"",""พัทลุง!J96"")"),1)</f>
        <v>1</v>
      </c>
      <c r="K171" s="169"/>
      <c r="L171" s="189"/>
      <c r="M171" s="189"/>
      <c r="N171" s="189"/>
      <c r="O171" s="189"/>
      <c r="P171" s="189"/>
    </row>
    <row r="172" spans="1:16" ht="21.75" customHeight="1" x14ac:dyDescent="0.35">
      <c r="A172" s="183"/>
      <c r="B172" s="184"/>
      <c r="C172" s="184"/>
      <c r="D172" s="201"/>
      <c r="E172" s="202" t="s">
        <v>48</v>
      </c>
      <c r="F172" s="203"/>
      <c r="G172" s="204"/>
      <c r="H172" s="194"/>
      <c r="I172" s="195"/>
      <c r="J172" s="205">
        <f ca="1">IFERROR(__xludf.DUMMYFUNCTION("IMPORTRANGE(""https://docs.google.com/spreadsheets/d/1IYY_tgx_IHuhSq3AJ5eI5OnqOPBNLWSHKh2a30DoXe8/edit?usp=sharing"",""พัทลุง!J97"")"),1)</f>
        <v>1</v>
      </c>
      <c r="K172" s="169"/>
      <c r="L172" s="189"/>
      <c r="M172" s="189"/>
      <c r="N172" s="189"/>
      <c r="O172" s="189"/>
      <c r="P172" s="189"/>
    </row>
    <row r="173" spans="1:16" ht="21.75" customHeight="1" x14ac:dyDescent="0.35">
      <c r="A173" s="183"/>
      <c r="B173" s="184"/>
      <c r="C173" s="184"/>
      <c r="D173" s="201"/>
      <c r="E173" s="206"/>
      <c r="F173" s="212" t="s">
        <v>84</v>
      </c>
      <c r="G173" s="204"/>
      <c r="H173" s="188" t="s">
        <v>83</v>
      </c>
      <c r="I173" s="195">
        <f ca="1">IFERROR(__xludf.DUMMYFUNCTION("IMPORTRANGE(""https://docs.google.com/spreadsheets/d/1IYY_tgx_IHuhSq3AJ5eI5OnqOPBNLWSHKh2a30DoXe8/edit?usp=sharing"",""พัทลุง!I98"")"),2)</f>
        <v>2</v>
      </c>
      <c r="J173" s="196">
        <f ca="1">IFERROR(__xludf.DUMMYFUNCTION("IMPORTRANGE(""https://docs.google.com/spreadsheets/d/1IYY_tgx_IHuhSq3AJ5eI5OnqOPBNLWSHKh2a30DoXe8/edit?usp=sharing"",""พัทลุง!J98"")"),2)</f>
        <v>2</v>
      </c>
      <c r="K173" s="169">
        <f ca="1">IF(I173&gt;0,J173*100/I173,0)</f>
        <v>100</v>
      </c>
      <c r="L173" s="176"/>
      <c r="M173" s="176"/>
      <c r="N173" s="173"/>
      <c r="O173" s="176"/>
      <c r="P173" s="176"/>
    </row>
    <row r="174" spans="1:16" ht="21.75" customHeight="1" x14ac:dyDescent="0.35">
      <c r="A174" s="183"/>
      <c r="B174" s="184"/>
      <c r="C174" s="184"/>
      <c r="D174" s="201"/>
      <c r="E174" s="202" t="s">
        <v>54</v>
      </c>
      <c r="F174" s="203"/>
      <c r="G174" s="204"/>
      <c r="H174" s="194"/>
      <c r="I174" s="195"/>
      <c r="J174" s="205">
        <f ca="1">IFERROR(__xludf.DUMMYFUNCTION("IMPORTRANGE(""https://docs.google.com/spreadsheets/d/1IYY_tgx_IHuhSq3AJ5eI5OnqOPBNLWSHKh2a30DoXe8/edit?usp=sharing"",""พัทลุง!J99"")"),0)</f>
        <v>0</v>
      </c>
      <c r="K174" s="169"/>
      <c r="L174" s="189"/>
      <c r="M174" s="189"/>
      <c r="N174" s="189"/>
      <c r="O174" s="189"/>
      <c r="P174" s="189"/>
    </row>
    <row r="175" spans="1:16" ht="21.75" customHeight="1" x14ac:dyDescent="0.35">
      <c r="A175" s="183"/>
      <c r="B175" s="184"/>
      <c r="C175" s="184"/>
      <c r="D175" s="213">
        <v>3</v>
      </c>
      <c r="E175" s="214" t="s">
        <v>55</v>
      </c>
      <c r="F175" s="215"/>
      <c r="G175" s="216"/>
      <c r="H175" s="194"/>
      <c r="I175" s="195"/>
      <c r="J175" s="217">
        <f ca="1">IFERROR(__xludf.DUMMYFUNCTION("IMPORTRANGE(""https://docs.google.com/spreadsheets/d/1IYY_tgx_IHuhSq3AJ5eI5OnqOPBNLWSHKh2a30DoXe8/edit?usp=sharing"",""พัทลุง!J100"")"),0)</f>
        <v>0</v>
      </c>
      <c r="K175" s="169"/>
      <c r="L175" s="189"/>
      <c r="M175" s="189"/>
      <c r="N175" s="189"/>
      <c r="O175" s="189"/>
      <c r="P175" s="189"/>
    </row>
    <row r="176" spans="1:16" ht="21.75" customHeight="1" x14ac:dyDescent="0.35">
      <c r="A176" s="277"/>
      <c r="B176" s="278"/>
      <c r="C176" s="279" t="s">
        <v>85</v>
      </c>
      <c r="D176" s="279"/>
      <c r="E176" s="279"/>
      <c r="F176" s="279"/>
      <c r="G176" s="280"/>
      <c r="H176" s="289" t="s">
        <v>83</v>
      </c>
      <c r="I176" s="290">
        <f ca="1">IFERROR(__xludf.DUMMYFUNCTION("IMPORTRANGE(""https://docs.google.com/spreadsheets/d/1IYY_tgx_IHuhSq3AJ5eI5OnqOPBNLWSHKh2a30DoXe8/edit?usp=sharing"",""พัทลุง!I101"")"),0)</f>
        <v>0</v>
      </c>
      <c r="J176" s="290">
        <f ca="1">IFERROR(__xludf.DUMMYFUNCTION("IMPORTRANGE(""https://docs.google.com/spreadsheets/d/1IYY_tgx_IHuhSq3AJ5eI5OnqOPBNLWSHKh2a30DoXe8/edit?usp=sharing"",""พัทลุง!J101"")"),0)</f>
        <v>0</v>
      </c>
      <c r="K176" s="291">
        <f ca="1">IF(I176&gt;0,J176*100/I176,0)</f>
        <v>0</v>
      </c>
      <c r="L176" s="284"/>
      <c r="M176" s="284"/>
      <c r="N176" s="284"/>
      <c r="O176" s="284"/>
      <c r="P176" s="284"/>
    </row>
    <row r="177" spans="1:16" ht="21.75" customHeight="1" x14ac:dyDescent="0.35">
      <c r="A177" s="162"/>
      <c r="B177" s="163"/>
      <c r="C177" s="163" t="s">
        <v>16</v>
      </c>
      <c r="D177" s="164" t="s">
        <v>38</v>
      </c>
      <c r="E177" s="165"/>
      <c r="F177" s="165"/>
      <c r="G177" s="166" t="s">
        <v>39</v>
      </c>
      <c r="H177" s="167" t="s">
        <v>12</v>
      </c>
      <c r="I177" s="168" t="s">
        <v>40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 x14ac:dyDescent="0.35">
      <c r="A178" s="162"/>
      <c r="B178" s="163"/>
      <c r="C178" s="163"/>
      <c r="D178" s="172"/>
      <c r="E178" s="165"/>
      <c r="F178" s="165" t="s">
        <v>40</v>
      </c>
      <c r="G178" s="166" t="s">
        <v>41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 x14ac:dyDescent="0.35">
      <c r="A179" s="162"/>
      <c r="B179" s="163"/>
      <c r="C179" s="163"/>
      <c r="D179" s="172"/>
      <c r="E179" s="165"/>
      <c r="F179" s="165"/>
      <c r="G179" s="177" t="s">
        <v>43</v>
      </c>
      <c r="H179" s="167" t="s">
        <v>12</v>
      </c>
      <c r="I179" s="168"/>
      <c r="J179" s="195"/>
      <c r="K179" s="231"/>
      <c r="L179" s="176"/>
      <c r="M179" s="176"/>
      <c r="N179" s="173"/>
      <c r="O179" s="176"/>
      <c r="P179" s="176"/>
    </row>
    <row r="180" spans="1:16" ht="21.75" customHeight="1" x14ac:dyDescent="0.35">
      <c r="A180" s="183"/>
      <c r="B180" s="184"/>
      <c r="C180" s="163" t="s">
        <v>16</v>
      </c>
      <c r="D180" s="185" t="s">
        <v>44</v>
      </c>
      <c r="E180" s="186"/>
      <c r="F180" s="186"/>
      <c r="G180" s="187"/>
      <c r="H180" s="188"/>
      <c r="I180" s="168"/>
      <c r="J180" s="195"/>
      <c r="K180" s="231"/>
      <c r="L180" s="176"/>
      <c r="M180" s="176"/>
      <c r="N180" s="176"/>
      <c r="O180" s="189"/>
      <c r="P180" s="189"/>
    </row>
    <row r="181" spans="1:16" ht="21.75" customHeight="1" x14ac:dyDescent="0.35">
      <c r="A181" s="183"/>
      <c r="B181" s="184"/>
      <c r="C181" s="184"/>
      <c r="D181" s="190">
        <v>1</v>
      </c>
      <c r="E181" s="191" t="s">
        <v>45</v>
      </c>
      <c r="F181" s="192"/>
      <c r="G181" s="193"/>
      <c r="H181" s="194"/>
      <c r="I181" s="195"/>
      <c r="J181" s="195">
        <f ca="1">IFERROR(__xludf.DUMMYFUNCTION("IMPORTRANGE(""https://docs.google.com/spreadsheets/d/1IYY_tgx_IHuhSq3AJ5eI5OnqOPBNLWSHKh2a30DoXe8/edit?usp=sharing"",""พัทลุง!J106"")"),0)</f>
        <v>0</v>
      </c>
      <c r="K181" s="231"/>
      <c r="L181" s="176"/>
      <c r="M181" s="176"/>
      <c r="N181" s="176"/>
      <c r="O181" s="189"/>
      <c r="P181" s="189"/>
    </row>
    <row r="182" spans="1:16" ht="21.75" customHeight="1" x14ac:dyDescent="0.35">
      <c r="A182" s="183"/>
      <c r="B182" s="184"/>
      <c r="C182" s="184"/>
      <c r="D182" s="197">
        <v>2</v>
      </c>
      <c r="E182" s="198" t="s">
        <v>46</v>
      </c>
      <c r="F182" s="199"/>
      <c r="G182" s="200"/>
      <c r="H182" s="194"/>
      <c r="I182" s="195"/>
      <c r="J182" s="195">
        <f ca="1">IFERROR(__xludf.DUMMYFUNCTION("IMPORTRANGE(""https://docs.google.com/spreadsheets/d/1IYY_tgx_IHuhSq3AJ5eI5OnqOPBNLWSHKh2a30DoXe8/edit?usp=sharing"",""พัทลุง!J107"")"),0)</f>
        <v>0</v>
      </c>
      <c r="K182" s="231"/>
      <c r="L182" s="176"/>
      <c r="M182" s="176"/>
      <c r="N182" s="176"/>
      <c r="O182" s="189"/>
      <c r="P182" s="189"/>
    </row>
    <row r="183" spans="1:16" ht="21.75" customHeight="1" x14ac:dyDescent="0.35">
      <c r="A183" s="183"/>
      <c r="B183" s="184"/>
      <c r="C183" s="184"/>
      <c r="D183" s="201"/>
      <c r="E183" s="202" t="s">
        <v>47</v>
      </c>
      <c r="F183" s="203"/>
      <c r="G183" s="204"/>
      <c r="H183" s="194"/>
      <c r="I183" s="195"/>
      <c r="J183" s="195">
        <f ca="1">IFERROR(__xludf.DUMMYFUNCTION("IMPORTRANGE(""https://docs.google.com/spreadsheets/d/1IYY_tgx_IHuhSq3AJ5eI5OnqOPBNLWSHKh2a30DoXe8/edit?usp=sharing"",""พัทลุง!J108"")"),0)</f>
        <v>0</v>
      </c>
      <c r="K183" s="231"/>
      <c r="L183" s="176"/>
      <c r="M183" s="176"/>
      <c r="N183" s="176"/>
      <c r="O183" s="189"/>
      <c r="P183" s="189"/>
    </row>
    <row r="184" spans="1:16" ht="21.75" customHeight="1" x14ac:dyDescent="0.35">
      <c r="A184" s="183"/>
      <c r="B184" s="184"/>
      <c r="C184" s="184"/>
      <c r="D184" s="201"/>
      <c r="E184" s="202" t="s">
        <v>48</v>
      </c>
      <c r="F184" s="203"/>
      <c r="G184" s="204"/>
      <c r="H184" s="194"/>
      <c r="I184" s="195"/>
      <c r="J184" s="195">
        <f ca="1">IFERROR(__xludf.DUMMYFUNCTION("IMPORTRANGE(""https://docs.google.com/spreadsheets/d/1IYY_tgx_IHuhSq3AJ5eI5OnqOPBNLWSHKh2a30DoXe8/edit?usp=sharing"",""พัทลุง!J109"")"),0)</f>
        <v>0</v>
      </c>
      <c r="K184" s="231"/>
      <c r="L184" s="176"/>
      <c r="M184" s="176"/>
      <c r="N184" s="176"/>
      <c r="O184" s="189"/>
      <c r="P184" s="189"/>
    </row>
    <row r="185" spans="1:16" ht="21.75" customHeight="1" x14ac:dyDescent="0.35">
      <c r="A185" s="183"/>
      <c r="B185" s="184"/>
      <c r="C185" s="184"/>
      <c r="D185" s="201"/>
      <c r="E185" s="206"/>
      <c r="F185" s="202" t="s">
        <v>86</v>
      </c>
      <c r="G185" s="204"/>
      <c r="H185" s="188" t="s">
        <v>83</v>
      </c>
      <c r="I185" s="195">
        <f ca="1">IFERROR(__xludf.DUMMYFUNCTION("IMPORTRANGE(""https://docs.google.com/spreadsheets/d/1IYY_tgx_IHuhSq3AJ5eI5OnqOPBNLWSHKh2a30DoXe8/edit?usp=sharing"",""พัทลุง!I110"")"),0)</f>
        <v>0</v>
      </c>
      <c r="J185" s="211">
        <f ca="1">IFERROR(__xludf.DUMMYFUNCTION("IMPORTRANGE(""https://docs.google.com/spreadsheets/d/1IYY_tgx_IHuhSq3AJ5eI5OnqOPBNLWSHKh2a30DoXe8/edit?usp=sharing"",""พัทลุง!J110"")"),0)</f>
        <v>0</v>
      </c>
      <c r="K185" s="231">
        <f t="shared" ref="K185:K186" ca="1" si="69">IF(I185&gt;0,J185*100/I185,0)</f>
        <v>0</v>
      </c>
      <c r="L185" s="176"/>
      <c r="M185" s="176"/>
      <c r="N185" s="173"/>
      <c r="O185" s="176"/>
      <c r="P185" s="176"/>
    </row>
    <row r="186" spans="1:16" ht="21.75" customHeight="1" x14ac:dyDescent="0.35">
      <c r="A186" s="183"/>
      <c r="B186" s="184"/>
      <c r="C186" s="184"/>
      <c r="D186" s="201"/>
      <c r="E186" s="206"/>
      <c r="F186" s="202" t="s">
        <v>87</v>
      </c>
      <c r="G186" s="204"/>
      <c r="H186" s="188" t="s">
        <v>83</v>
      </c>
      <c r="I186" s="195">
        <f ca="1">IFERROR(__xludf.DUMMYFUNCTION("IMPORTRANGE(""https://docs.google.com/spreadsheets/d/1IYY_tgx_IHuhSq3AJ5eI5OnqOPBNLWSHKh2a30DoXe8/edit?usp=sharing"",""พัทลุง!I111"")"),0)</f>
        <v>0</v>
      </c>
      <c r="J186" s="211">
        <f ca="1">IFERROR(__xludf.DUMMYFUNCTION("IMPORTRANGE(""https://docs.google.com/spreadsheets/d/1IYY_tgx_IHuhSq3AJ5eI5OnqOPBNLWSHKh2a30DoXe8/edit?usp=sharing"",""พัทลุง!J111"")"),0)</f>
        <v>0</v>
      </c>
      <c r="K186" s="231">
        <f t="shared" ca="1" si="69"/>
        <v>0</v>
      </c>
      <c r="L186" s="176"/>
      <c r="M186" s="176"/>
      <c r="N186" s="173"/>
      <c r="O186" s="176"/>
      <c r="P186" s="176"/>
    </row>
    <row r="187" spans="1:16" ht="21.75" customHeight="1" x14ac:dyDescent="0.35">
      <c r="A187" s="183"/>
      <c r="B187" s="184"/>
      <c r="C187" s="184"/>
      <c r="D187" s="201"/>
      <c r="E187" s="202" t="s">
        <v>54</v>
      </c>
      <c r="F187" s="203"/>
      <c r="G187" s="204"/>
      <c r="H187" s="194"/>
      <c r="I187" s="195"/>
      <c r="J187" s="195">
        <f ca="1">IFERROR(__xludf.DUMMYFUNCTION("IMPORTRANGE(""https://docs.google.com/spreadsheets/d/1IYY_tgx_IHuhSq3AJ5eI5OnqOPBNLWSHKh2a30DoXe8/edit?usp=sharing"",""พัทลุง!J112"")"),0)</f>
        <v>0</v>
      </c>
      <c r="K187" s="231"/>
      <c r="L187" s="176"/>
      <c r="M187" s="176"/>
      <c r="N187" s="176"/>
      <c r="O187" s="189"/>
      <c r="P187" s="189"/>
    </row>
    <row r="188" spans="1:16" ht="21.75" customHeight="1" x14ac:dyDescent="0.35">
      <c r="A188" s="183"/>
      <c r="B188" s="184"/>
      <c r="C188" s="184"/>
      <c r="D188" s="213">
        <v>3</v>
      </c>
      <c r="E188" s="214" t="s">
        <v>55</v>
      </c>
      <c r="F188" s="215"/>
      <c r="G188" s="216"/>
      <c r="H188" s="194"/>
      <c r="I188" s="195"/>
      <c r="J188" s="234">
        <f ca="1">IFERROR(__xludf.DUMMYFUNCTION("IMPORTRANGE(""https://docs.google.com/spreadsheets/d/1IYY_tgx_IHuhSq3AJ5eI5OnqOPBNLWSHKh2a30DoXe8/edit?usp=sharing"",""พัทลุง!J113"")"),0)</f>
        <v>0</v>
      </c>
      <c r="K188" s="231"/>
      <c r="L188" s="176"/>
      <c r="M188" s="176"/>
      <c r="N188" s="176"/>
      <c r="O188" s="189"/>
      <c r="P188" s="189"/>
    </row>
    <row r="189" spans="1:16" ht="21.75" customHeight="1" x14ac:dyDescent="0.35">
      <c r="A189" s="277"/>
      <c r="B189" s="278"/>
      <c r="C189" s="279" t="s">
        <v>88</v>
      </c>
      <c r="D189" s="279"/>
      <c r="E189" s="279"/>
      <c r="F189" s="279"/>
      <c r="G189" s="280"/>
      <c r="H189" s="292" t="s">
        <v>89</v>
      </c>
      <c r="I189" s="290">
        <f ca="1">IFERROR(__xludf.DUMMYFUNCTION("IMPORTRANGE(""https://docs.google.com/spreadsheets/d/1IYY_tgx_IHuhSq3AJ5eI5OnqOPBNLWSHKh2a30DoXe8/edit?usp=sharing"",""พัทลุง!I114"")"),10000)</f>
        <v>10000</v>
      </c>
      <c r="J189" s="290">
        <f ca="1">IFERROR(__xludf.DUMMYFUNCTION("IMPORTRANGE(""https://docs.google.com/spreadsheets/d/1IYY_tgx_IHuhSq3AJ5eI5OnqOPBNLWSHKh2a30DoXe8/edit?usp=sharing"",""พัทลุง!J114"")"),0)</f>
        <v>0</v>
      </c>
      <c r="K189" s="291">
        <f ca="1">IF(I189&gt;0,J189*100/I189,0)</f>
        <v>0</v>
      </c>
      <c r="L189" s="284"/>
      <c r="M189" s="284"/>
      <c r="N189" s="284"/>
      <c r="O189" s="284"/>
      <c r="P189" s="284"/>
    </row>
    <row r="190" spans="1:16" ht="21.75" customHeight="1" x14ac:dyDescent="0.35">
      <c r="A190" s="162"/>
      <c r="B190" s="163"/>
      <c r="C190" s="163" t="s">
        <v>16</v>
      </c>
      <c r="D190" s="164" t="s">
        <v>38</v>
      </c>
      <c r="E190" s="165"/>
      <c r="F190" s="165"/>
      <c r="G190" s="166" t="s">
        <v>39</v>
      </c>
      <c r="H190" s="167" t="s">
        <v>12</v>
      </c>
      <c r="I190" s="168" t="s">
        <v>40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 x14ac:dyDescent="0.35">
      <c r="A191" s="162"/>
      <c r="B191" s="163"/>
      <c r="C191" s="163"/>
      <c r="D191" s="172"/>
      <c r="E191" s="165"/>
      <c r="F191" s="165" t="s">
        <v>40</v>
      </c>
      <c r="G191" s="166" t="s">
        <v>41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 x14ac:dyDescent="0.35">
      <c r="A192" s="162"/>
      <c r="B192" s="163"/>
      <c r="C192" s="163"/>
      <c r="D192" s="172"/>
      <c r="E192" s="165"/>
      <c r="F192" s="165"/>
      <c r="G192" s="177" t="s">
        <v>43</v>
      </c>
      <c r="H192" s="167" t="s">
        <v>12</v>
      </c>
      <c r="I192" s="168"/>
      <c r="J192" s="168"/>
      <c r="K192" s="169"/>
      <c r="L192" s="176"/>
      <c r="M192" s="176"/>
      <c r="N192" s="173"/>
      <c r="O192" s="176"/>
      <c r="P192" s="176"/>
    </row>
    <row r="193" spans="1:16" ht="21.75" customHeight="1" x14ac:dyDescent="0.35">
      <c r="A193" s="183"/>
      <c r="B193" s="184"/>
      <c r="C193" s="163" t="s">
        <v>16</v>
      </c>
      <c r="D193" s="185" t="s">
        <v>44</v>
      </c>
      <c r="E193" s="186"/>
      <c r="F193" s="186"/>
      <c r="G193" s="187"/>
      <c r="H193" s="188"/>
      <c r="I193" s="168"/>
      <c r="J193" s="168"/>
      <c r="K193" s="169"/>
      <c r="L193" s="189"/>
      <c r="M193" s="189"/>
      <c r="N193" s="189"/>
      <c r="O193" s="189"/>
      <c r="P193" s="189"/>
    </row>
    <row r="194" spans="1:16" ht="21.75" customHeight="1" x14ac:dyDescent="0.35">
      <c r="A194" s="183"/>
      <c r="B194" s="184"/>
      <c r="C194" s="184"/>
      <c r="D194" s="190">
        <v>1</v>
      </c>
      <c r="E194" s="191" t="s">
        <v>45</v>
      </c>
      <c r="F194" s="192"/>
      <c r="G194" s="193"/>
      <c r="H194" s="194"/>
      <c r="I194" s="195"/>
      <c r="J194" s="205">
        <f ca="1">IFERROR(__xludf.DUMMYFUNCTION("IMPORTRANGE(""https://docs.google.com/spreadsheets/d/1IYY_tgx_IHuhSq3AJ5eI5OnqOPBNLWSHKh2a30DoXe8/edit?usp=sharing"",""พัทลุง!J119"")"),0)</f>
        <v>0</v>
      </c>
      <c r="K194" s="169"/>
      <c r="L194" s="189"/>
      <c r="M194" s="189"/>
      <c r="N194" s="189"/>
      <c r="O194" s="189"/>
      <c r="P194" s="189"/>
    </row>
    <row r="195" spans="1:16" ht="21.75" customHeight="1" x14ac:dyDescent="0.35">
      <c r="A195" s="183"/>
      <c r="B195" s="184"/>
      <c r="C195" s="184"/>
      <c r="D195" s="197">
        <v>2</v>
      </c>
      <c r="E195" s="198" t="s">
        <v>46</v>
      </c>
      <c r="F195" s="199"/>
      <c r="G195" s="200"/>
      <c r="H195" s="194"/>
      <c r="I195" s="195"/>
      <c r="J195" s="196">
        <f ca="1">IFERROR(__xludf.DUMMYFUNCTION("IMPORTRANGE(""https://docs.google.com/spreadsheets/d/1IYY_tgx_IHuhSq3AJ5eI5OnqOPBNLWSHKh2a30DoXe8/edit?usp=sharing"",""พัทลุง!J120"")"),1)</f>
        <v>1</v>
      </c>
      <c r="K195" s="169"/>
      <c r="L195" s="189"/>
      <c r="M195" s="189"/>
      <c r="N195" s="189"/>
      <c r="O195" s="189"/>
      <c r="P195" s="189"/>
    </row>
    <row r="196" spans="1:16" ht="21.75" customHeight="1" x14ac:dyDescent="0.35">
      <c r="A196" s="183"/>
      <c r="B196" s="184"/>
      <c r="C196" s="184"/>
      <c r="D196" s="201"/>
      <c r="E196" s="202" t="s">
        <v>47</v>
      </c>
      <c r="F196" s="203"/>
      <c r="G196" s="204"/>
      <c r="H196" s="194"/>
      <c r="I196" s="195"/>
      <c r="J196" s="196">
        <f ca="1">IFERROR(__xludf.DUMMYFUNCTION("IMPORTRANGE(""https://docs.google.com/spreadsheets/d/1IYY_tgx_IHuhSq3AJ5eI5OnqOPBNLWSHKh2a30DoXe8/edit?usp=sharing"",""พัทลุง!J121"")"),1)</f>
        <v>1</v>
      </c>
      <c r="K196" s="169"/>
      <c r="L196" s="189"/>
      <c r="M196" s="189"/>
      <c r="N196" s="189"/>
      <c r="O196" s="189"/>
      <c r="P196" s="189"/>
    </row>
    <row r="197" spans="1:16" ht="21.75" customHeight="1" x14ac:dyDescent="0.35">
      <c r="A197" s="183"/>
      <c r="B197" s="184"/>
      <c r="C197" s="184"/>
      <c r="D197" s="201"/>
      <c r="E197" s="202" t="s">
        <v>48</v>
      </c>
      <c r="F197" s="203"/>
      <c r="G197" s="204"/>
      <c r="H197" s="194"/>
      <c r="I197" s="195"/>
      <c r="J197" s="205">
        <f ca="1">IFERROR(__xludf.DUMMYFUNCTION("IMPORTRANGE(""https://docs.google.com/spreadsheets/d/1IYY_tgx_IHuhSq3AJ5eI5OnqOPBNLWSHKh2a30DoXe8/edit?usp=sharing"",""พัทลุง!J122"")"),1)</f>
        <v>1</v>
      </c>
      <c r="K197" s="169"/>
      <c r="L197" s="189"/>
      <c r="M197" s="189"/>
      <c r="N197" s="189"/>
      <c r="O197" s="189"/>
      <c r="P197" s="189"/>
    </row>
    <row r="198" spans="1:16" ht="21.75" customHeight="1" x14ac:dyDescent="0.35">
      <c r="A198" s="183"/>
      <c r="B198" s="184"/>
      <c r="C198" s="184"/>
      <c r="D198" s="201"/>
      <c r="E198" s="203"/>
      <c r="F198" s="203" t="s">
        <v>90</v>
      </c>
      <c r="G198" s="204"/>
      <c r="H198" s="188"/>
      <c r="I198" s="195"/>
      <c r="J198" s="195"/>
      <c r="K198" s="169"/>
      <c r="L198" s="189"/>
      <c r="M198" s="189"/>
      <c r="N198" s="189"/>
      <c r="O198" s="189"/>
      <c r="P198" s="189"/>
    </row>
    <row r="199" spans="1:16" ht="21.75" customHeight="1" x14ac:dyDescent="0.35">
      <c r="A199" s="183"/>
      <c r="B199" s="184"/>
      <c r="C199" s="184"/>
      <c r="D199" s="201"/>
      <c r="E199" s="206"/>
      <c r="F199" s="203"/>
      <c r="G199" s="202" t="s">
        <v>91</v>
      </c>
      <c r="H199" s="188" t="s">
        <v>89</v>
      </c>
      <c r="I199" s="195">
        <f ca="1">IFERROR(__xludf.DUMMYFUNCTION("IMPORTRANGE(""https://docs.google.com/spreadsheets/d/1IYY_tgx_IHuhSq3AJ5eI5OnqOPBNLWSHKh2a30DoXe8/edit?usp=sharing"",""พัทลุง!I124"")"),10000)</f>
        <v>10000</v>
      </c>
      <c r="J199" s="196">
        <f ca="1">IFERROR(__xludf.DUMMYFUNCTION("IMPORTRANGE(""https://docs.google.com/spreadsheets/d/1IYY_tgx_IHuhSq3AJ5eI5OnqOPBNLWSHKh2a30DoXe8/edit?usp=sharing"",""พัทลุง!J124"")"),0)</f>
        <v>0</v>
      </c>
      <c r="K199" s="169">
        <f t="shared" ref="K199:K201" ca="1" si="70">IF(I199&gt;0,J199*100/I199,0)</f>
        <v>0</v>
      </c>
      <c r="L199" s="189"/>
      <c r="M199" s="189"/>
      <c r="N199" s="189"/>
      <c r="O199" s="189"/>
      <c r="P199" s="189"/>
    </row>
    <row r="200" spans="1:16" ht="21.75" customHeight="1" x14ac:dyDescent="0.35">
      <c r="A200" s="183"/>
      <c r="B200" s="184"/>
      <c r="C200" s="184"/>
      <c r="D200" s="201"/>
      <c r="E200" s="206"/>
      <c r="F200" s="203"/>
      <c r="G200" s="202" t="s">
        <v>92</v>
      </c>
      <c r="H200" s="188" t="s">
        <v>89</v>
      </c>
      <c r="I200" s="195">
        <f ca="1">IFERROR(__xludf.DUMMYFUNCTION("IMPORTRANGE(""https://docs.google.com/spreadsheets/d/1IYY_tgx_IHuhSq3AJ5eI5OnqOPBNLWSHKh2a30DoXe8/edit?usp=sharing"",""พัทลุง!I125"")"),10000)</f>
        <v>10000</v>
      </c>
      <c r="J200" s="196">
        <f ca="1">IFERROR(__xludf.DUMMYFUNCTION("IMPORTRANGE(""https://docs.google.com/spreadsheets/d/1IYY_tgx_IHuhSq3AJ5eI5OnqOPBNLWSHKh2a30DoXe8/edit?usp=sharing"",""พัทลุง!J125"")"),0)</f>
        <v>0</v>
      </c>
      <c r="K200" s="169">
        <f t="shared" ca="1" si="70"/>
        <v>0</v>
      </c>
      <c r="L200" s="176"/>
      <c r="M200" s="176"/>
      <c r="N200" s="173"/>
      <c r="O200" s="176"/>
      <c r="P200" s="176"/>
    </row>
    <row r="201" spans="1:16" ht="21.75" customHeight="1" x14ac:dyDescent="0.35">
      <c r="A201" s="183"/>
      <c r="B201" s="184"/>
      <c r="C201" s="184"/>
      <c r="D201" s="201"/>
      <c r="E201" s="206"/>
      <c r="F201" s="203" t="s">
        <v>93</v>
      </c>
      <c r="G201" s="204"/>
      <c r="H201" s="188" t="s">
        <v>37</v>
      </c>
      <c r="I201" s="195">
        <f ca="1">IFERROR(__xludf.DUMMYFUNCTION("IMPORTRANGE(""https://docs.google.com/spreadsheets/d/1IYY_tgx_IHuhSq3AJ5eI5OnqOPBNLWSHKh2a30DoXe8/edit?usp=sharing"",""พัทลุง!I126"")"),0)</f>
        <v>0</v>
      </c>
      <c r="J201" s="196">
        <f ca="1">IFERROR(__xludf.DUMMYFUNCTION("IMPORTRANGE(""https://docs.google.com/spreadsheets/d/1IYY_tgx_IHuhSq3AJ5eI5OnqOPBNLWSHKh2a30DoXe8/edit?usp=sharing"",""พัทลุง!J126"")"),0)</f>
        <v>0</v>
      </c>
      <c r="K201" s="169">
        <f t="shared" ca="1" si="70"/>
        <v>0</v>
      </c>
      <c r="L201" s="176"/>
      <c r="M201" s="176"/>
      <c r="N201" s="173"/>
      <c r="O201" s="176"/>
      <c r="P201" s="176"/>
    </row>
    <row r="202" spans="1:16" ht="21.75" customHeight="1" x14ac:dyDescent="0.35">
      <c r="A202" s="183"/>
      <c r="B202" s="184"/>
      <c r="C202" s="184"/>
      <c r="D202" s="201"/>
      <c r="E202" s="202" t="s">
        <v>54</v>
      </c>
      <c r="F202" s="203"/>
      <c r="G202" s="204"/>
      <c r="H202" s="194"/>
      <c r="I202" s="195"/>
      <c r="J202" s="205">
        <f ca="1">IFERROR(__xludf.DUMMYFUNCTION("IMPORTRANGE(""https://docs.google.com/spreadsheets/d/1IYY_tgx_IHuhSq3AJ5eI5OnqOPBNLWSHKh2a30DoXe8/edit?usp=sharing"",""พัทลุง!J127"")"),0)</f>
        <v>0</v>
      </c>
      <c r="K202" s="169"/>
      <c r="L202" s="189"/>
      <c r="M202" s="189"/>
      <c r="N202" s="189"/>
      <c r="O202" s="189"/>
      <c r="P202" s="189"/>
    </row>
    <row r="203" spans="1:16" ht="21.75" customHeight="1" x14ac:dyDescent="0.35">
      <c r="A203" s="241"/>
      <c r="B203" s="242"/>
      <c r="C203" s="242"/>
      <c r="D203" s="243">
        <v>3</v>
      </c>
      <c r="E203" s="244" t="s">
        <v>55</v>
      </c>
      <c r="F203" s="245"/>
      <c r="G203" s="246"/>
      <c r="H203" s="247"/>
      <c r="I203" s="248"/>
      <c r="J203" s="293">
        <f ca="1">IFERROR(__xludf.DUMMYFUNCTION("IMPORTRANGE(""https://docs.google.com/spreadsheets/d/1IYY_tgx_IHuhSq3AJ5eI5OnqOPBNLWSHKh2a30DoXe8/edit?usp=sharing"",""พัทลุง!J128"")"),0)</f>
        <v>0</v>
      </c>
      <c r="K203" s="294"/>
      <c r="L203" s="252"/>
      <c r="M203" s="252"/>
      <c r="N203" s="252"/>
      <c r="O203" s="252"/>
      <c r="P203" s="252"/>
    </row>
    <row r="204" spans="1:16" ht="21.75" customHeight="1" x14ac:dyDescent="0.35">
      <c r="A204" s="277"/>
      <c r="B204" s="278"/>
      <c r="C204" s="295" t="s">
        <v>94</v>
      </c>
      <c r="D204" s="279"/>
      <c r="E204" s="279"/>
      <c r="F204" s="279"/>
      <c r="G204" s="280"/>
      <c r="H204" s="292" t="s">
        <v>37</v>
      </c>
      <c r="I204" s="290">
        <f ca="1">IFERROR(__xludf.DUMMYFUNCTION("IMPORTRANGE(""https://docs.google.com/spreadsheets/d/1IYY_tgx_IHuhSq3AJ5eI5OnqOPBNLWSHKh2a30DoXe8/edit?usp=sharing"",""พัทลุง!I129"")"),0)</f>
        <v>0</v>
      </c>
      <c r="J204" s="290">
        <f ca="1">IFERROR(__xludf.DUMMYFUNCTION("IMPORTRANGE(""https://docs.google.com/spreadsheets/d/1IYY_tgx_IHuhSq3AJ5eI5OnqOPBNLWSHKh2a30DoXe8/edit?usp=sharing"",""พัทลุง!J129"")"),0)</f>
        <v>0</v>
      </c>
      <c r="K204" s="291">
        <f ca="1">IF(I204&gt;0,J204*100/I204,0)</f>
        <v>0</v>
      </c>
      <c r="L204" s="284"/>
      <c r="M204" s="284"/>
      <c r="N204" s="284"/>
      <c r="O204" s="284"/>
      <c r="P204" s="284"/>
    </row>
    <row r="205" spans="1:16" ht="21.75" customHeight="1" x14ac:dyDescent="0.35">
      <c r="A205" s="162"/>
      <c r="B205" s="163"/>
      <c r="C205" s="163" t="s">
        <v>16</v>
      </c>
      <c r="D205" s="164" t="s">
        <v>38</v>
      </c>
      <c r="E205" s="165"/>
      <c r="F205" s="165"/>
      <c r="G205" s="166" t="s">
        <v>39</v>
      </c>
      <c r="H205" s="167" t="s">
        <v>12</v>
      </c>
      <c r="I205" s="168" t="s">
        <v>40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 x14ac:dyDescent="0.35">
      <c r="A206" s="162"/>
      <c r="B206" s="163"/>
      <c r="C206" s="163"/>
      <c r="D206" s="172"/>
      <c r="E206" s="165"/>
      <c r="F206" s="165" t="s">
        <v>40</v>
      </c>
      <c r="G206" s="166" t="s">
        <v>41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 x14ac:dyDescent="0.35">
      <c r="A207" s="162"/>
      <c r="B207" s="163"/>
      <c r="C207" s="163"/>
      <c r="D207" s="172"/>
      <c r="E207" s="165"/>
      <c r="F207" s="165"/>
      <c r="G207" s="177" t="s">
        <v>43</v>
      </c>
      <c r="H207" s="167" t="s">
        <v>12</v>
      </c>
      <c r="I207" s="168"/>
      <c r="J207" s="195"/>
      <c r="K207" s="231"/>
      <c r="L207" s="176"/>
      <c r="M207" s="176"/>
      <c r="N207" s="173"/>
      <c r="O207" s="176"/>
      <c r="P207" s="176"/>
    </row>
    <row r="208" spans="1:16" ht="21.75" customHeight="1" x14ac:dyDescent="0.35">
      <c r="A208" s="183"/>
      <c r="B208" s="184"/>
      <c r="C208" s="163" t="s">
        <v>16</v>
      </c>
      <c r="D208" s="185" t="s">
        <v>44</v>
      </c>
      <c r="E208" s="186"/>
      <c r="F208" s="186"/>
      <c r="G208" s="187"/>
      <c r="H208" s="188"/>
      <c r="I208" s="168"/>
      <c r="J208" s="195"/>
      <c r="K208" s="231"/>
      <c r="L208" s="176"/>
      <c r="M208" s="176"/>
      <c r="N208" s="176"/>
      <c r="O208" s="189"/>
      <c r="P208" s="189"/>
    </row>
    <row r="209" spans="1:16" ht="21.75" customHeight="1" x14ac:dyDescent="0.35">
      <c r="A209" s="183"/>
      <c r="B209" s="184"/>
      <c r="C209" s="184"/>
      <c r="D209" s="190">
        <v>1</v>
      </c>
      <c r="E209" s="191" t="s">
        <v>45</v>
      </c>
      <c r="F209" s="192"/>
      <c r="G209" s="193"/>
      <c r="H209" s="194"/>
      <c r="I209" s="195"/>
      <c r="J209" s="195">
        <f ca="1">IFERROR(__xludf.DUMMYFUNCTION("IMPORTRANGE(""https://docs.google.com/spreadsheets/d/1IYY_tgx_IHuhSq3AJ5eI5OnqOPBNLWSHKh2a30DoXe8/edit?usp=sharing"",""พัทลุง!J134"")"),0)</f>
        <v>0</v>
      </c>
      <c r="K209" s="231"/>
      <c r="L209" s="176"/>
      <c r="M209" s="176"/>
      <c r="N209" s="176"/>
      <c r="O209" s="189"/>
      <c r="P209" s="189"/>
    </row>
    <row r="210" spans="1:16" ht="21.75" customHeight="1" x14ac:dyDescent="0.35">
      <c r="A210" s="183"/>
      <c r="B210" s="184"/>
      <c r="C210" s="184"/>
      <c r="D210" s="197">
        <v>2</v>
      </c>
      <c r="E210" s="198" t="s">
        <v>46</v>
      </c>
      <c r="F210" s="199"/>
      <c r="G210" s="200"/>
      <c r="H210" s="194"/>
      <c r="I210" s="195"/>
      <c r="J210" s="195">
        <f ca="1">IFERROR(__xludf.DUMMYFUNCTION("IMPORTRANGE(""https://docs.google.com/spreadsheets/d/1IYY_tgx_IHuhSq3AJ5eI5OnqOPBNLWSHKh2a30DoXe8/edit?usp=sharing"",""พัทลุง!J135"")"),0)</f>
        <v>0</v>
      </c>
      <c r="K210" s="231"/>
      <c r="L210" s="176"/>
      <c r="M210" s="176"/>
      <c r="N210" s="176"/>
      <c r="O210" s="189"/>
      <c r="P210" s="189"/>
    </row>
    <row r="211" spans="1:16" ht="21.75" customHeight="1" x14ac:dyDescent="0.35">
      <c r="A211" s="183"/>
      <c r="B211" s="184"/>
      <c r="C211" s="184"/>
      <c r="D211" s="201"/>
      <c r="E211" s="202" t="s">
        <v>47</v>
      </c>
      <c r="F211" s="203"/>
      <c r="G211" s="204"/>
      <c r="H211" s="194"/>
      <c r="I211" s="195"/>
      <c r="J211" s="195">
        <f ca="1">IFERROR(__xludf.DUMMYFUNCTION("IMPORTRANGE(""https://docs.google.com/spreadsheets/d/1IYY_tgx_IHuhSq3AJ5eI5OnqOPBNLWSHKh2a30DoXe8/edit?usp=sharing"",""พัทลุง!J136"")"),0)</f>
        <v>0</v>
      </c>
      <c r="K211" s="231"/>
      <c r="L211" s="176"/>
      <c r="M211" s="176"/>
      <c r="N211" s="176"/>
      <c r="O211" s="189"/>
      <c r="P211" s="189"/>
    </row>
    <row r="212" spans="1:16" ht="21.75" customHeight="1" x14ac:dyDescent="0.35">
      <c r="A212" s="183"/>
      <c r="B212" s="184"/>
      <c r="C212" s="184"/>
      <c r="D212" s="201"/>
      <c r="E212" s="202" t="s">
        <v>48</v>
      </c>
      <c r="F212" s="203"/>
      <c r="G212" s="204"/>
      <c r="H212" s="194"/>
      <c r="I212" s="195"/>
      <c r="J212" s="195">
        <f ca="1">IFERROR(__xludf.DUMMYFUNCTION("IMPORTRANGE(""https://docs.google.com/spreadsheets/d/1IYY_tgx_IHuhSq3AJ5eI5OnqOPBNLWSHKh2a30DoXe8/edit?usp=sharing"",""พัทลุง!J137"")"),0)</f>
        <v>0</v>
      </c>
      <c r="K212" s="231"/>
      <c r="L212" s="176"/>
      <c r="M212" s="176"/>
      <c r="N212" s="176"/>
      <c r="O212" s="189"/>
      <c r="P212" s="189"/>
    </row>
    <row r="213" spans="1:16" ht="21.75" customHeight="1" x14ac:dyDescent="0.35">
      <c r="A213" s="183"/>
      <c r="B213" s="184"/>
      <c r="C213" s="184"/>
      <c r="D213" s="201"/>
      <c r="E213" s="206"/>
      <c r="F213" s="203" t="s">
        <v>95</v>
      </c>
      <c r="G213" s="204"/>
      <c r="H213" s="188" t="s">
        <v>37</v>
      </c>
      <c r="I213" s="195">
        <f ca="1">IFERROR(__xludf.DUMMYFUNCTION("IMPORTRANGE(""https://docs.google.com/spreadsheets/d/1IYY_tgx_IHuhSq3AJ5eI5OnqOPBNLWSHKh2a30DoXe8/edit?usp=sharing"",""พัทลุง!I138"")"),0)</f>
        <v>0</v>
      </c>
      <c r="J213" s="211">
        <f ca="1">IFERROR(__xludf.DUMMYFUNCTION("IMPORTRANGE(""https://docs.google.com/spreadsheets/d/1IYY_tgx_IHuhSq3AJ5eI5OnqOPBNLWSHKh2a30DoXe8/edit?usp=sharing"",""พัทลุง!J138"")"),0)</f>
        <v>0</v>
      </c>
      <c r="K213" s="231">
        <f ca="1">IF(I213&gt;0,J213*100/I213,0)</f>
        <v>0</v>
      </c>
      <c r="L213" s="176"/>
      <c r="M213" s="176"/>
      <c r="N213" s="173"/>
      <c r="O213" s="176"/>
      <c r="P213" s="176"/>
    </row>
    <row r="214" spans="1:16" ht="21.75" customHeight="1" x14ac:dyDescent="0.35">
      <c r="A214" s="183"/>
      <c r="B214" s="184"/>
      <c r="C214" s="184"/>
      <c r="D214" s="201"/>
      <c r="E214" s="206"/>
      <c r="F214" s="202" t="s">
        <v>53</v>
      </c>
      <c r="G214" s="204"/>
      <c r="H214" s="188"/>
      <c r="I214" s="195"/>
      <c r="J214" s="195"/>
      <c r="K214" s="231"/>
      <c r="L214" s="176"/>
      <c r="M214" s="176"/>
      <c r="N214" s="176"/>
      <c r="O214" s="189"/>
      <c r="P214" s="189"/>
    </row>
    <row r="215" spans="1:16" ht="21.75" customHeight="1" x14ac:dyDescent="0.35">
      <c r="A215" s="183"/>
      <c r="B215" s="184"/>
      <c r="C215" s="184"/>
      <c r="D215" s="201"/>
      <c r="E215" s="206"/>
      <c r="F215" s="203"/>
      <c r="G215" s="233" t="s">
        <v>96</v>
      </c>
      <c r="H215" s="188" t="s">
        <v>37</v>
      </c>
      <c r="I215" s="195">
        <f ca="1">IFERROR(__xludf.DUMMYFUNCTION("IMPORTRANGE(""https://docs.google.com/spreadsheets/d/1IYY_tgx_IHuhSq3AJ5eI5OnqOPBNLWSHKh2a30DoXe8/edit?usp=sharing"",""พัทลุง!I140"")"),0)</f>
        <v>0</v>
      </c>
      <c r="J215" s="211">
        <f ca="1">IFERROR(__xludf.DUMMYFUNCTION("IMPORTRANGE(""https://docs.google.com/spreadsheets/d/1IYY_tgx_IHuhSq3AJ5eI5OnqOPBNLWSHKh2a30DoXe8/edit?usp=sharing"",""พัทลุง!J140"")"),0)</f>
        <v>0</v>
      </c>
      <c r="K215" s="231">
        <f t="shared" ref="K215:K216" ca="1" si="71">IF(I215&gt;0,J215*100/I215,0)</f>
        <v>0</v>
      </c>
      <c r="L215" s="176"/>
      <c r="M215" s="176"/>
      <c r="N215" s="173"/>
      <c r="O215" s="176"/>
      <c r="P215" s="176"/>
    </row>
    <row r="216" spans="1:16" ht="21.75" customHeight="1" x14ac:dyDescent="0.35">
      <c r="A216" s="183"/>
      <c r="B216" s="184"/>
      <c r="C216" s="184"/>
      <c r="D216" s="201"/>
      <c r="E216" s="206"/>
      <c r="F216" s="203"/>
      <c r="G216" s="233" t="s">
        <v>97</v>
      </c>
      <c r="H216" s="188" t="s">
        <v>59</v>
      </c>
      <c r="I216" s="195">
        <f ca="1">IFERROR(__xludf.DUMMYFUNCTION("IMPORTRANGE(""https://docs.google.com/spreadsheets/d/1IYY_tgx_IHuhSq3AJ5eI5OnqOPBNLWSHKh2a30DoXe8/edit?usp=sharing"",""พัทลุง!I141"")"),0)</f>
        <v>0</v>
      </c>
      <c r="J216" s="211">
        <f ca="1">IFERROR(__xludf.DUMMYFUNCTION("IMPORTRANGE(""https://docs.google.com/spreadsheets/d/1IYY_tgx_IHuhSq3AJ5eI5OnqOPBNLWSHKh2a30DoXe8/edit?usp=sharing"",""พัทลุง!J141"")"),0)</f>
        <v>0</v>
      </c>
      <c r="K216" s="231">
        <f t="shared" ca="1" si="71"/>
        <v>0</v>
      </c>
      <c r="L216" s="176"/>
      <c r="M216" s="176"/>
      <c r="N216" s="173"/>
      <c r="O216" s="176"/>
      <c r="P216" s="176"/>
    </row>
    <row r="217" spans="1:16" ht="21.75" customHeight="1" x14ac:dyDescent="0.35">
      <c r="A217" s="183"/>
      <c r="B217" s="184"/>
      <c r="C217" s="184"/>
      <c r="D217" s="201"/>
      <c r="E217" s="202" t="s">
        <v>54</v>
      </c>
      <c r="F217" s="203"/>
      <c r="G217" s="204"/>
      <c r="H217" s="194"/>
      <c r="I217" s="195"/>
      <c r="J217" s="195">
        <f ca="1">IFERROR(__xludf.DUMMYFUNCTION("IMPORTRANGE(""https://docs.google.com/spreadsheets/d/1IYY_tgx_IHuhSq3AJ5eI5OnqOPBNLWSHKh2a30DoXe8/edit?usp=sharing"",""พัทลุง!J142"")"),0)</f>
        <v>0</v>
      </c>
      <c r="K217" s="231"/>
      <c r="L217" s="176"/>
      <c r="M217" s="176"/>
      <c r="N217" s="176"/>
      <c r="O217" s="189"/>
      <c r="P217" s="189"/>
    </row>
    <row r="218" spans="1:16" ht="21.75" customHeight="1" x14ac:dyDescent="0.35">
      <c r="A218" s="241"/>
      <c r="B218" s="242"/>
      <c r="C218" s="242"/>
      <c r="D218" s="243">
        <v>3</v>
      </c>
      <c r="E218" s="244" t="s">
        <v>55</v>
      </c>
      <c r="F218" s="245"/>
      <c r="G218" s="246"/>
      <c r="H218" s="247"/>
      <c r="I218" s="248"/>
      <c r="J218" s="249">
        <f ca="1">IFERROR(__xludf.DUMMYFUNCTION("IMPORTRANGE(""https://docs.google.com/spreadsheets/d/1IYY_tgx_IHuhSq3AJ5eI5OnqOPBNLWSHKh2a30DoXe8/edit?usp=sharing"",""พัทลุง!J143"")"),0)</f>
        <v>0</v>
      </c>
      <c r="K218" s="250"/>
      <c r="L218" s="251"/>
      <c r="M218" s="251"/>
      <c r="N218" s="251"/>
      <c r="O218" s="252"/>
      <c r="P218" s="252"/>
    </row>
    <row r="219" spans="1:16" ht="21.75" customHeight="1" x14ac:dyDescent="0.35">
      <c r="A219" s="269"/>
      <c r="B219" s="270" t="s">
        <v>98</v>
      </c>
      <c r="C219" s="271"/>
      <c r="D219" s="270"/>
      <c r="E219" s="270"/>
      <c r="F219" s="270"/>
      <c r="G219" s="272"/>
      <c r="H219" s="273" t="s">
        <v>37</v>
      </c>
      <c r="I219" s="274">
        <f ca="1">IFERROR(__xludf.DUMMYFUNCTION("IMPORTRANGE(""https://docs.google.com/spreadsheets/d/1IYY_tgx_IHuhSq3AJ5eI5OnqOPBNLWSHKh2a30DoXe8/edit?usp=sharing"",""พัทลุง!I144"")"),13)</f>
        <v>13</v>
      </c>
      <c r="J219" s="274">
        <f ca="1">IFERROR(__xludf.DUMMYFUNCTION("IMPORTRANGE(""https://docs.google.com/spreadsheets/d/1IYY_tgx_IHuhSq3AJ5eI5OnqOPBNLWSHKh2a30DoXe8/edit?usp=sharing"",""พัทลุง!J144"")"),13)</f>
        <v>13</v>
      </c>
      <c r="K219" s="275">
        <f ca="1">IF(I219&gt;0,J219*100/I219,0)</f>
        <v>100</v>
      </c>
      <c r="L219" s="276"/>
      <c r="M219" s="276"/>
      <c r="N219" s="276"/>
      <c r="O219" s="275"/>
      <c r="P219" s="275"/>
    </row>
    <row r="220" spans="1:16" ht="21.75" customHeight="1" x14ac:dyDescent="0.45">
      <c r="A220" s="150"/>
      <c r="B220" s="151"/>
      <c r="C220" s="152" t="s">
        <v>16</v>
      </c>
      <c r="D220" s="552" t="s">
        <v>17</v>
      </c>
      <c r="E220" s="543"/>
      <c r="F220" s="543"/>
      <c r="G220" s="543"/>
      <c r="H220" s="153" t="s">
        <v>12</v>
      </c>
      <c r="I220" s="168"/>
      <c r="J220" s="168"/>
      <c r="K220" s="169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18845</v>
      </c>
      <c r="O220" s="155">
        <f t="shared" ref="O220:O222" ca="1" si="73">IF(L220&gt;0,N220*100/L220,0)</f>
        <v>97.667789582793475</v>
      </c>
      <c r="P220" s="155">
        <f t="shared" ref="P220:P222" ca="1" si="74">IF(M220&gt;0,N220*100/M220,0)</f>
        <v>97.667789582793475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8"/>
      <c r="J221" s="168"/>
      <c r="K221" s="169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8"/>
      <c r="J222" s="168"/>
      <c r="K222" s="169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18845</v>
      </c>
      <c r="O222" s="160">
        <f t="shared" ca="1" si="73"/>
        <v>97.667789582793475</v>
      </c>
      <c r="P222" s="160">
        <f t="shared" ca="1" si="74"/>
        <v>97.667789582793475</v>
      </c>
    </row>
    <row r="223" spans="1:16" ht="21.75" customHeight="1" x14ac:dyDescent="0.35">
      <c r="A223" s="162"/>
      <c r="B223" s="163"/>
      <c r="C223" s="163" t="s">
        <v>16</v>
      </c>
      <c r="D223" s="164" t="s">
        <v>38</v>
      </c>
      <c r="E223" s="165"/>
      <c r="F223" s="165"/>
      <c r="G223" s="166" t="s">
        <v>39</v>
      </c>
      <c r="H223" s="167" t="s">
        <v>12</v>
      </c>
      <c r="I223" s="168" t="s">
        <v>40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 x14ac:dyDescent="0.35">
      <c r="A224" s="162"/>
      <c r="B224" s="163"/>
      <c r="C224" s="163"/>
      <c r="D224" s="172"/>
      <c r="E224" s="165"/>
      <c r="F224" s="165" t="s">
        <v>40</v>
      </c>
      <c r="G224" s="166" t="s">
        <v>41</v>
      </c>
      <c r="H224" s="167" t="s">
        <v>12</v>
      </c>
      <c r="I224" s="168"/>
      <c r="J224" s="168"/>
      <c r="K224" s="169"/>
      <c r="L224" s="173">
        <f ca="1">L225+L226</f>
        <v>19295</v>
      </c>
      <c r="M224" s="174">
        <f ca="1">IFERROR(__xludf.DUMMYFUNCTION("IMPORTRANGE(""https://docs.google.com/spreadsheets/d/1Yj_ptqi66GCucihVvJfMjLAmec39IyEx_6qawtMGysU/edit?usp=sharing"",""สบก!BS88"")"),19295)</f>
        <v>19295</v>
      </c>
      <c r="N224" s="175">
        <f ca="1">IFERROR(__xludf.DUMMYFUNCTION("IMPORTRANGE(""https://docs.google.com/spreadsheets/d/1Yj_ptqi66GCucihVvJfMjLAmec39IyEx_6qawtMGysU/edit?usp=sharing"",""สบก!BT88"")"),18845)</f>
        <v>18845</v>
      </c>
      <c r="O224" s="176">
        <f ca="1">IF(L224&gt;0,N224*100/L224,0)</f>
        <v>97.667789582793475</v>
      </c>
      <c r="P224" s="176">
        <f ca="1">IF(M224&gt;0,N224*100/M224,0)</f>
        <v>97.667789582793475</v>
      </c>
    </row>
    <row r="225" spans="1:16" ht="21.75" customHeight="1" x14ac:dyDescent="0.35">
      <c r="A225" s="162"/>
      <c r="B225" s="163"/>
      <c r="C225" s="163"/>
      <c r="D225" s="172"/>
      <c r="E225" s="165"/>
      <c r="F225" s="165"/>
      <c r="G225" s="177" t="s">
        <v>42</v>
      </c>
      <c r="H225" s="167" t="s">
        <v>12</v>
      </c>
      <c r="I225" s="168"/>
      <c r="J225" s="168"/>
      <c r="K225" s="169"/>
      <c r="L225" s="174">
        <f ca="1">IFERROR(__xludf.DUMMYFUNCTION("IMPORTRANGE(""https://docs.google.com/spreadsheets/d/1Yj_ptqi66GCucihVvJfMjLAmec39IyEx_6qawtMGysU/edit?usp=sharing"",""สบก!BO88"")"),0)</f>
        <v>0</v>
      </c>
      <c r="M225" s="173"/>
      <c r="N225" s="173"/>
      <c r="O225" s="176"/>
      <c r="P225" s="176"/>
    </row>
    <row r="226" spans="1:16" ht="21.75" customHeight="1" x14ac:dyDescent="0.35">
      <c r="A226" s="162"/>
      <c r="B226" s="163"/>
      <c r="C226" s="163"/>
      <c r="D226" s="172"/>
      <c r="E226" s="165"/>
      <c r="F226" s="165"/>
      <c r="G226" s="177" t="s">
        <v>43</v>
      </c>
      <c r="H226" s="167" t="s">
        <v>12</v>
      </c>
      <c r="I226" s="168"/>
      <c r="J226" s="168"/>
      <c r="K226" s="169"/>
      <c r="L226" s="174">
        <f ca="1">IFERROR(__xludf.DUMMYFUNCTION("IMPORTRANGE(""https://docs.google.com/spreadsheets/d/1Yj_ptqi66GCucihVvJfMjLAmec39IyEx_6qawtMGysU/edit?usp=sharing"",""สบก!BP88"")"),19295)</f>
        <v>19295</v>
      </c>
      <c r="M226" s="173"/>
      <c r="N226" s="173"/>
      <c r="O226" s="176"/>
      <c r="P226" s="176"/>
    </row>
    <row r="227" spans="1:16" ht="21.75" customHeight="1" x14ac:dyDescent="0.45">
      <c r="A227" s="178"/>
      <c r="B227" s="81"/>
      <c r="C227" s="82" t="s">
        <v>16</v>
      </c>
      <c r="D227" s="549" t="s">
        <v>23</v>
      </c>
      <c r="E227" s="545"/>
      <c r="F227" s="89"/>
      <c r="G227" s="83" t="s">
        <v>18</v>
      </c>
      <c r="H227" s="179" t="s">
        <v>12</v>
      </c>
      <c r="I227" s="208"/>
      <c r="J227" s="208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80"/>
      <c r="B228" s="95"/>
      <c r="C228" s="95"/>
      <c r="D228" s="181"/>
      <c r="E228" s="96"/>
      <c r="F228" s="96"/>
      <c r="G228" s="97" t="s">
        <v>19</v>
      </c>
      <c r="H228" s="182" t="s">
        <v>12</v>
      </c>
      <c r="I228" s="208"/>
      <c r="J228" s="208"/>
      <c r="K228" s="296"/>
      <c r="L228" s="91">
        <f ca="1">IFERROR(__xludf.DUMMYFUNCTION("IMPORTRANGE(""https://docs.google.com/spreadsheets/d/1Yj_ptqi66GCucihVvJfMjLAmec39IyEx_6qawtMGysU/edit?usp=sharing"",""สบก!BQ88"")"),0)</f>
        <v>0</v>
      </c>
      <c r="M228" s="101"/>
      <c r="N228" s="91">
        <f ca="1">IFERROR(__xludf.DUMMYFUNCTION("IMPORTRANGE(""https://docs.google.com/spreadsheets/d/1Yj_ptqi66GCucihVvJfMjLAmec39IyEx_6qawtMGysU/edit?usp=sharing"",""สบก!BU88"")"),0)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3"/>
      <c r="B229" s="297"/>
      <c r="C229" s="271" t="s">
        <v>99</v>
      </c>
      <c r="D229" s="270"/>
      <c r="E229" s="270"/>
      <c r="F229" s="270"/>
      <c r="G229" s="272"/>
      <c r="H229" s="273" t="s">
        <v>37</v>
      </c>
      <c r="I229" s="274">
        <f ca="1">IFERROR(__xludf.DUMMYFUNCTION("IMPORTRANGE(""https://docs.google.com/spreadsheets/d/1IYY_tgx_IHuhSq3AJ5eI5OnqOPBNLWSHKh2a30DoXe8/edit?usp=sharing"",""พัทลุง!I149"")"),13)</f>
        <v>13</v>
      </c>
      <c r="J229" s="274">
        <f ca="1">IFERROR(__xludf.DUMMYFUNCTION("IMPORTRANGE(""https://docs.google.com/spreadsheets/d/1IYY_tgx_IHuhSq3AJ5eI5OnqOPBNLWSHKh2a30DoXe8/edit?usp=sharing"",""พัทลุง!J149"")"),13)</f>
        <v>13</v>
      </c>
      <c r="K229" s="275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3"/>
      <c r="B230" s="184"/>
      <c r="C230" s="163" t="s">
        <v>16</v>
      </c>
      <c r="D230" s="185" t="s">
        <v>44</v>
      </c>
      <c r="E230" s="186"/>
      <c r="F230" s="186"/>
      <c r="G230" s="187"/>
      <c r="H230" s="188"/>
      <c r="I230" s="168"/>
      <c r="J230" s="168"/>
      <c r="K230" s="169"/>
      <c r="L230" s="189"/>
      <c r="M230" s="189"/>
      <c r="N230" s="189"/>
      <c r="O230" s="189"/>
      <c r="P230" s="189"/>
    </row>
    <row r="231" spans="1:16" ht="21.75" customHeight="1" x14ac:dyDescent="0.35">
      <c r="A231" s="183"/>
      <c r="B231" s="184"/>
      <c r="C231" s="184"/>
      <c r="D231" s="190">
        <v>1</v>
      </c>
      <c r="E231" s="191" t="s">
        <v>45</v>
      </c>
      <c r="F231" s="192"/>
      <c r="G231" s="193"/>
      <c r="H231" s="194"/>
      <c r="I231" s="195"/>
      <c r="J231" s="205">
        <f ca="1">IFERROR(__xludf.DUMMYFUNCTION("IMPORTRANGE(""https://docs.google.com/spreadsheets/d/1IYY_tgx_IHuhSq3AJ5eI5OnqOPBNLWSHKh2a30DoXe8/edit?usp=sharing"",""พัทลุง!J151"")"),0)</f>
        <v>0</v>
      </c>
      <c r="K231" s="169"/>
      <c r="L231" s="189"/>
      <c r="M231" s="189"/>
      <c r="N231" s="189"/>
      <c r="O231" s="189"/>
      <c r="P231" s="189"/>
    </row>
    <row r="232" spans="1:16" ht="21.75" customHeight="1" x14ac:dyDescent="0.35">
      <c r="A232" s="183"/>
      <c r="B232" s="184"/>
      <c r="C232" s="184"/>
      <c r="D232" s="197">
        <v>2</v>
      </c>
      <c r="E232" s="198" t="s">
        <v>46</v>
      </c>
      <c r="F232" s="199"/>
      <c r="G232" s="200"/>
      <c r="H232" s="194"/>
      <c r="I232" s="195"/>
      <c r="J232" s="196">
        <f ca="1">IFERROR(__xludf.DUMMYFUNCTION("IMPORTRANGE(""https://docs.google.com/spreadsheets/d/1IYY_tgx_IHuhSq3AJ5eI5OnqOPBNLWSHKh2a30DoXe8/edit?usp=sharing"",""พัทลุง!J152"")"),1)</f>
        <v>1</v>
      </c>
      <c r="K232" s="169"/>
      <c r="L232" s="189" t="s">
        <v>40</v>
      </c>
      <c r="M232" s="189"/>
      <c r="N232" s="189" t="s">
        <v>40</v>
      </c>
      <c r="O232" s="189"/>
      <c r="P232" s="189"/>
    </row>
    <row r="233" spans="1:16" ht="21.75" customHeight="1" x14ac:dyDescent="0.35">
      <c r="A233" s="183"/>
      <c r="B233" s="184"/>
      <c r="C233" s="184"/>
      <c r="D233" s="201"/>
      <c r="E233" s="202" t="s">
        <v>47</v>
      </c>
      <c r="F233" s="203"/>
      <c r="G233" s="204"/>
      <c r="H233" s="194"/>
      <c r="I233" s="195"/>
      <c r="J233" s="196">
        <f ca="1">IFERROR(__xludf.DUMMYFUNCTION("IMPORTRANGE(""https://docs.google.com/spreadsheets/d/1IYY_tgx_IHuhSq3AJ5eI5OnqOPBNLWSHKh2a30DoXe8/edit?usp=sharing"",""พัทลุง!J153"")"),1)</f>
        <v>1</v>
      </c>
      <c r="K233" s="169"/>
      <c r="L233" s="189"/>
      <c r="M233" s="189"/>
      <c r="N233" s="189"/>
      <c r="O233" s="189"/>
      <c r="P233" s="189"/>
    </row>
    <row r="234" spans="1:16" ht="21.75" customHeight="1" x14ac:dyDescent="0.35">
      <c r="A234" s="183"/>
      <c r="B234" s="184"/>
      <c r="C234" s="184"/>
      <c r="D234" s="201"/>
      <c r="E234" s="202" t="s">
        <v>48</v>
      </c>
      <c r="F234" s="203"/>
      <c r="G234" s="204"/>
      <c r="H234" s="194"/>
      <c r="I234" s="195"/>
      <c r="J234" s="205">
        <f ca="1">IFERROR(__xludf.DUMMYFUNCTION("IMPORTRANGE(""https://docs.google.com/spreadsheets/d/1IYY_tgx_IHuhSq3AJ5eI5OnqOPBNLWSHKh2a30DoXe8/edit?usp=sharing"",""พัทลุง!J154"")"),1)</f>
        <v>1</v>
      </c>
      <c r="K234" s="169"/>
      <c r="L234" s="189"/>
      <c r="M234" s="189"/>
      <c r="N234" s="189"/>
      <c r="O234" s="189"/>
      <c r="P234" s="189"/>
    </row>
    <row r="235" spans="1:16" ht="21.75" customHeight="1" x14ac:dyDescent="0.35">
      <c r="A235" s="183"/>
      <c r="B235" s="184"/>
      <c r="C235" s="184"/>
      <c r="D235" s="201"/>
      <c r="E235" s="206"/>
      <c r="F235" s="203"/>
      <c r="G235" s="299" t="s">
        <v>70</v>
      </c>
      <c r="H235" s="194" t="s">
        <v>37</v>
      </c>
      <c r="I235" s="195">
        <f ca="1">IFERROR(__xludf.DUMMYFUNCTION("IMPORTRANGE(""https://docs.google.com/spreadsheets/d/1IYY_tgx_IHuhSq3AJ5eI5OnqOPBNLWSHKh2a30DoXe8/edit?usp=sharing"",""พัทลุง!I155"")"),13)</f>
        <v>13</v>
      </c>
      <c r="J235" s="196">
        <f ca="1">IFERROR(__xludf.DUMMYFUNCTION("IMPORTRANGE(""https://docs.google.com/spreadsheets/d/1IYY_tgx_IHuhSq3AJ5eI5OnqOPBNLWSHKh2a30DoXe8/edit?usp=sharing"",""พัทลุง!J155"")"),13)</f>
        <v>13</v>
      </c>
      <c r="K235" s="169">
        <f ca="1">IF(I235&gt;0,J235*100/I235,0)</f>
        <v>100</v>
      </c>
      <c r="L235" s="189"/>
      <c r="M235" s="189"/>
      <c r="N235" s="189"/>
      <c r="O235" s="189"/>
      <c r="P235" s="189"/>
    </row>
    <row r="236" spans="1:16" ht="21.75" customHeight="1" x14ac:dyDescent="0.35">
      <c r="A236" s="183"/>
      <c r="B236" s="184"/>
      <c r="C236" s="184"/>
      <c r="D236" s="201"/>
      <c r="E236" s="202" t="s">
        <v>54</v>
      </c>
      <c r="F236" s="203"/>
      <c r="G236" s="204"/>
      <c r="H236" s="194"/>
      <c r="I236" s="195"/>
      <c r="J236" s="205">
        <f ca="1">IFERROR(__xludf.DUMMYFUNCTION("IMPORTRANGE(""https://docs.google.com/spreadsheets/d/1IYY_tgx_IHuhSq3AJ5eI5OnqOPBNLWSHKh2a30DoXe8/edit?usp=sharing"",""พัทลุง!J156"")"),0)</f>
        <v>0</v>
      </c>
      <c r="K236" s="169"/>
      <c r="L236" s="189"/>
      <c r="M236" s="189"/>
      <c r="N236" s="189"/>
      <c r="O236" s="189"/>
      <c r="P236" s="189"/>
    </row>
    <row r="237" spans="1:16" ht="21.75" customHeight="1" x14ac:dyDescent="0.35">
      <c r="A237" s="183"/>
      <c r="B237" s="184"/>
      <c r="C237" s="184"/>
      <c r="D237" s="213">
        <v>3</v>
      </c>
      <c r="E237" s="214" t="s">
        <v>55</v>
      </c>
      <c r="F237" s="215"/>
      <c r="G237" s="216"/>
      <c r="H237" s="194"/>
      <c r="I237" s="195"/>
      <c r="J237" s="217">
        <f ca="1">IFERROR(__xludf.DUMMYFUNCTION("IMPORTRANGE(""https://docs.google.com/spreadsheets/d/1IYY_tgx_IHuhSq3AJ5eI5OnqOPBNLWSHKh2a30DoXe8/edit?usp=sharing"",""พัทลุง!J157"")"),0)</f>
        <v>0</v>
      </c>
      <c r="K237" s="169"/>
      <c r="L237" s="189"/>
      <c r="M237" s="189"/>
      <c r="N237" s="189"/>
      <c r="O237" s="189"/>
      <c r="P237" s="189"/>
    </row>
    <row r="238" spans="1:16" ht="21.75" customHeight="1" x14ac:dyDescent="0.35">
      <c r="A238" s="183"/>
      <c r="B238" s="184"/>
      <c r="C238" s="271" t="s">
        <v>100</v>
      </c>
      <c r="D238" s="300"/>
      <c r="E238" s="270"/>
      <c r="F238" s="270"/>
      <c r="G238" s="272"/>
      <c r="H238" s="273" t="s">
        <v>37</v>
      </c>
      <c r="I238" s="274">
        <f ca="1">IFERROR(__xludf.DUMMYFUNCTION("IMPORTRANGE(""https://docs.google.com/spreadsheets/d/1IYY_tgx_IHuhSq3AJ5eI5OnqOPBNLWSHKh2a30DoXe8/edit?usp=sharing"",""พัทลุง!I158"")"),0)</f>
        <v>0</v>
      </c>
      <c r="J238" s="274">
        <f ca="1">IFERROR(__xludf.DUMMYFUNCTION("IMPORTRANGE(""https://docs.google.com/spreadsheets/d/1IYY_tgx_IHuhSq3AJ5eI5OnqOPBNLWSHKh2a30DoXe8/edit?usp=sharing"",""พัทลุง!J158"")"),0)</f>
        <v>0</v>
      </c>
      <c r="K238" s="275">
        <f ca="1">IF(I238&gt;0,J238*100/I238,0)</f>
        <v>0</v>
      </c>
      <c r="L238" s="189"/>
      <c r="M238" s="189"/>
      <c r="N238" s="189"/>
      <c r="O238" s="189"/>
      <c r="P238" s="189"/>
    </row>
    <row r="239" spans="1:16" ht="21.75" customHeight="1" x14ac:dyDescent="0.35">
      <c r="A239" s="183"/>
      <c r="B239" s="184"/>
      <c r="C239" s="163" t="s">
        <v>16</v>
      </c>
      <c r="D239" s="185" t="s">
        <v>44</v>
      </c>
      <c r="E239" s="186"/>
      <c r="F239" s="186"/>
      <c r="G239" s="187"/>
      <c r="H239" s="188"/>
      <c r="I239" s="168"/>
      <c r="J239" s="168"/>
      <c r="K239" s="169"/>
      <c r="L239" s="189"/>
      <c r="M239" s="189"/>
      <c r="N239" s="189"/>
      <c r="O239" s="189"/>
      <c r="P239" s="189"/>
    </row>
    <row r="240" spans="1:16" ht="21.75" customHeight="1" x14ac:dyDescent="0.35">
      <c r="A240" s="183"/>
      <c r="B240" s="184"/>
      <c r="C240" s="184"/>
      <c r="D240" s="190">
        <v>1</v>
      </c>
      <c r="E240" s="191" t="s">
        <v>45</v>
      </c>
      <c r="F240" s="192"/>
      <c r="G240" s="193"/>
      <c r="H240" s="194"/>
      <c r="I240" s="195"/>
      <c r="J240" s="195" t="str">
        <f ca="1">IFERROR(__xludf.DUMMYFUNCTION("IMPORTRANGE(""https://docs.google.com/spreadsheets/d/1IYY_tgx_IHuhSq3AJ5eI5OnqOPBNLWSHKh2a30DoXe8/edit?usp=sharing"",""พัทลุง!J159"")"),"")</f>
        <v/>
      </c>
      <c r="K240" s="169"/>
      <c r="L240" s="189"/>
      <c r="M240" s="189"/>
      <c r="N240" s="189"/>
      <c r="O240" s="189"/>
      <c r="P240" s="189"/>
    </row>
    <row r="241" spans="1:16" ht="21.75" customHeight="1" x14ac:dyDescent="0.35">
      <c r="A241" s="183"/>
      <c r="B241" s="184"/>
      <c r="C241" s="184"/>
      <c r="D241" s="197">
        <v>2</v>
      </c>
      <c r="E241" s="198" t="s">
        <v>46</v>
      </c>
      <c r="F241" s="199"/>
      <c r="G241" s="200"/>
      <c r="H241" s="194"/>
      <c r="I241" s="195"/>
      <c r="J241" s="195">
        <f ca="1">IFERROR(__xludf.DUMMYFUNCTION("IMPORTRANGE(""https://docs.google.com/spreadsheets/d/1IYY_tgx_IHuhSq3AJ5eI5OnqOPBNLWSHKh2a30DoXe8/edit?usp=sharing"",""พัทลุง!J161"")"),0)</f>
        <v>0</v>
      </c>
      <c r="K241" s="169"/>
      <c r="L241" s="189" t="s">
        <v>40</v>
      </c>
      <c r="M241" s="189"/>
      <c r="N241" s="189" t="s">
        <v>40</v>
      </c>
      <c r="O241" s="189"/>
      <c r="P241" s="189"/>
    </row>
    <row r="242" spans="1:16" ht="21.75" customHeight="1" x14ac:dyDescent="0.35">
      <c r="A242" s="183"/>
      <c r="B242" s="184"/>
      <c r="C242" s="184"/>
      <c r="D242" s="201"/>
      <c r="E242" s="202" t="s">
        <v>47</v>
      </c>
      <c r="F242" s="203"/>
      <c r="G242" s="204"/>
      <c r="H242" s="194"/>
      <c r="I242" s="195"/>
      <c r="J242" s="195">
        <f ca="1">IFERROR(__xludf.DUMMYFUNCTION("IMPORTRANGE(""https://docs.google.com/spreadsheets/d/1IYY_tgx_IHuhSq3AJ5eI5OnqOPBNLWSHKh2a30DoXe8/edit?usp=sharing"",""พัทลุง!J162"")"),0)</f>
        <v>0</v>
      </c>
      <c r="K242" s="169"/>
      <c r="L242" s="189"/>
      <c r="M242" s="189"/>
      <c r="N242" s="189"/>
      <c r="O242" s="189"/>
      <c r="P242" s="189"/>
    </row>
    <row r="243" spans="1:16" ht="21.75" customHeight="1" x14ac:dyDescent="0.35">
      <c r="A243" s="183"/>
      <c r="B243" s="184"/>
      <c r="C243" s="184"/>
      <c r="D243" s="201"/>
      <c r="E243" s="202" t="s">
        <v>48</v>
      </c>
      <c r="F243" s="203"/>
      <c r="G243" s="204"/>
      <c r="H243" s="194"/>
      <c r="I243" s="195"/>
      <c r="J243" s="195">
        <f ca="1">IFERROR(__xludf.DUMMYFUNCTION("IMPORTRANGE(""https://docs.google.com/spreadsheets/d/1IYY_tgx_IHuhSq3AJ5eI5OnqOPBNLWSHKh2a30DoXe8/edit?usp=sharing"",""พัทลุง!J163"")"),0)</f>
        <v>0</v>
      </c>
      <c r="K243" s="169"/>
      <c r="L243" s="189"/>
      <c r="M243" s="189"/>
      <c r="N243" s="189"/>
      <c r="O243" s="189"/>
      <c r="P243" s="189"/>
    </row>
    <row r="244" spans="1:16" ht="21.75" customHeight="1" x14ac:dyDescent="0.35">
      <c r="A244" s="183"/>
      <c r="B244" s="184"/>
      <c r="C244" s="184"/>
      <c r="D244" s="201"/>
      <c r="E244" s="203"/>
      <c r="F244" s="202" t="s">
        <v>101</v>
      </c>
      <c r="G244" s="203"/>
      <c r="H244" s="194" t="s">
        <v>37</v>
      </c>
      <c r="I244" s="211">
        <f ca="1">IFERROR(__xludf.DUMMYFUNCTION("IMPORTRANGE(""https://docs.google.com/spreadsheets/d/1IYY_tgx_IHuhSq3AJ5eI5OnqOPBNLWSHKh2a30DoXe8/edit?usp=sharing"",""พัทลุง!I164"")"),0)</f>
        <v>0</v>
      </c>
      <c r="J244" s="195">
        <f ca="1">IFERROR(__xludf.DUMMYFUNCTION("IMPORTRANGE(""https://docs.google.com/spreadsheets/d/1IYY_tgx_IHuhSq3AJ5eI5OnqOPBNLWSHKh2a30DoXe8/edit?usp=sharing"",""พัทลุง!J164"")"),0)</f>
        <v>0</v>
      </c>
      <c r="K244" s="169">
        <f ca="1">IF(I244&gt;0,J244*100/I244,0)</f>
        <v>0</v>
      </c>
      <c r="L244" s="189"/>
      <c r="M244" s="189"/>
      <c r="N244" s="189"/>
      <c r="O244" s="189"/>
      <c r="P244" s="189"/>
    </row>
    <row r="245" spans="1:16" ht="21.75" customHeight="1" x14ac:dyDescent="0.35">
      <c r="A245" s="183"/>
      <c r="B245" s="184"/>
      <c r="C245" s="184"/>
      <c r="D245" s="201"/>
      <c r="E245" s="202" t="s">
        <v>54</v>
      </c>
      <c r="F245" s="203"/>
      <c r="G245" s="204"/>
      <c r="H245" s="194"/>
      <c r="I245" s="195"/>
      <c r="J245" s="195">
        <f ca="1">IFERROR(__xludf.DUMMYFUNCTION("IMPORTRANGE(""https://docs.google.com/spreadsheets/d/1IYY_tgx_IHuhSq3AJ5eI5OnqOPBNLWSHKh2a30DoXe8/edit?usp=sharing"",""พัทลุง!J165"")"),0)</f>
        <v>0</v>
      </c>
      <c r="K245" s="169"/>
      <c r="L245" s="189"/>
      <c r="M245" s="189"/>
      <c r="N245" s="189"/>
      <c r="O245" s="189"/>
      <c r="P245" s="189"/>
    </row>
    <row r="246" spans="1:16" ht="21.75" customHeight="1" x14ac:dyDescent="0.35">
      <c r="A246" s="241"/>
      <c r="B246" s="242"/>
      <c r="C246" s="242"/>
      <c r="D246" s="243">
        <v>3</v>
      </c>
      <c r="E246" s="244" t="s">
        <v>55</v>
      </c>
      <c r="F246" s="245"/>
      <c r="G246" s="246"/>
      <c r="H246" s="247"/>
      <c r="I246" s="248"/>
      <c r="J246" s="249">
        <f ca="1">IFERROR(__xludf.DUMMYFUNCTION("IMPORTRANGE(""https://docs.google.com/spreadsheets/d/1IYY_tgx_IHuhSq3AJ5eI5OnqOPBNLWSHKh2a30DoXe8/edit?usp=sharing"",""พัทลุง!J166"")"),0)</f>
        <v>0</v>
      </c>
      <c r="K246" s="294"/>
      <c r="L246" s="252"/>
      <c r="M246" s="252"/>
      <c r="N246" s="252"/>
      <c r="O246" s="252"/>
      <c r="P246" s="252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IFERROR(__xludf.DUMMYFUNCTION("IMPORTRANGE(""https://docs.google.com/spreadsheets/d/1IYY_tgx_IHuhSq3AJ5eI5OnqOPBNLWSHKh2a30DoXe8/edit?usp=sharing"",""พัทลุง!I169"")"),20)</f>
        <v>20</v>
      </c>
      <c r="J249" s="322">
        <f ca="1">IFERROR(__xludf.DUMMYFUNCTION("IMPORTRANGE(""https://docs.google.com/spreadsheets/d/1IYY_tgx_IHuhSq3AJ5eI5OnqOPBNLWSHKh2a30DoXe8/edit?usp=sharing"",""พัทลุง!J169"")"),20)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52" t="s">
        <v>17</v>
      </c>
      <c r="E250" s="543"/>
      <c r="F250" s="543"/>
      <c r="G250" s="543"/>
      <c r="H250" s="153" t="s">
        <v>12</v>
      </c>
      <c r="I250" s="168"/>
      <c r="J250" s="168"/>
      <c r="K250" s="169"/>
      <c r="L250" s="156">
        <f t="shared" ref="L250:N250" ca="1" si="77">L251+L252</f>
        <v>203400</v>
      </c>
      <c r="M250" s="156">
        <f t="shared" ca="1" si="77"/>
        <v>103000</v>
      </c>
      <c r="N250" s="156">
        <f t="shared" ca="1" si="77"/>
        <v>83095</v>
      </c>
      <c r="O250" s="155">
        <f t="shared" ref="O250:O252" ca="1" si="78">IF(L250&gt;0,N250*100/L250,0)</f>
        <v>40.852999016715827</v>
      </c>
      <c r="P250" s="155">
        <f t="shared" ref="P250:P252" ca="1" si="79">IF(M250&gt;0,N250*100/M250,0)</f>
        <v>80.674757281553397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8"/>
      <c r="J251" s="168"/>
      <c r="K251" s="169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8"/>
      <c r="J252" s="168"/>
      <c r="K252" s="169"/>
      <c r="L252" s="161">
        <f t="shared" ref="L252:N252" ca="1" si="81">L254+L258</f>
        <v>203400</v>
      </c>
      <c r="M252" s="161">
        <f t="shared" ca="1" si="81"/>
        <v>103000</v>
      </c>
      <c r="N252" s="161">
        <f t="shared" ca="1" si="81"/>
        <v>83095</v>
      </c>
      <c r="O252" s="160">
        <f t="shared" ca="1" si="78"/>
        <v>40.852999016715827</v>
      </c>
      <c r="P252" s="160">
        <f t="shared" ca="1" si="79"/>
        <v>80.674757281553397</v>
      </c>
    </row>
    <row r="253" spans="1:16" ht="21.75" customHeight="1" x14ac:dyDescent="0.35">
      <c r="A253" s="162"/>
      <c r="B253" s="163"/>
      <c r="C253" s="163" t="s">
        <v>16</v>
      </c>
      <c r="D253" s="164" t="s">
        <v>38</v>
      </c>
      <c r="E253" s="165"/>
      <c r="F253" s="165"/>
      <c r="G253" s="166" t="s">
        <v>39</v>
      </c>
      <c r="H253" s="167" t="s">
        <v>12</v>
      </c>
      <c r="I253" s="168" t="s">
        <v>40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 x14ac:dyDescent="0.35">
      <c r="A254" s="162"/>
      <c r="B254" s="163"/>
      <c r="C254" s="163"/>
      <c r="D254" s="172"/>
      <c r="E254" s="165"/>
      <c r="F254" s="165" t="s">
        <v>40</v>
      </c>
      <c r="G254" s="166" t="s">
        <v>41</v>
      </c>
      <c r="H254" s="167" t="s">
        <v>12</v>
      </c>
      <c r="I254" s="168"/>
      <c r="J254" s="168"/>
      <c r="K254" s="169"/>
      <c r="L254" s="173">
        <f ca="1">L255+L256</f>
        <v>203400</v>
      </c>
      <c r="M254" s="174">
        <f ca="1">IFERROR(__xludf.DUMMYFUNCTION("IMPORTRANGE(""https://docs.google.com/spreadsheets/d/1Yj_ptqi66GCucihVvJfMjLAmec39IyEx_6qawtMGysU/edit?usp=sharing"",""สบก!CB88"")"),103000)</f>
        <v>103000</v>
      </c>
      <c r="N254" s="175">
        <f ca="1">IFERROR(__xludf.DUMMYFUNCTION("IMPORTRANGE(""https://docs.google.com/spreadsheets/d/1Yj_ptqi66GCucihVvJfMjLAmec39IyEx_6qawtMGysU/edit?usp=sharing"",""สบก!CC88"")"),83095)</f>
        <v>83095</v>
      </c>
      <c r="O254" s="176">
        <f ca="1">IF(L254&gt;0,N254*100/L254,0)</f>
        <v>40.852999016715827</v>
      </c>
      <c r="P254" s="176">
        <f ca="1">IF(M254&gt;0,N254*100/M254,0)</f>
        <v>80.674757281553397</v>
      </c>
    </row>
    <row r="255" spans="1:16" ht="21.75" customHeight="1" x14ac:dyDescent="0.35">
      <c r="A255" s="162"/>
      <c r="B255" s="163"/>
      <c r="C255" s="163"/>
      <c r="D255" s="172"/>
      <c r="E255" s="165"/>
      <c r="F255" s="165"/>
      <c r="G255" s="177" t="s">
        <v>42</v>
      </c>
      <c r="H255" s="167" t="s">
        <v>12</v>
      </c>
      <c r="I255" s="168"/>
      <c r="J255" s="168"/>
      <c r="K255" s="169"/>
      <c r="L255" s="174">
        <f ca="1">IFERROR(__xludf.DUMMYFUNCTION("IMPORTRANGE(""https://docs.google.com/spreadsheets/d/1Yj_ptqi66GCucihVvJfMjLAmec39IyEx_6qawtMGysU/edit?usp=sharing"",""สบก!BX88"")"),132000)</f>
        <v>132000</v>
      </c>
      <c r="M255" s="173"/>
      <c r="N255" s="173"/>
      <c r="O255" s="176"/>
      <c r="P255" s="176"/>
    </row>
    <row r="256" spans="1:16" ht="21.75" customHeight="1" x14ac:dyDescent="0.35">
      <c r="A256" s="162"/>
      <c r="B256" s="163"/>
      <c r="C256" s="163"/>
      <c r="D256" s="172"/>
      <c r="E256" s="165"/>
      <c r="F256" s="165"/>
      <c r="G256" s="177" t="s">
        <v>43</v>
      </c>
      <c r="H256" s="167" t="s">
        <v>12</v>
      </c>
      <c r="I256" s="168"/>
      <c r="J256" s="168"/>
      <c r="K256" s="169"/>
      <c r="L256" s="174">
        <f ca="1">IFERROR(__xludf.DUMMYFUNCTION("IMPORTRANGE(""https://docs.google.com/spreadsheets/d/1Yj_ptqi66GCucihVvJfMjLAmec39IyEx_6qawtMGysU/edit?usp=sharing"",""สบก!BY88"")"),71400)</f>
        <v>71400</v>
      </c>
      <c r="M256" s="173"/>
      <c r="N256" s="173"/>
      <c r="O256" s="176"/>
      <c r="P256" s="176"/>
    </row>
    <row r="257" spans="1:16" ht="21.75" customHeight="1" x14ac:dyDescent="0.45">
      <c r="A257" s="178"/>
      <c r="B257" s="81"/>
      <c r="C257" s="82" t="s">
        <v>16</v>
      </c>
      <c r="D257" s="549" t="s">
        <v>23</v>
      </c>
      <c r="E257" s="545"/>
      <c r="F257" s="89"/>
      <c r="G257" s="83" t="s">
        <v>18</v>
      </c>
      <c r="H257" s="179" t="s">
        <v>12</v>
      </c>
      <c r="I257" s="168"/>
      <c r="J257" s="168"/>
      <c r="K257" s="169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80"/>
      <c r="B258" s="95"/>
      <c r="C258" s="95"/>
      <c r="D258" s="181"/>
      <c r="E258" s="96"/>
      <c r="F258" s="96"/>
      <c r="G258" s="97" t="s">
        <v>19</v>
      </c>
      <c r="H258" s="182" t="s">
        <v>12</v>
      </c>
      <c r="I258" s="168"/>
      <c r="J258" s="168"/>
      <c r="K258" s="169"/>
      <c r="L258" s="91">
        <f ca="1">IFERROR(__xludf.DUMMYFUNCTION("IMPORTRANGE(""https://docs.google.com/spreadsheets/d/1Yj_ptqi66GCucihVvJfMjLAmec39IyEx_6qawtMGysU/edit?usp=sharing"",""สบก!BZ88"")"),0)</f>
        <v>0</v>
      </c>
      <c r="M258" s="101"/>
      <c r="N258" s="91">
        <f ca="1">IFERROR(__xludf.DUMMYFUNCTION("IMPORTRANGE(""https://docs.google.com/spreadsheets/d/1Yj_ptqi66GCucihVvJfMjLAmec39IyEx_6qawtMGysU/edit?usp=sharing"",""สบก!CD88"")"),0)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3"/>
      <c r="B259" s="184"/>
      <c r="C259" s="163" t="s">
        <v>16</v>
      </c>
      <c r="D259" s="185" t="s">
        <v>44</v>
      </c>
      <c r="E259" s="186"/>
      <c r="F259" s="186"/>
      <c r="G259" s="187"/>
      <c r="H259" s="188"/>
      <c r="I259" s="168"/>
      <c r="J259" s="168"/>
      <c r="K259" s="169"/>
      <c r="L259" s="189"/>
      <c r="M259" s="189"/>
      <c r="N259" s="189"/>
      <c r="O259" s="189"/>
      <c r="P259" s="189"/>
    </row>
    <row r="260" spans="1:16" ht="21.75" customHeight="1" x14ac:dyDescent="0.35">
      <c r="A260" s="183"/>
      <c r="B260" s="184"/>
      <c r="C260" s="184"/>
      <c r="D260" s="190">
        <v>1</v>
      </c>
      <c r="E260" s="191" t="s">
        <v>45</v>
      </c>
      <c r="F260" s="192"/>
      <c r="G260" s="193"/>
      <c r="H260" s="194"/>
      <c r="I260" s="195"/>
      <c r="J260" s="196">
        <f ca="1">IFERROR(__xludf.DUMMYFUNCTION("IMPORTRANGE(""https://docs.google.com/spreadsheets/d/1IYY_tgx_IHuhSq3AJ5eI5OnqOPBNLWSHKh2a30DoXe8/edit?usp=sharing"",""พัทลุง!J175"")"),0)</f>
        <v>0</v>
      </c>
      <c r="K260" s="169"/>
      <c r="L260" s="189"/>
      <c r="M260" s="189"/>
      <c r="N260" s="189"/>
      <c r="O260" s="189"/>
      <c r="P260" s="189"/>
    </row>
    <row r="261" spans="1:16" ht="21.75" customHeight="1" x14ac:dyDescent="0.35">
      <c r="A261" s="183"/>
      <c r="B261" s="184"/>
      <c r="C261" s="184"/>
      <c r="D261" s="197">
        <v>2</v>
      </c>
      <c r="E261" s="198" t="s">
        <v>46</v>
      </c>
      <c r="F261" s="199"/>
      <c r="G261" s="200"/>
      <c r="H261" s="194"/>
      <c r="I261" s="195"/>
      <c r="J261" s="205">
        <f ca="1">IFERROR(__xludf.DUMMYFUNCTION("IMPORTRANGE(""https://docs.google.com/spreadsheets/d/1IYY_tgx_IHuhSq3AJ5eI5OnqOPBNLWSHKh2a30DoXe8/edit?usp=sharing"",""พัทลุง!J176"")"),1)</f>
        <v>1</v>
      </c>
      <c r="K261" s="169"/>
      <c r="L261" s="189" t="s">
        <v>40</v>
      </c>
      <c r="M261" s="189"/>
      <c r="N261" s="189" t="s">
        <v>40</v>
      </c>
      <c r="O261" s="189"/>
      <c r="P261" s="189"/>
    </row>
    <row r="262" spans="1:16" ht="21.75" customHeight="1" x14ac:dyDescent="0.35">
      <c r="A262" s="183"/>
      <c r="B262" s="184"/>
      <c r="C262" s="184"/>
      <c r="D262" s="201"/>
      <c r="E262" s="202" t="s">
        <v>47</v>
      </c>
      <c r="F262" s="203"/>
      <c r="G262" s="204"/>
      <c r="H262" s="194"/>
      <c r="I262" s="195"/>
      <c r="J262" s="205">
        <f ca="1">IFERROR(__xludf.DUMMYFUNCTION("IMPORTRANGE(""https://docs.google.com/spreadsheets/d/1IYY_tgx_IHuhSq3AJ5eI5OnqOPBNLWSHKh2a30DoXe8/edit?usp=sharing"",""พัทลุง!J177"")"),1)</f>
        <v>1</v>
      </c>
      <c r="K262" s="169"/>
      <c r="L262" s="189"/>
      <c r="M262" s="189"/>
      <c r="N262" s="189"/>
      <c r="O262" s="189"/>
      <c r="P262" s="189"/>
    </row>
    <row r="263" spans="1:16" ht="21.75" customHeight="1" x14ac:dyDescent="0.35">
      <c r="A263" s="183"/>
      <c r="B263" s="184"/>
      <c r="C263" s="184"/>
      <c r="D263" s="201"/>
      <c r="E263" s="202" t="s">
        <v>48</v>
      </c>
      <c r="F263" s="203"/>
      <c r="G263" s="204"/>
      <c r="H263" s="194"/>
      <c r="I263" s="195"/>
      <c r="J263" s="205">
        <f ca="1">IFERROR(__xludf.DUMMYFUNCTION("IMPORTRANGE(""https://docs.google.com/spreadsheets/d/1IYY_tgx_IHuhSq3AJ5eI5OnqOPBNLWSHKh2a30DoXe8/edit?usp=sharing"",""พัทลุง!J178"")"),1)</f>
        <v>1</v>
      </c>
      <c r="K263" s="169"/>
      <c r="L263" s="189"/>
      <c r="M263" s="189"/>
      <c r="N263" s="189"/>
      <c r="O263" s="189"/>
      <c r="P263" s="189"/>
    </row>
    <row r="264" spans="1:16" ht="21.75" customHeight="1" x14ac:dyDescent="0.35">
      <c r="A264" s="183"/>
      <c r="B264" s="184"/>
      <c r="C264" s="184"/>
      <c r="D264" s="201"/>
      <c r="E264" s="206"/>
      <c r="F264" s="202" t="s">
        <v>105</v>
      </c>
      <c r="G264" s="204"/>
      <c r="H264" s="188" t="s">
        <v>59</v>
      </c>
      <c r="I264" s="195">
        <f ca="1">IFERROR(__xludf.DUMMYFUNCTION("IMPORTRANGE(""https://docs.google.com/spreadsheets/d/1IYY_tgx_IHuhSq3AJ5eI5OnqOPBNLWSHKh2a30DoXe8/edit?usp=sharing"",""พัทลุง!I179"")"),1)</f>
        <v>1</v>
      </c>
      <c r="J264" s="196">
        <f ca="1">IFERROR(__xludf.DUMMYFUNCTION("IMPORTRANGE(""https://docs.google.com/spreadsheets/d/1IYY_tgx_IHuhSq3AJ5eI5OnqOPBNLWSHKh2a30DoXe8/edit?usp=sharing"",""พัทลุง!J179"")"),1)</f>
        <v>1</v>
      </c>
      <c r="K264" s="169">
        <f t="shared" ref="K264:K267" ca="1" si="82">IF(I264&gt;0,J264*100/I264,0)</f>
        <v>100</v>
      </c>
      <c r="L264" s="189"/>
      <c r="M264" s="189"/>
      <c r="N264" s="189"/>
      <c r="O264" s="189"/>
      <c r="P264" s="189"/>
    </row>
    <row r="265" spans="1:16" ht="21.75" customHeight="1" x14ac:dyDescent="0.35">
      <c r="A265" s="183"/>
      <c r="B265" s="184"/>
      <c r="C265" s="184"/>
      <c r="D265" s="201"/>
      <c r="E265" s="206"/>
      <c r="F265" s="202" t="s">
        <v>106</v>
      </c>
      <c r="G265" s="204"/>
      <c r="H265" s="188" t="s">
        <v>37</v>
      </c>
      <c r="I265" s="195">
        <f ca="1">IFERROR(__xludf.DUMMYFUNCTION("IMPORTRANGE(""https://docs.google.com/spreadsheets/d/1IYY_tgx_IHuhSq3AJ5eI5OnqOPBNLWSHKh2a30DoXe8/edit?usp=sharing"",""พัทลุง!I180"")"),20)</f>
        <v>20</v>
      </c>
      <c r="J265" s="196">
        <f ca="1">IFERROR(__xludf.DUMMYFUNCTION("IMPORTRANGE(""https://docs.google.com/spreadsheets/d/1IYY_tgx_IHuhSq3AJ5eI5OnqOPBNLWSHKh2a30DoXe8/edit?usp=sharing"",""พัทลุง!J180"")"),20)</f>
        <v>20</v>
      </c>
      <c r="K265" s="169">
        <f t="shared" ca="1" si="82"/>
        <v>100</v>
      </c>
      <c r="L265" s="189"/>
      <c r="M265" s="189"/>
      <c r="N265" s="189"/>
      <c r="O265" s="189"/>
      <c r="P265" s="189"/>
    </row>
    <row r="266" spans="1:16" ht="21.75" customHeight="1" x14ac:dyDescent="0.35">
      <c r="A266" s="183"/>
      <c r="B266" s="184"/>
      <c r="C266" s="184"/>
      <c r="D266" s="201"/>
      <c r="E266" s="206"/>
      <c r="F266" s="202" t="s">
        <v>107</v>
      </c>
      <c r="G266" s="204"/>
      <c r="H266" s="188" t="s">
        <v>37</v>
      </c>
      <c r="I266" s="195">
        <f ca="1">IFERROR(__xludf.DUMMYFUNCTION("IMPORTRANGE(""https://docs.google.com/spreadsheets/d/1IYY_tgx_IHuhSq3AJ5eI5OnqOPBNLWSHKh2a30DoXe8/edit?usp=sharing"",""พัทลุง!I181"")"),20)</f>
        <v>20</v>
      </c>
      <c r="J266" s="196">
        <f ca="1">IFERROR(__xludf.DUMMYFUNCTION("IMPORTRANGE(""https://docs.google.com/spreadsheets/d/1IYY_tgx_IHuhSq3AJ5eI5OnqOPBNLWSHKh2a30DoXe8/edit?usp=sharing"",""พัทลุง!J181"")"),0)</f>
        <v>0</v>
      </c>
      <c r="K266" s="169">
        <f t="shared" ca="1" si="82"/>
        <v>0</v>
      </c>
      <c r="L266" s="189"/>
      <c r="M266" s="189"/>
      <c r="N266" s="189"/>
      <c r="O266" s="189"/>
      <c r="P266" s="189"/>
    </row>
    <row r="267" spans="1:16" ht="21.75" customHeight="1" x14ac:dyDescent="0.35">
      <c r="A267" s="183"/>
      <c r="B267" s="184"/>
      <c r="C267" s="184"/>
      <c r="D267" s="201"/>
      <c r="E267" s="206"/>
      <c r="F267" s="202" t="s">
        <v>108</v>
      </c>
      <c r="G267" s="204"/>
      <c r="H267" s="188" t="s">
        <v>37</v>
      </c>
      <c r="I267" s="195">
        <f ca="1">IFERROR(__xludf.DUMMYFUNCTION("IMPORTRANGE(""https://docs.google.com/spreadsheets/d/1IYY_tgx_IHuhSq3AJ5eI5OnqOPBNLWSHKh2a30DoXe8/edit?usp=sharing"",""พัทลุง!I182"")"),1)</f>
        <v>1</v>
      </c>
      <c r="J267" s="196">
        <f ca="1">IFERROR(__xludf.DUMMYFUNCTION("IMPORTRANGE(""https://docs.google.com/spreadsheets/d/1IYY_tgx_IHuhSq3AJ5eI5OnqOPBNLWSHKh2a30DoXe8/edit?usp=sharing"",""พัทลุง!J182"")"),1)</f>
        <v>1</v>
      </c>
      <c r="K267" s="169">
        <f t="shared" ca="1" si="82"/>
        <v>100</v>
      </c>
      <c r="L267" s="189"/>
      <c r="M267" s="189"/>
      <c r="N267" s="189"/>
      <c r="O267" s="189"/>
      <c r="P267" s="189"/>
    </row>
    <row r="268" spans="1:16" ht="21.75" customHeight="1" x14ac:dyDescent="0.35">
      <c r="A268" s="183"/>
      <c r="B268" s="184"/>
      <c r="C268" s="184"/>
      <c r="D268" s="201"/>
      <c r="E268" s="202" t="s">
        <v>54</v>
      </c>
      <c r="F268" s="203"/>
      <c r="G268" s="204"/>
      <c r="H268" s="194"/>
      <c r="I268" s="195"/>
      <c r="J268" s="205">
        <f ca="1">IFERROR(__xludf.DUMMYFUNCTION("IMPORTRANGE(""https://docs.google.com/spreadsheets/d/1IYY_tgx_IHuhSq3AJ5eI5OnqOPBNLWSHKh2a30DoXe8/edit?usp=sharing"",""พัทลุง!J183"")"),0)</f>
        <v>0</v>
      </c>
      <c r="K268" s="169"/>
      <c r="L268" s="189"/>
      <c r="M268" s="189"/>
      <c r="N268" s="189"/>
      <c r="O268" s="189"/>
      <c r="P268" s="189"/>
    </row>
    <row r="269" spans="1:16" ht="21.75" customHeight="1" x14ac:dyDescent="0.35">
      <c r="A269" s="241"/>
      <c r="B269" s="242"/>
      <c r="C269" s="242"/>
      <c r="D269" s="243">
        <v>3</v>
      </c>
      <c r="E269" s="244" t="s">
        <v>55</v>
      </c>
      <c r="F269" s="245"/>
      <c r="G269" s="246"/>
      <c r="H269" s="247"/>
      <c r="I269" s="248"/>
      <c r="J269" s="293">
        <f ca="1">IFERROR(__xludf.DUMMYFUNCTION("IMPORTRANGE(""https://docs.google.com/spreadsheets/d/1IYY_tgx_IHuhSq3AJ5eI5OnqOPBNLWSHKh2a30DoXe8/edit?usp=sharing"",""พัทลุง!J184"")"),0)</f>
        <v>0</v>
      </c>
      <c r="K269" s="294"/>
      <c r="L269" s="252"/>
      <c r="M269" s="252"/>
      <c r="N269" s="252"/>
      <c r="O269" s="252"/>
      <c r="P269" s="252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IFERROR(__xludf.DUMMYFUNCTION("IMPORTRANGE(""https://docs.google.com/spreadsheets/d/1IYY_tgx_IHuhSq3AJ5eI5OnqOPBNLWSHKh2a30DoXe8/edit?usp=sharing"",""พัทลุง!I185"")"),0)</f>
        <v>0</v>
      </c>
      <c r="J270" s="322">
        <f ca="1">IFERROR(__xludf.DUMMYFUNCTION("IMPORTRANGE(""https://docs.google.com/spreadsheets/d/1IYY_tgx_IHuhSq3AJ5eI5OnqOPBNLWSHKh2a30DoXe8/edit?usp=sharing"",""พัทลุง!J185"")"),0)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52" t="s">
        <v>17</v>
      </c>
      <c r="E271" s="543"/>
      <c r="F271" s="543"/>
      <c r="G271" s="543"/>
      <c r="H271" s="153" t="s">
        <v>12</v>
      </c>
      <c r="I271" s="168"/>
      <c r="J271" s="168"/>
      <c r="K271" s="169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8"/>
      <c r="J272" s="168"/>
      <c r="K272" s="169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8"/>
      <c r="J273" s="168"/>
      <c r="K273" s="169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5">
      <c r="A274" s="162"/>
      <c r="B274" s="163"/>
      <c r="C274" s="163" t="s">
        <v>16</v>
      </c>
      <c r="D274" s="164" t="s">
        <v>38</v>
      </c>
      <c r="E274" s="165"/>
      <c r="F274" s="165"/>
      <c r="G274" s="166" t="s">
        <v>39</v>
      </c>
      <c r="H274" s="167" t="s">
        <v>12</v>
      </c>
      <c r="I274" s="168" t="s">
        <v>40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 x14ac:dyDescent="0.35">
      <c r="A275" s="162"/>
      <c r="B275" s="163"/>
      <c r="C275" s="163"/>
      <c r="D275" s="172"/>
      <c r="E275" s="165"/>
      <c r="F275" s="165" t="s">
        <v>40</v>
      </c>
      <c r="G275" s="166" t="s">
        <v>41</v>
      </c>
      <c r="H275" s="167" t="s">
        <v>12</v>
      </c>
      <c r="I275" s="168"/>
      <c r="J275" s="168"/>
      <c r="K275" s="169"/>
      <c r="L275" s="173">
        <f ca="1">L276+L277</f>
        <v>0</v>
      </c>
      <c r="M275" s="174">
        <f ca="1">IFERROR(__xludf.DUMMYFUNCTION("IMPORTRANGE(""https://docs.google.com/spreadsheets/d/1Yj_ptqi66GCucihVvJfMjLAmec39IyEx_6qawtMGysU/edit?usp=sharing"",""สบก!CK88"")"),0)</f>
        <v>0</v>
      </c>
      <c r="N275" s="175">
        <f ca="1">IFERROR(__xludf.DUMMYFUNCTION("IMPORTRANGE(""https://docs.google.com/spreadsheets/d/1Yj_ptqi66GCucihVvJfMjLAmec39IyEx_6qawtMGysU/edit?usp=sharing"",""สบก!CL88"")"),0)</f>
        <v>0</v>
      </c>
      <c r="O275" s="176">
        <f ca="1">IF(L275&gt;0,N275*100/L275,0)</f>
        <v>0</v>
      </c>
      <c r="P275" s="176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2"/>
      <c r="E276" s="165"/>
      <c r="F276" s="165"/>
      <c r="G276" s="177" t="s">
        <v>42</v>
      </c>
      <c r="H276" s="167" t="s">
        <v>12</v>
      </c>
      <c r="I276" s="168"/>
      <c r="J276" s="168"/>
      <c r="K276" s="169"/>
      <c r="L276" s="174">
        <f ca="1">IFERROR(__xludf.DUMMYFUNCTION("IMPORTRANGE(""https://docs.google.com/spreadsheets/d/1Yj_ptqi66GCucihVvJfMjLAmec39IyEx_6qawtMGysU/edit?usp=sharing"",""สบก!CG88"")"),0)</f>
        <v>0</v>
      </c>
      <c r="M276" s="173"/>
      <c r="N276" s="173"/>
      <c r="O276" s="176"/>
      <c r="P276" s="176"/>
    </row>
    <row r="277" spans="1:16" ht="21.75" customHeight="1" x14ac:dyDescent="0.35">
      <c r="A277" s="162"/>
      <c r="B277" s="163"/>
      <c r="C277" s="163"/>
      <c r="D277" s="172"/>
      <c r="E277" s="165"/>
      <c r="F277" s="165"/>
      <c r="G277" s="177" t="s">
        <v>43</v>
      </c>
      <c r="H277" s="167" t="s">
        <v>12</v>
      </c>
      <c r="I277" s="168"/>
      <c r="J277" s="168"/>
      <c r="K277" s="169"/>
      <c r="L277" s="174">
        <f ca="1">IFERROR(__xludf.DUMMYFUNCTION("IMPORTRANGE(""https://docs.google.com/spreadsheets/d/1Yj_ptqi66GCucihVvJfMjLAmec39IyEx_6qawtMGysU/edit?usp=sharing"",""สบก!CH88"")"),0)</f>
        <v>0</v>
      </c>
      <c r="M277" s="173"/>
      <c r="N277" s="173"/>
      <c r="O277" s="176"/>
      <c r="P277" s="176"/>
    </row>
    <row r="278" spans="1:16" ht="21.75" customHeight="1" x14ac:dyDescent="0.45">
      <c r="A278" s="178"/>
      <c r="B278" s="81"/>
      <c r="C278" s="82" t="s">
        <v>16</v>
      </c>
      <c r="D278" s="549" t="s">
        <v>23</v>
      </c>
      <c r="E278" s="545"/>
      <c r="F278" s="89"/>
      <c r="G278" s="83" t="s">
        <v>18</v>
      </c>
      <c r="H278" s="179" t="s">
        <v>12</v>
      </c>
      <c r="I278" s="168"/>
      <c r="J278" s="168"/>
      <c r="K278" s="169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80"/>
      <c r="B279" s="95"/>
      <c r="C279" s="95"/>
      <c r="D279" s="181"/>
      <c r="E279" s="96"/>
      <c r="F279" s="96"/>
      <c r="G279" s="97" t="s">
        <v>19</v>
      </c>
      <c r="H279" s="182" t="s">
        <v>12</v>
      </c>
      <c r="I279" s="168"/>
      <c r="J279" s="168"/>
      <c r="K279" s="169"/>
      <c r="L279" s="91">
        <f ca="1">IFERROR(__xludf.DUMMYFUNCTION("IMPORTRANGE(""https://docs.google.com/spreadsheets/d/1Yj_ptqi66GCucihVvJfMjLAmec39IyEx_6qawtMGysU/edit?usp=sharing"",""สบก!CI88"")"),0)</f>
        <v>0</v>
      </c>
      <c r="M279" s="101"/>
      <c r="N279" s="91">
        <f ca="1">IFERROR(__xludf.DUMMYFUNCTION("IMPORTRANGE(""https://docs.google.com/spreadsheets/d/1Yj_ptqi66GCucihVvJfMjLAmec39IyEx_6qawtMGysU/edit?usp=sharing"",""สบก!CM88"")"),0)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3"/>
      <c r="B280" s="184"/>
      <c r="C280" s="163" t="s">
        <v>16</v>
      </c>
      <c r="D280" s="185" t="s">
        <v>44</v>
      </c>
      <c r="E280" s="186"/>
      <c r="F280" s="186"/>
      <c r="G280" s="187"/>
      <c r="H280" s="188"/>
      <c r="I280" s="168"/>
      <c r="J280" s="168"/>
      <c r="K280" s="169"/>
      <c r="L280" s="189"/>
      <c r="M280" s="189"/>
      <c r="N280" s="189"/>
      <c r="O280" s="189"/>
      <c r="P280" s="189"/>
    </row>
    <row r="281" spans="1:16" ht="21.75" customHeight="1" x14ac:dyDescent="0.35">
      <c r="A281" s="183"/>
      <c r="B281" s="184"/>
      <c r="C281" s="184"/>
      <c r="D281" s="190">
        <v>1</v>
      </c>
      <c r="E281" s="191" t="s">
        <v>45</v>
      </c>
      <c r="F281" s="192"/>
      <c r="G281" s="193"/>
      <c r="H281" s="194"/>
      <c r="I281" s="195"/>
      <c r="J281" s="196">
        <f ca="1">IFERROR(__xludf.DUMMYFUNCTION("IMPORTRANGE(""https://docs.google.com/spreadsheets/d/1IYY_tgx_IHuhSq3AJ5eI5OnqOPBNLWSHKh2a30DoXe8/edit?usp=sharing"",""พัทลุง!J191"")"),0)</f>
        <v>0</v>
      </c>
      <c r="K281" s="169"/>
      <c r="L281" s="189"/>
      <c r="M281" s="189"/>
      <c r="N281" s="189"/>
      <c r="O281" s="189"/>
      <c r="P281" s="189"/>
    </row>
    <row r="282" spans="1:16" ht="21.75" customHeight="1" x14ac:dyDescent="0.35">
      <c r="A282" s="183"/>
      <c r="B282" s="184"/>
      <c r="C282" s="184"/>
      <c r="D282" s="197">
        <v>2</v>
      </c>
      <c r="E282" s="198" t="s">
        <v>46</v>
      </c>
      <c r="F282" s="199"/>
      <c r="G282" s="200"/>
      <c r="H282" s="194"/>
      <c r="I282" s="195"/>
      <c r="J282" s="205">
        <f ca="1">IFERROR(__xludf.DUMMYFUNCTION("IMPORTRANGE(""https://docs.google.com/spreadsheets/d/1IYY_tgx_IHuhSq3AJ5eI5OnqOPBNLWSHKh2a30DoXe8/edit?usp=sharing"",""พัทลุง!J192"")"),0)</f>
        <v>0</v>
      </c>
      <c r="K282" s="169"/>
      <c r="L282" s="189"/>
      <c r="M282" s="189"/>
      <c r="N282" s="189"/>
      <c r="O282" s="189"/>
      <c r="P282" s="189"/>
    </row>
    <row r="283" spans="1:16" ht="21.75" customHeight="1" x14ac:dyDescent="0.35">
      <c r="A283" s="183"/>
      <c r="B283" s="184"/>
      <c r="C283" s="184"/>
      <c r="D283" s="201"/>
      <c r="E283" s="202" t="s">
        <v>47</v>
      </c>
      <c r="F283" s="203"/>
      <c r="G283" s="204"/>
      <c r="H283" s="194"/>
      <c r="I283" s="195"/>
      <c r="J283" s="205">
        <f ca="1">IFERROR(__xludf.DUMMYFUNCTION("IMPORTRANGE(""https://docs.google.com/spreadsheets/d/1IYY_tgx_IHuhSq3AJ5eI5OnqOPBNLWSHKh2a30DoXe8/edit?usp=sharing"",""พัทลุง!J193"")"),0)</f>
        <v>0</v>
      </c>
      <c r="K283" s="169"/>
      <c r="L283" s="189"/>
      <c r="M283" s="189"/>
      <c r="N283" s="189"/>
      <c r="O283" s="189"/>
      <c r="P283" s="189"/>
    </row>
    <row r="284" spans="1:16" ht="21.75" customHeight="1" x14ac:dyDescent="0.35">
      <c r="A284" s="183"/>
      <c r="B284" s="184"/>
      <c r="C284" s="184"/>
      <c r="D284" s="201"/>
      <c r="E284" s="202" t="s">
        <v>48</v>
      </c>
      <c r="F284" s="203"/>
      <c r="G284" s="204"/>
      <c r="H284" s="194"/>
      <c r="I284" s="195"/>
      <c r="J284" s="205">
        <f ca="1">IFERROR(__xludf.DUMMYFUNCTION("IMPORTRANGE(""https://docs.google.com/spreadsheets/d/1IYY_tgx_IHuhSq3AJ5eI5OnqOPBNLWSHKh2a30DoXe8/edit?usp=sharing"",""พัทลุง!J194"")"),0)</f>
        <v>0</v>
      </c>
      <c r="K284" s="169"/>
      <c r="L284" s="189"/>
      <c r="M284" s="189"/>
      <c r="N284" s="189"/>
      <c r="O284" s="189"/>
      <c r="P284" s="189"/>
    </row>
    <row r="285" spans="1:16" ht="21.75" customHeight="1" x14ac:dyDescent="0.35">
      <c r="A285" s="183"/>
      <c r="B285" s="184"/>
      <c r="C285" s="184"/>
      <c r="D285" s="201"/>
      <c r="E285" s="203"/>
      <c r="F285" s="202" t="s">
        <v>110</v>
      </c>
      <c r="G285" s="204"/>
      <c r="H285" s="194" t="s">
        <v>37</v>
      </c>
      <c r="I285" s="195">
        <f ca="1">IFERROR(__xludf.DUMMYFUNCTION("IMPORTRANGE(""https://docs.google.com/spreadsheets/d/1IYY_tgx_IHuhSq3AJ5eI5OnqOPBNLWSHKh2a30DoXe8/edit?usp=sharing"",""พัทลุง!I195"")"),0)</f>
        <v>0</v>
      </c>
      <c r="J285" s="196">
        <f ca="1">IFERROR(__xludf.DUMMYFUNCTION("IMPORTRANGE(""https://docs.google.com/spreadsheets/d/1IYY_tgx_IHuhSq3AJ5eI5OnqOPBNLWSHKh2a30DoXe8/edit?usp=sharing"",""พัทลุง!J195"")"),0)</f>
        <v>0</v>
      </c>
      <c r="K285" s="169">
        <f ca="1">IF(I285&gt;0,J285*100/I285,0)</f>
        <v>0</v>
      </c>
      <c r="L285" s="189"/>
      <c r="M285" s="189"/>
      <c r="N285" s="189"/>
      <c r="O285" s="189"/>
      <c r="P285" s="189"/>
    </row>
    <row r="286" spans="1:16" ht="21.75" customHeight="1" x14ac:dyDescent="0.35">
      <c r="A286" s="183"/>
      <c r="B286" s="184"/>
      <c r="C286" s="184"/>
      <c r="D286" s="201"/>
      <c r="E286" s="202" t="s">
        <v>54</v>
      </c>
      <c r="F286" s="203"/>
      <c r="G286" s="204"/>
      <c r="H286" s="194"/>
      <c r="I286" s="195"/>
      <c r="J286" s="205">
        <f ca="1">IFERROR(__xludf.DUMMYFUNCTION("IMPORTRANGE(""https://docs.google.com/spreadsheets/d/1IYY_tgx_IHuhSq3AJ5eI5OnqOPBNLWSHKh2a30DoXe8/edit?usp=sharing"",""พัทลุง!J196"")"),0)</f>
        <v>0</v>
      </c>
      <c r="K286" s="169"/>
      <c r="L286" s="189"/>
      <c r="M286" s="189"/>
      <c r="N286" s="189"/>
      <c r="O286" s="189"/>
      <c r="P286" s="189"/>
    </row>
    <row r="287" spans="1:16" ht="21.75" customHeight="1" x14ac:dyDescent="0.35">
      <c r="A287" s="183"/>
      <c r="B287" s="184"/>
      <c r="C287" s="184"/>
      <c r="D287" s="213">
        <v>3</v>
      </c>
      <c r="E287" s="214" t="s">
        <v>55</v>
      </c>
      <c r="F287" s="215"/>
      <c r="G287" s="216"/>
      <c r="H287" s="194"/>
      <c r="I287" s="195"/>
      <c r="J287" s="217">
        <f ca="1">IFERROR(__xludf.DUMMYFUNCTION("IMPORTRANGE(""https://docs.google.com/spreadsheets/d/1IYY_tgx_IHuhSq3AJ5eI5OnqOPBNLWSHKh2a30DoXe8/edit?usp=sharing"",""พัทลุง!J197"")"),0)</f>
        <v>0</v>
      </c>
      <c r="K287" s="169"/>
      <c r="L287" s="189"/>
      <c r="M287" s="189"/>
      <c r="N287" s="189"/>
      <c r="O287" s="189"/>
      <c r="P287" s="189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IFERROR(__xludf.DUMMYFUNCTION("IMPORTRANGE(""https://docs.google.com/spreadsheets/d/1IYY_tgx_IHuhSq3AJ5eI5OnqOPBNLWSHKh2a30DoXe8/edit?usp=sharing"",""พัทลุง!I199"")"),0)</f>
        <v>0</v>
      </c>
      <c r="J289" s="322">
        <f ca="1">IFERROR(__xludf.DUMMYFUNCTION("IMPORTRANGE(""https://docs.google.com/spreadsheets/d/1IYY_tgx_IHuhSq3AJ5eI5OnqOPBNLWSHKh2a30DoXe8/edit?usp=sharing"",""พัทลุง!J199"")"),0)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52" t="s">
        <v>17</v>
      </c>
      <c r="E290" s="543"/>
      <c r="F290" s="543"/>
      <c r="G290" s="543"/>
      <c r="H290" s="153" t="s">
        <v>12</v>
      </c>
      <c r="I290" s="195"/>
      <c r="J290" s="195"/>
      <c r="K290" s="231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5"/>
      <c r="J291" s="195"/>
      <c r="K291" s="231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5"/>
      <c r="J292" s="195"/>
      <c r="K292" s="231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5">
      <c r="A293" s="162"/>
      <c r="B293" s="163"/>
      <c r="C293" s="163" t="s">
        <v>16</v>
      </c>
      <c r="D293" s="164" t="s">
        <v>38</v>
      </c>
      <c r="E293" s="165"/>
      <c r="F293" s="165"/>
      <c r="G293" s="166" t="s">
        <v>39</v>
      </c>
      <c r="H293" s="167" t="s">
        <v>12</v>
      </c>
      <c r="I293" s="195" t="s">
        <v>40</v>
      </c>
      <c r="J293" s="195"/>
      <c r="K293" s="231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 x14ac:dyDescent="0.35">
      <c r="A294" s="162"/>
      <c r="B294" s="163"/>
      <c r="C294" s="163"/>
      <c r="D294" s="172"/>
      <c r="E294" s="165"/>
      <c r="F294" s="165" t="s">
        <v>40</v>
      </c>
      <c r="G294" s="166" t="s">
        <v>41</v>
      </c>
      <c r="H294" s="167" t="s">
        <v>12</v>
      </c>
      <c r="I294" s="195"/>
      <c r="J294" s="195"/>
      <c r="K294" s="231"/>
      <c r="L294" s="173">
        <f ca="1">L295+L296</f>
        <v>0</v>
      </c>
      <c r="M294" s="174">
        <f ca="1">IFERROR(__xludf.DUMMYFUNCTION("IMPORTRANGE(""https://docs.google.com/spreadsheets/d/1Yj_ptqi66GCucihVvJfMjLAmec39IyEx_6qawtMGysU/edit?usp=sharing"",""สบก!CT88"")"),0)</f>
        <v>0</v>
      </c>
      <c r="N294" s="175">
        <f ca="1">IFERROR(__xludf.DUMMYFUNCTION("IMPORTRANGE(""https://docs.google.com/spreadsheets/d/1Yj_ptqi66GCucihVvJfMjLAmec39IyEx_6qawtMGysU/edit?usp=sharing"",""สบก!CU88"")"),0)</f>
        <v>0</v>
      </c>
      <c r="O294" s="176">
        <f ca="1">IF(L294&gt;0,N294*100/L294,0)</f>
        <v>0</v>
      </c>
      <c r="P294" s="176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2"/>
      <c r="E295" s="165"/>
      <c r="F295" s="165"/>
      <c r="G295" s="177" t="s">
        <v>42</v>
      </c>
      <c r="H295" s="167" t="s">
        <v>12</v>
      </c>
      <c r="I295" s="195"/>
      <c r="J295" s="195"/>
      <c r="K295" s="231"/>
      <c r="L295" s="174">
        <f ca="1">IFERROR(__xludf.DUMMYFUNCTION("IMPORTRANGE(""https://docs.google.com/spreadsheets/d/1Yj_ptqi66GCucihVvJfMjLAmec39IyEx_6qawtMGysU/edit?usp=sharing"",""สบก!CP88"")"),0)</f>
        <v>0</v>
      </c>
      <c r="M295" s="173"/>
      <c r="N295" s="173"/>
      <c r="O295" s="176"/>
      <c r="P295" s="176"/>
    </row>
    <row r="296" spans="1:16" ht="21.75" customHeight="1" x14ac:dyDescent="0.35">
      <c r="A296" s="162"/>
      <c r="B296" s="163"/>
      <c r="C296" s="163"/>
      <c r="D296" s="172"/>
      <c r="E296" s="165"/>
      <c r="F296" s="165"/>
      <c r="G296" s="177" t="s">
        <v>43</v>
      </c>
      <c r="H296" s="167" t="s">
        <v>12</v>
      </c>
      <c r="I296" s="195"/>
      <c r="J296" s="195"/>
      <c r="K296" s="231"/>
      <c r="L296" s="174">
        <f ca="1">IFERROR(__xludf.DUMMYFUNCTION("IMPORTRANGE(""https://docs.google.com/spreadsheets/d/1Yj_ptqi66GCucihVvJfMjLAmec39IyEx_6qawtMGysU/edit?usp=sharing"",""สบก!CQ88"")"),0)</f>
        <v>0</v>
      </c>
      <c r="M296" s="173"/>
      <c r="N296" s="173"/>
      <c r="O296" s="176"/>
      <c r="P296" s="176"/>
    </row>
    <row r="297" spans="1:16" ht="21.75" customHeight="1" x14ac:dyDescent="0.45">
      <c r="A297" s="178"/>
      <c r="B297" s="81"/>
      <c r="C297" s="82" t="s">
        <v>16</v>
      </c>
      <c r="D297" s="549" t="s">
        <v>23</v>
      </c>
      <c r="E297" s="545"/>
      <c r="F297" s="89"/>
      <c r="G297" s="83" t="s">
        <v>18</v>
      </c>
      <c r="H297" s="179" t="s">
        <v>12</v>
      </c>
      <c r="I297" s="195"/>
      <c r="J297" s="195"/>
      <c r="K297" s="231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80"/>
      <c r="B298" s="95"/>
      <c r="C298" s="95"/>
      <c r="D298" s="181"/>
      <c r="E298" s="96"/>
      <c r="F298" s="96"/>
      <c r="G298" s="97" t="s">
        <v>19</v>
      </c>
      <c r="H298" s="182" t="s">
        <v>12</v>
      </c>
      <c r="I298" s="195"/>
      <c r="J298" s="195"/>
      <c r="K298" s="231"/>
      <c r="L298" s="91">
        <f ca="1">IFERROR(__xludf.DUMMYFUNCTION("IMPORTRANGE(""https://docs.google.com/spreadsheets/d/1Yj_ptqi66GCucihVvJfMjLAmec39IyEx_6qawtMGysU/edit?usp=sharing"",""สบก!CR88"")"),0)</f>
        <v>0</v>
      </c>
      <c r="M298" s="101"/>
      <c r="N298" s="91">
        <f ca="1">IFERROR(__xludf.DUMMYFUNCTION("IMPORTRANGE(""https://docs.google.com/spreadsheets/d/1Yj_ptqi66GCucihVvJfMjLAmec39IyEx_6qawtMGysU/edit?usp=sharing"",""สบก!CV88"")"),0)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3"/>
      <c r="B299" s="184"/>
      <c r="C299" s="163" t="s">
        <v>16</v>
      </c>
      <c r="D299" s="185" t="s">
        <v>44</v>
      </c>
      <c r="E299" s="186"/>
      <c r="F299" s="186"/>
      <c r="G299" s="187"/>
      <c r="H299" s="188"/>
      <c r="I299" s="195"/>
      <c r="J299" s="195"/>
      <c r="K299" s="231"/>
      <c r="L299" s="176"/>
      <c r="M299" s="176"/>
      <c r="N299" s="176"/>
      <c r="O299" s="189"/>
      <c r="P299" s="189"/>
    </row>
    <row r="300" spans="1:16" ht="21.75" customHeight="1" x14ac:dyDescent="0.35">
      <c r="A300" s="183"/>
      <c r="B300" s="184"/>
      <c r="C300" s="184"/>
      <c r="D300" s="190">
        <v>1</v>
      </c>
      <c r="E300" s="191" t="s">
        <v>45</v>
      </c>
      <c r="F300" s="192"/>
      <c r="G300" s="193"/>
      <c r="H300" s="194"/>
      <c r="I300" s="195"/>
      <c r="J300" s="195">
        <f ca="1">IFERROR(__xludf.DUMMYFUNCTION("IMPORTRANGE(""https://docs.google.com/spreadsheets/d/1IYY_tgx_IHuhSq3AJ5eI5OnqOPBNLWSHKh2a30DoXe8/edit?usp=sharing"",""พัทลุง!J205"")"),0)</f>
        <v>0</v>
      </c>
      <c r="K300" s="231"/>
      <c r="L300" s="176"/>
      <c r="M300" s="176"/>
      <c r="N300" s="176"/>
      <c r="O300" s="189"/>
      <c r="P300" s="189"/>
    </row>
    <row r="301" spans="1:16" ht="21.75" customHeight="1" x14ac:dyDescent="0.35">
      <c r="A301" s="183"/>
      <c r="B301" s="184"/>
      <c r="C301" s="184"/>
      <c r="D301" s="197">
        <v>2</v>
      </c>
      <c r="E301" s="198" t="s">
        <v>46</v>
      </c>
      <c r="F301" s="199"/>
      <c r="G301" s="200"/>
      <c r="H301" s="194"/>
      <c r="I301" s="195"/>
      <c r="J301" s="195">
        <f ca="1">IFERROR(__xludf.DUMMYFUNCTION("IMPORTRANGE(""https://docs.google.com/spreadsheets/d/1IYY_tgx_IHuhSq3AJ5eI5OnqOPBNLWSHKh2a30DoXe8/edit?usp=sharing"",""พัทลุง!J206"")"),0)</f>
        <v>0</v>
      </c>
      <c r="K301" s="231"/>
      <c r="L301" s="176" t="s">
        <v>40</v>
      </c>
      <c r="M301" s="176"/>
      <c r="N301" s="176" t="s">
        <v>40</v>
      </c>
      <c r="O301" s="189"/>
      <c r="P301" s="189"/>
    </row>
    <row r="302" spans="1:16" ht="21.75" customHeight="1" x14ac:dyDescent="0.35">
      <c r="A302" s="183"/>
      <c r="B302" s="184"/>
      <c r="C302" s="184"/>
      <c r="D302" s="201"/>
      <c r="E302" s="202" t="s">
        <v>47</v>
      </c>
      <c r="F302" s="203"/>
      <c r="G302" s="204"/>
      <c r="H302" s="194"/>
      <c r="I302" s="195"/>
      <c r="J302" s="195">
        <f ca="1">IFERROR(__xludf.DUMMYFUNCTION("IMPORTRANGE(""https://docs.google.com/spreadsheets/d/1IYY_tgx_IHuhSq3AJ5eI5OnqOPBNLWSHKh2a30DoXe8/edit?usp=sharing"",""พัทลุง!J207"")"),0)</f>
        <v>0</v>
      </c>
      <c r="K302" s="231"/>
      <c r="L302" s="176"/>
      <c r="M302" s="176"/>
      <c r="N302" s="176"/>
      <c r="O302" s="189"/>
      <c r="P302" s="189"/>
    </row>
    <row r="303" spans="1:16" ht="21.75" customHeight="1" x14ac:dyDescent="0.35">
      <c r="A303" s="183"/>
      <c r="B303" s="184"/>
      <c r="C303" s="184"/>
      <c r="D303" s="201"/>
      <c r="E303" s="202" t="s">
        <v>48</v>
      </c>
      <c r="F303" s="203"/>
      <c r="G303" s="204"/>
      <c r="H303" s="194"/>
      <c r="I303" s="195"/>
      <c r="J303" s="195">
        <f ca="1">IFERROR(__xludf.DUMMYFUNCTION("IMPORTRANGE(""https://docs.google.com/spreadsheets/d/1IYY_tgx_IHuhSq3AJ5eI5OnqOPBNLWSHKh2a30DoXe8/edit?usp=sharing"",""พัทลุง!J208"")"),0)</f>
        <v>0</v>
      </c>
      <c r="K303" s="231"/>
      <c r="L303" s="176"/>
      <c r="M303" s="176"/>
      <c r="N303" s="176"/>
      <c r="O303" s="189"/>
      <c r="P303" s="189"/>
    </row>
    <row r="304" spans="1:16" ht="21.75" customHeight="1" x14ac:dyDescent="0.35">
      <c r="A304" s="183"/>
      <c r="B304" s="184"/>
      <c r="C304" s="184"/>
      <c r="D304" s="201"/>
      <c r="E304" s="206"/>
      <c r="F304" s="202" t="s">
        <v>113</v>
      </c>
      <c r="G304" s="204"/>
      <c r="H304" s="188" t="s">
        <v>37</v>
      </c>
      <c r="I304" s="195">
        <f ca="1">IFERROR(__xludf.DUMMYFUNCTION("IMPORTRANGE(""https://docs.google.com/spreadsheets/d/1IYY_tgx_IHuhSq3AJ5eI5OnqOPBNLWSHKh2a30DoXe8/edit?usp=sharing"",""พัทลุง!I209"")"),0)</f>
        <v>0</v>
      </c>
      <c r="J304" s="211">
        <f ca="1">IFERROR(__xludf.DUMMYFUNCTION("IMPORTRANGE(""https://docs.google.com/spreadsheets/d/1IYY_tgx_IHuhSq3AJ5eI5OnqOPBNLWSHKh2a30DoXe8/edit?usp=sharing"",""พัทลุง!J209"")"),0)</f>
        <v>0</v>
      </c>
      <c r="K304" s="231">
        <f ca="1">IF(I304&gt;0,J304*100/I304,0)</f>
        <v>0</v>
      </c>
      <c r="L304" s="176"/>
      <c r="M304" s="176"/>
      <c r="N304" s="176"/>
      <c r="O304" s="189"/>
      <c r="P304" s="189"/>
    </row>
    <row r="305" spans="1:16" ht="21.75" customHeight="1" x14ac:dyDescent="0.35">
      <c r="A305" s="183"/>
      <c r="B305" s="184"/>
      <c r="C305" s="184"/>
      <c r="D305" s="201"/>
      <c r="E305" s="206"/>
      <c r="F305" s="202" t="s">
        <v>114</v>
      </c>
      <c r="G305" s="204"/>
      <c r="H305" s="188"/>
      <c r="I305" s="195"/>
      <c r="J305" s="195"/>
      <c r="K305" s="231"/>
      <c r="L305" s="176"/>
      <c r="M305" s="176"/>
      <c r="N305" s="176"/>
      <c r="O305" s="189"/>
      <c r="P305" s="189"/>
    </row>
    <row r="306" spans="1:16" ht="21.75" customHeight="1" x14ac:dyDescent="0.35">
      <c r="A306" s="183"/>
      <c r="B306" s="184"/>
      <c r="C306" s="184"/>
      <c r="D306" s="201"/>
      <c r="E306" s="206"/>
      <c r="F306" s="203" t="s">
        <v>53</v>
      </c>
      <c r="G306" s="204"/>
      <c r="H306" s="188" t="s">
        <v>37</v>
      </c>
      <c r="I306" s="195">
        <f ca="1">IFERROR(__xludf.DUMMYFUNCTION("IMPORTRANGE(""https://docs.google.com/spreadsheets/d/1IYY_tgx_IHuhSq3AJ5eI5OnqOPBNLWSHKh2a30DoXe8/edit?usp=sharing"",""พัทลุง!I211"")"),0)</f>
        <v>0</v>
      </c>
      <c r="J306" s="211">
        <f ca="1">IFERROR(__xludf.DUMMYFUNCTION("IMPORTRANGE(""https://docs.google.com/spreadsheets/d/1IYY_tgx_IHuhSq3AJ5eI5OnqOPBNLWSHKh2a30DoXe8/edit?usp=sharing"",""พัทลุง!J211"")"),0)</f>
        <v>0</v>
      </c>
      <c r="K306" s="231">
        <f ca="1">IF(I306&gt;0,J306*100/I306,0)</f>
        <v>0</v>
      </c>
      <c r="L306" s="176"/>
      <c r="M306" s="176"/>
      <c r="N306" s="176"/>
      <c r="O306" s="189"/>
      <c r="P306" s="189"/>
    </row>
    <row r="307" spans="1:16" ht="21.75" customHeight="1" x14ac:dyDescent="0.35">
      <c r="A307" s="183"/>
      <c r="B307" s="184"/>
      <c r="C307" s="184"/>
      <c r="D307" s="201"/>
      <c r="E307" s="202" t="s">
        <v>54</v>
      </c>
      <c r="F307" s="203"/>
      <c r="G307" s="204"/>
      <c r="H307" s="194"/>
      <c r="I307" s="195"/>
      <c r="J307" s="195">
        <f ca="1">IFERROR(__xludf.DUMMYFUNCTION("IMPORTRANGE(""https://docs.google.com/spreadsheets/d/1IYY_tgx_IHuhSq3AJ5eI5OnqOPBNLWSHKh2a30DoXe8/edit?usp=sharing"",""พัทลุง!J212"")"),0)</f>
        <v>0</v>
      </c>
      <c r="K307" s="231"/>
      <c r="L307" s="176"/>
      <c r="M307" s="176"/>
      <c r="N307" s="176"/>
      <c r="O307" s="189"/>
      <c r="P307" s="189"/>
    </row>
    <row r="308" spans="1:16" ht="21.75" customHeight="1" x14ac:dyDescent="0.35">
      <c r="A308" s="183"/>
      <c r="B308" s="184"/>
      <c r="C308" s="184"/>
      <c r="D308" s="213">
        <v>3</v>
      </c>
      <c r="E308" s="214" t="s">
        <v>55</v>
      </c>
      <c r="F308" s="215"/>
      <c r="G308" s="216"/>
      <c r="H308" s="194"/>
      <c r="I308" s="195"/>
      <c r="J308" s="332">
        <f ca="1">IFERROR(__xludf.DUMMYFUNCTION("IMPORTRANGE(""https://docs.google.com/spreadsheets/d/1IYY_tgx_IHuhSq3AJ5eI5OnqOPBNLWSHKh2a30DoXe8/edit?usp=sharing"",""พัทลุง!J213"")"),0)</f>
        <v>0</v>
      </c>
      <c r="K308" s="231"/>
      <c r="L308" s="176"/>
      <c r="M308" s="176"/>
      <c r="N308" s="176"/>
      <c r="O308" s="189"/>
      <c r="P308" s="189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IFERROR(__xludf.DUMMYFUNCTION("IMPORTRANGE(""https://docs.google.com/spreadsheets/d/1IYY_tgx_IHuhSq3AJ5eI5OnqOPBNLWSHKh2a30DoXe8/edit?usp=sharing"",""พัทลุง!I214"")"),0)</f>
        <v>0</v>
      </c>
      <c r="J309" s="339">
        <f ca="1">IFERROR(__xludf.DUMMYFUNCTION("IMPORTRANGE(""https://docs.google.com/spreadsheets/d/1IYY_tgx_IHuhSq3AJ5eI5OnqOPBNLWSHKh2a30DoXe8/edit?usp=sharing"",""พัทลุง!J214"")"),0)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52" t="s">
        <v>17</v>
      </c>
      <c r="E310" s="543"/>
      <c r="F310" s="543"/>
      <c r="G310" s="54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5">
      <c r="A313" s="162"/>
      <c r="B313" s="163"/>
      <c r="C313" s="163" t="s">
        <v>16</v>
      </c>
      <c r="D313" s="164" t="s">
        <v>38</v>
      </c>
      <c r="E313" s="165"/>
      <c r="F313" s="165"/>
      <c r="G313" s="166" t="s">
        <v>39</v>
      </c>
      <c r="H313" s="167" t="s">
        <v>12</v>
      </c>
      <c r="I313" s="168" t="s">
        <v>40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 x14ac:dyDescent="0.35">
      <c r="A314" s="162"/>
      <c r="B314" s="163"/>
      <c r="C314" s="163"/>
      <c r="D314" s="172"/>
      <c r="E314" s="165"/>
      <c r="F314" s="165" t="s">
        <v>40</v>
      </c>
      <c r="G314" s="166" t="s">
        <v>41</v>
      </c>
      <c r="H314" s="167" t="s">
        <v>12</v>
      </c>
      <c r="I314" s="168"/>
      <c r="J314" s="168"/>
      <c r="K314" s="169"/>
      <c r="L314" s="173">
        <f ca="1">L315+L316</f>
        <v>0</v>
      </c>
      <c r="M314" s="174">
        <f ca="1">IFERROR(__xludf.DUMMYFUNCTION("IMPORTRANGE(""https://docs.google.com/spreadsheets/d/1Yj_ptqi66GCucihVvJfMjLAmec39IyEx_6qawtMGysU/edit?usp=sharing"",""สบก!DC88"")"),0)</f>
        <v>0</v>
      </c>
      <c r="N314" s="175">
        <f ca="1">IFERROR(__xludf.DUMMYFUNCTION("IMPORTRANGE(""https://docs.google.com/spreadsheets/d/1Yj_ptqi66GCucihVvJfMjLAmec39IyEx_6qawtMGysU/edit?usp=sharing"",""สบก!DD88"")"),0)</f>
        <v>0</v>
      </c>
      <c r="O314" s="176">
        <f ca="1">IF(L314&gt;0,N314*100/L314,0)</f>
        <v>0</v>
      </c>
      <c r="P314" s="176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2"/>
      <c r="E315" s="165"/>
      <c r="F315" s="165"/>
      <c r="G315" s="177" t="s">
        <v>42</v>
      </c>
      <c r="H315" s="167" t="s">
        <v>12</v>
      </c>
      <c r="I315" s="168"/>
      <c r="J315" s="168"/>
      <c r="K315" s="169"/>
      <c r="L315" s="174">
        <f ca="1">IFERROR(__xludf.DUMMYFUNCTION("IMPORTRANGE(""https://docs.google.com/spreadsheets/d/1Yj_ptqi66GCucihVvJfMjLAmec39IyEx_6qawtMGysU/edit?usp=sharing"",""สบก!CY88"")"),0)</f>
        <v>0</v>
      </c>
      <c r="M315" s="173"/>
      <c r="N315" s="173"/>
      <c r="O315" s="176"/>
      <c r="P315" s="176"/>
    </row>
    <row r="316" spans="1:16" ht="21.75" customHeight="1" x14ac:dyDescent="0.35">
      <c r="A316" s="162"/>
      <c r="B316" s="163"/>
      <c r="C316" s="163"/>
      <c r="D316" s="172"/>
      <c r="E316" s="165"/>
      <c r="F316" s="165"/>
      <c r="G316" s="177" t="s">
        <v>43</v>
      </c>
      <c r="H316" s="167" t="s">
        <v>12</v>
      </c>
      <c r="I316" s="168"/>
      <c r="J316" s="195"/>
      <c r="K316" s="231"/>
      <c r="L316" s="174">
        <f ca="1">IFERROR(__xludf.DUMMYFUNCTION("IMPORTRANGE(""https://docs.google.com/spreadsheets/d/1Yj_ptqi66GCucihVvJfMjLAmec39IyEx_6qawtMGysU/edit?usp=sharing"",""สบก!CZ88"")"),0)</f>
        <v>0</v>
      </c>
      <c r="M316" s="173"/>
      <c r="N316" s="173"/>
      <c r="O316" s="176"/>
      <c r="P316" s="176"/>
    </row>
    <row r="317" spans="1:16" ht="21.75" customHeight="1" x14ac:dyDescent="0.45">
      <c r="A317" s="178"/>
      <c r="B317" s="81"/>
      <c r="C317" s="82" t="s">
        <v>16</v>
      </c>
      <c r="D317" s="549" t="s">
        <v>23</v>
      </c>
      <c r="E317" s="545"/>
      <c r="F317" s="89"/>
      <c r="G317" s="83" t="s">
        <v>18</v>
      </c>
      <c r="H317" s="179" t="s">
        <v>12</v>
      </c>
      <c r="I317" s="168"/>
      <c r="J317" s="195"/>
      <c r="K317" s="231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80"/>
      <c r="B318" s="95"/>
      <c r="C318" s="95"/>
      <c r="D318" s="181"/>
      <c r="E318" s="96"/>
      <c r="F318" s="96"/>
      <c r="G318" s="97" t="s">
        <v>19</v>
      </c>
      <c r="H318" s="182" t="s">
        <v>12</v>
      </c>
      <c r="I318" s="168"/>
      <c r="J318" s="195"/>
      <c r="K318" s="231"/>
      <c r="L318" s="91">
        <f ca="1">IFERROR(__xludf.DUMMYFUNCTION("IMPORTRANGE(""https://docs.google.com/spreadsheets/d/1Yj_ptqi66GCucihVvJfMjLAmec39IyEx_6qawtMGysU/edit?usp=sharing"",""สบก!DA88"")"),0)</f>
        <v>0</v>
      </c>
      <c r="M318" s="101"/>
      <c r="N318" s="91">
        <f ca="1">IFERROR(__xludf.DUMMYFUNCTION("IMPORTRANGE(""https://docs.google.com/spreadsheets/d/1Yj_ptqi66GCucihVvJfMjLAmec39IyEx_6qawtMGysU/edit?usp=sharing"",""สบก!DE88"")"),0)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3"/>
      <c r="B319" s="184"/>
      <c r="C319" s="163" t="s">
        <v>16</v>
      </c>
      <c r="D319" s="185" t="s">
        <v>44</v>
      </c>
      <c r="E319" s="186"/>
      <c r="F319" s="186"/>
      <c r="G319" s="187"/>
      <c r="H319" s="188"/>
      <c r="I319" s="168"/>
      <c r="J319" s="195"/>
      <c r="K319" s="231"/>
      <c r="L319" s="176"/>
      <c r="M319" s="176"/>
      <c r="N319" s="176"/>
      <c r="O319" s="189"/>
      <c r="P319" s="189"/>
    </row>
    <row r="320" spans="1:16" ht="21.75" customHeight="1" x14ac:dyDescent="0.35">
      <c r="A320" s="183"/>
      <c r="B320" s="184"/>
      <c r="C320" s="184"/>
      <c r="D320" s="190">
        <v>1</v>
      </c>
      <c r="E320" s="191" t="s">
        <v>45</v>
      </c>
      <c r="F320" s="192"/>
      <c r="G320" s="193"/>
      <c r="H320" s="194"/>
      <c r="I320" s="195"/>
      <c r="J320" s="195">
        <f ca="1">IFERROR(__xludf.DUMMYFUNCTION("IMPORTRANGE(""https://docs.google.com/spreadsheets/d/1IYY_tgx_IHuhSq3AJ5eI5OnqOPBNLWSHKh2a30DoXe8/edit?usp=sharing"",""พัทลุง!J220"")"),0)</f>
        <v>0</v>
      </c>
      <c r="K320" s="231"/>
      <c r="L320" s="176"/>
      <c r="M320" s="176"/>
      <c r="N320" s="176"/>
      <c r="O320" s="189"/>
      <c r="P320" s="189"/>
    </row>
    <row r="321" spans="1:16" ht="21.75" customHeight="1" x14ac:dyDescent="0.35">
      <c r="A321" s="183"/>
      <c r="B321" s="184"/>
      <c r="C321" s="184"/>
      <c r="D321" s="197">
        <v>2</v>
      </c>
      <c r="E321" s="198" t="s">
        <v>46</v>
      </c>
      <c r="F321" s="199"/>
      <c r="G321" s="200"/>
      <c r="H321" s="194"/>
      <c r="I321" s="195"/>
      <c r="J321" s="195">
        <f ca="1">IFERROR(__xludf.DUMMYFUNCTION("IMPORTRANGE(""https://docs.google.com/spreadsheets/d/1IYY_tgx_IHuhSq3AJ5eI5OnqOPBNLWSHKh2a30DoXe8/edit?usp=sharing"",""พัทลุง!J221"")"),0)</f>
        <v>0</v>
      </c>
      <c r="K321" s="231"/>
      <c r="L321" s="176" t="s">
        <v>40</v>
      </c>
      <c r="M321" s="176"/>
      <c r="N321" s="176" t="s">
        <v>40</v>
      </c>
      <c r="O321" s="189"/>
      <c r="P321" s="189"/>
    </row>
    <row r="322" spans="1:16" ht="21.75" customHeight="1" x14ac:dyDescent="0.35">
      <c r="A322" s="183"/>
      <c r="B322" s="184"/>
      <c r="C322" s="184"/>
      <c r="D322" s="201"/>
      <c r="E322" s="202" t="s">
        <v>47</v>
      </c>
      <c r="F322" s="203"/>
      <c r="G322" s="204"/>
      <c r="H322" s="194"/>
      <c r="I322" s="195"/>
      <c r="J322" s="195">
        <f ca="1">IFERROR(__xludf.DUMMYFUNCTION("IMPORTRANGE(""https://docs.google.com/spreadsheets/d/1IYY_tgx_IHuhSq3AJ5eI5OnqOPBNLWSHKh2a30DoXe8/edit?usp=sharing"",""พัทลุง!J222"")"),0)</f>
        <v>0</v>
      </c>
      <c r="K322" s="231"/>
      <c r="L322" s="176"/>
      <c r="M322" s="176"/>
      <c r="N322" s="176"/>
      <c r="O322" s="189"/>
      <c r="P322" s="189"/>
    </row>
    <row r="323" spans="1:16" ht="21.75" customHeight="1" x14ac:dyDescent="0.35">
      <c r="A323" s="183"/>
      <c r="B323" s="184"/>
      <c r="C323" s="184"/>
      <c r="D323" s="201"/>
      <c r="E323" s="202" t="s">
        <v>48</v>
      </c>
      <c r="F323" s="203"/>
      <c r="G323" s="204"/>
      <c r="H323" s="194"/>
      <c r="I323" s="195"/>
      <c r="J323" s="195">
        <f ca="1">IFERROR(__xludf.DUMMYFUNCTION("IMPORTRANGE(""https://docs.google.com/spreadsheets/d/1IYY_tgx_IHuhSq3AJ5eI5OnqOPBNLWSHKh2a30DoXe8/edit?usp=sharing"",""พัทลุง!J223"")"),0)</f>
        <v>0</v>
      </c>
      <c r="K323" s="231"/>
      <c r="L323" s="176"/>
      <c r="M323" s="176"/>
      <c r="N323" s="176"/>
      <c r="O323" s="189"/>
      <c r="P323" s="189"/>
    </row>
    <row r="324" spans="1:16" ht="21.75" customHeight="1" x14ac:dyDescent="0.35">
      <c r="A324" s="183"/>
      <c r="B324" s="184"/>
      <c r="C324" s="184"/>
      <c r="D324" s="201"/>
      <c r="E324" s="206"/>
      <c r="F324" s="202" t="s">
        <v>117</v>
      </c>
      <c r="G324" s="204"/>
      <c r="H324" s="194" t="s">
        <v>116</v>
      </c>
      <c r="I324" s="195">
        <f ca="1">IFERROR(__xludf.DUMMYFUNCTION("IMPORTRANGE(""https://docs.google.com/spreadsheets/d/1IYY_tgx_IHuhSq3AJ5eI5OnqOPBNLWSHKh2a30DoXe8/edit?usp=sharing"",""พัทลุง!I224"")"),0)</f>
        <v>0</v>
      </c>
      <c r="J324" s="211">
        <f ca="1">IFERROR(__xludf.DUMMYFUNCTION("IMPORTRANGE(""https://docs.google.com/spreadsheets/d/1IYY_tgx_IHuhSq3AJ5eI5OnqOPBNLWSHKh2a30DoXe8/edit?usp=sharing"",""พัทลุง!J224"")"),0)</f>
        <v>0</v>
      </c>
      <c r="K324" s="231">
        <f ca="1">IF(I324&gt;0,J324*100/I324,0)</f>
        <v>0</v>
      </c>
      <c r="L324" s="176"/>
      <c r="M324" s="176"/>
      <c r="N324" s="176"/>
      <c r="O324" s="189"/>
      <c r="P324" s="189"/>
    </row>
    <row r="325" spans="1:16" ht="21.75" customHeight="1" x14ac:dyDescent="0.35">
      <c r="A325" s="183"/>
      <c r="B325" s="184"/>
      <c r="C325" s="184"/>
      <c r="D325" s="201"/>
      <c r="E325" s="202" t="s">
        <v>54</v>
      </c>
      <c r="F325" s="203"/>
      <c r="G325" s="204"/>
      <c r="H325" s="194"/>
      <c r="I325" s="195"/>
      <c r="J325" s="195">
        <f ca="1">IFERROR(__xludf.DUMMYFUNCTION("IMPORTRANGE(""https://docs.google.com/spreadsheets/d/1IYY_tgx_IHuhSq3AJ5eI5OnqOPBNLWSHKh2a30DoXe8/edit?usp=sharing"",""พัทลุง!J225"")"),0)</f>
        <v>0</v>
      </c>
      <c r="K325" s="231"/>
      <c r="L325" s="176"/>
      <c r="M325" s="176"/>
      <c r="N325" s="176"/>
      <c r="O325" s="189"/>
      <c r="P325" s="189"/>
    </row>
    <row r="326" spans="1:16" ht="21.75" customHeight="1" x14ac:dyDescent="0.35">
      <c r="A326" s="183"/>
      <c r="B326" s="184"/>
      <c r="C326" s="184"/>
      <c r="D326" s="213">
        <v>3</v>
      </c>
      <c r="E326" s="214" t="s">
        <v>55</v>
      </c>
      <c r="F326" s="215"/>
      <c r="G326" s="216"/>
      <c r="H326" s="194"/>
      <c r="I326" s="195"/>
      <c r="J326" s="234">
        <f ca="1">IFERROR(__xludf.DUMMYFUNCTION("IMPORTRANGE(""https://docs.google.com/spreadsheets/d/1IYY_tgx_IHuhSq3AJ5eI5OnqOPBNLWSHKh2a30DoXe8/edit?usp=sharing"",""พัทลุง!J226"")"),0)</f>
        <v>0</v>
      </c>
      <c r="K326" s="231"/>
      <c r="L326" s="176"/>
      <c r="M326" s="176"/>
      <c r="N326" s="176"/>
      <c r="O326" s="189"/>
      <c r="P326" s="189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IFERROR(__xludf.DUMMYFUNCTION("IMPORTRANGE(""https://docs.google.com/spreadsheets/d/1IYY_tgx_IHuhSq3AJ5eI5OnqOPBNLWSHKh2a30DoXe8/edit?usp=sharing"",""พัทลุง!I228"")"),165)</f>
        <v>165</v>
      </c>
      <c r="J328" s="345">
        <f ca="1">IFERROR(__xludf.DUMMYFUNCTION("IMPORTRANGE(""https://docs.google.com/spreadsheets/d/1IYY_tgx_IHuhSq3AJ5eI5OnqOPBNLWSHKh2a30DoXe8/edit?usp=sharing"",""พัทลุง!J228"")"),100)</f>
        <v>100</v>
      </c>
      <c r="K328" s="323">
        <f ca="1">IF(I328&gt;0,J328*100/I328,0)</f>
        <v>60.606060606060609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52" t="s">
        <v>17</v>
      </c>
      <c r="E329" s="543"/>
      <c r="F329" s="543"/>
      <c r="G329" s="543"/>
      <c r="H329" s="153" t="s">
        <v>12</v>
      </c>
      <c r="I329" s="168"/>
      <c r="J329" s="168"/>
      <c r="K329" s="169"/>
      <c r="L329" s="156">
        <f t="shared" ref="L329:N329" ca="1" si="98">L330+L331</f>
        <v>719620</v>
      </c>
      <c r="M329" s="156">
        <f t="shared" ca="1" si="98"/>
        <v>442420</v>
      </c>
      <c r="N329" s="156">
        <f t="shared" ca="1" si="98"/>
        <v>395998</v>
      </c>
      <c r="O329" s="155">
        <f t="shared" ref="O329:O331" ca="1" si="99">IF(L329&gt;0,N329*100/L329,0)</f>
        <v>55.028765181623633</v>
      </c>
      <c r="P329" s="155">
        <f t="shared" ref="P329:P331" ca="1" si="100">IF(M329&gt;0,N329*100/M329,0)</f>
        <v>89.507255549025814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8"/>
      <c r="J330" s="168"/>
      <c r="K330" s="169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8"/>
      <c r="J331" s="168"/>
      <c r="K331" s="169"/>
      <c r="L331" s="161">
        <f t="shared" ref="L331:N331" ca="1" si="102">L333+L337</f>
        <v>719620</v>
      </c>
      <c r="M331" s="161">
        <f t="shared" ca="1" si="102"/>
        <v>442420</v>
      </c>
      <c r="N331" s="161">
        <f t="shared" ca="1" si="102"/>
        <v>395998</v>
      </c>
      <c r="O331" s="160">
        <f t="shared" ca="1" si="99"/>
        <v>55.028765181623633</v>
      </c>
      <c r="P331" s="160">
        <f t="shared" ca="1" si="100"/>
        <v>89.507255549025814</v>
      </c>
    </row>
    <row r="332" spans="1:16" ht="21.75" customHeight="1" x14ac:dyDescent="0.35">
      <c r="A332" s="162"/>
      <c r="B332" s="163"/>
      <c r="C332" s="163" t="s">
        <v>16</v>
      </c>
      <c r="D332" s="164" t="s">
        <v>38</v>
      </c>
      <c r="E332" s="165"/>
      <c r="F332" s="165"/>
      <c r="G332" s="166" t="s">
        <v>39</v>
      </c>
      <c r="H332" s="167" t="s">
        <v>12</v>
      </c>
      <c r="I332" s="168" t="s">
        <v>40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 x14ac:dyDescent="0.35">
      <c r="A333" s="162"/>
      <c r="B333" s="163"/>
      <c r="C333" s="163"/>
      <c r="D333" s="172"/>
      <c r="E333" s="165"/>
      <c r="F333" s="165" t="s">
        <v>40</v>
      </c>
      <c r="G333" s="166" t="s">
        <v>41</v>
      </c>
      <c r="H333" s="167" t="s">
        <v>12</v>
      </c>
      <c r="I333" s="168"/>
      <c r="J333" s="168"/>
      <c r="K333" s="169"/>
      <c r="L333" s="173">
        <f ca="1">L334+L335</f>
        <v>580620</v>
      </c>
      <c r="M333" s="174">
        <f ca="1">IFERROR(__xludf.DUMMYFUNCTION("IMPORTRANGE(""https://docs.google.com/spreadsheets/d/1Yj_ptqi66GCucihVvJfMjLAmec39IyEx_6qawtMGysU/edit?usp=sharing"",""สบก!DL88"")"),303420)</f>
        <v>303420</v>
      </c>
      <c r="N333" s="175">
        <f ca="1">IFERROR(__xludf.DUMMYFUNCTION("IMPORTRANGE(""https://docs.google.com/spreadsheets/d/1Yj_ptqi66GCucihVvJfMjLAmec39IyEx_6qawtMGysU/edit?usp=sharing"",""สบก!DM88"")"),256998)</f>
        <v>256998</v>
      </c>
      <c r="O333" s="176">
        <f ca="1">IF(L333&gt;0,N333*100/L333,0)</f>
        <v>44.262684716337709</v>
      </c>
      <c r="P333" s="176">
        <f ca="1">IF(M333&gt;0,N333*100/M333,0)</f>
        <v>84.700415265967962</v>
      </c>
    </row>
    <row r="334" spans="1:16" ht="21.75" customHeight="1" x14ac:dyDescent="0.35">
      <c r="A334" s="162"/>
      <c r="B334" s="163"/>
      <c r="C334" s="163"/>
      <c r="D334" s="172"/>
      <c r="E334" s="165"/>
      <c r="F334" s="165"/>
      <c r="G334" s="177" t="s">
        <v>42</v>
      </c>
      <c r="H334" s="167" t="s">
        <v>12</v>
      </c>
      <c r="I334" s="168"/>
      <c r="J334" s="168"/>
      <c r="K334" s="169"/>
      <c r="L334" s="174">
        <f ca="1">IFERROR(__xludf.DUMMYFUNCTION("IMPORTRANGE(""https://docs.google.com/spreadsheets/d/1Yj_ptqi66GCucihVvJfMjLAmec39IyEx_6qawtMGysU/edit?usp=sharing"",""สบก!DH88"")"),306000)</f>
        <v>306000</v>
      </c>
      <c r="M334" s="173"/>
      <c r="N334" s="173"/>
      <c r="O334" s="176"/>
      <c r="P334" s="176"/>
    </row>
    <row r="335" spans="1:16" ht="21.75" customHeight="1" x14ac:dyDescent="0.35">
      <c r="A335" s="162"/>
      <c r="B335" s="163"/>
      <c r="C335" s="163"/>
      <c r="D335" s="172"/>
      <c r="E335" s="165"/>
      <c r="F335" s="165"/>
      <c r="G335" s="177" t="s">
        <v>43</v>
      </c>
      <c r="H335" s="167" t="s">
        <v>12</v>
      </c>
      <c r="I335" s="168"/>
      <c r="J335" s="168"/>
      <c r="K335" s="169"/>
      <c r="L335" s="174">
        <f ca="1">IFERROR(__xludf.DUMMYFUNCTION("IMPORTRANGE(""https://docs.google.com/spreadsheets/d/1Yj_ptqi66GCucihVvJfMjLAmec39IyEx_6qawtMGysU/edit?usp=sharing"",""สบก!DI88"")"),274620)</f>
        <v>274620</v>
      </c>
      <c r="M335" s="173"/>
      <c r="N335" s="173"/>
      <c r="O335" s="176"/>
      <c r="P335" s="176"/>
    </row>
    <row r="336" spans="1:16" ht="21.75" customHeight="1" x14ac:dyDescent="0.45">
      <c r="A336" s="178"/>
      <c r="B336" s="81"/>
      <c r="C336" s="82" t="s">
        <v>16</v>
      </c>
      <c r="D336" s="549" t="s">
        <v>23</v>
      </c>
      <c r="E336" s="545"/>
      <c r="F336" s="89"/>
      <c r="G336" s="83" t="s">
        <v>18</v>
      </c>
      <c r="H336" s="179" t="s">
        <v>12</v>
      </c>
      <c r="I336" s="168"/>
      <c r="J336" s="168"/>
      <c r="K336" s="169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80"/>
      <c r="B337" s="95"/>
      <c r="C337" s="95"/>
      <c r="D337" s="181"/>
      <c r="E337" s="96"/>
      <c r="F337" s="96"/>
      <c r="G337" s="97" t="s">
        <v>19</v>
      </c>
      <c r="H337" s="182" t="s">
        <v>12</v>
      </c>
      <c r="I337" s="168"/>
      <c r="J337" s="168"/>
      <c r="K337" s="169"/>
      <c r="L337" s="91">
        <f ca="1">IFERROR(__xludf.DUMMYFUNCTION("IMPORTRANGE(""https://docs.google.com/spreadsheets/d/1Yj_ptqi66GCucihVvJfMjLAmec39IyEx_6qawtMGysU/edit?usp=sharing"",""สบก!DJ88"")"),139000)</f>
        <v>139000</v>
      </c>
      <c r="M337" s="101">
        <f ca="1">L337</f>
        <v>139000</v>
      </c>
      <c r="N337" s="91">
        <f ca="1">IFERROR(__xludf.DUMMYFUNCTION("IMPORTRANGE(""https://docs.google.com/spreadsheets/d/1Yj_ptqi66GCucihVvJfMjLAmec39IyEx_6qawtMGysU/edit?usp=sharing"",""สบก!DN88"")"),139000)</f>
        <v>139000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3"/>
      <c r="B338" s="297"/>
      <c r="C338" s="346" t="s">
        <v>120</v>
      </c>
      <c r="D338" s="203"/>
      <c r="E338" s="203"/>
      <c r="F338" s="203"/>
      <c r="G338" s="204"/>
      <c r="H338" s="188"/>
      <c r="I338" s="347"/>
      <c r="J338" s="347"/>
      <c r="K338" s="348"/>
      <c r="L338" s="189"/>
      <c r="M338" s="189"/>
      <c r="N338" s="189"/>
      <c r="O338" s="349"/>
      <c r="P338" s="349"/>
    </row>
    <row r="339" spans="1:16" ht="21.75" customHeight="1" x14ac:dyDescent="0.35">
      <c r="A339" s="183"/>
      <c r="B339" s="297"/>
      <c r="C339" s="184"/>
      <c r="D339" s="203"/>
      <c r="E339" s="202" t="s">
        <v>121</v>
      </c>
      <c r="F339" s="203"/>
      <c r="G339" s="204"/>
      <c r="H339" s="350" t="s">
        <v>37</v>
      </c>
      <c r="I339" s="211">
        <f ca="1">IFERROR(__xludf.DUMMYFUNCTION("IMPORTRANGE(""https://docs.google.com/spreadsheets/d/1IYY_tgx_IHuhSq3AJ5eI5OnqOPBNLWSHKh2a30DoXe8/edit?usp=sharing"",""พัทลุง!I234"")"),0)</f>
        <v>0</v>
      </c>
      <c r="J339" s="195">
        <f ca="1">IFERROR(__xludf.DUMMYFUNCTION("IMPORTRANGE(""https://docs.google.com/spreadsheets/d/1IYY_tgx_IHuhSq3AJ5eI5OnqOPBNLWSHKh2a30DoXe8/edit?usp=sharing"",""พัทลุง!J234"")"),105)</f>
        <v>105</v>
      </c>
      <c r="K339" s="348">
        <f t="shared" ref="K339:K346" ca="1" si="103">IF(I339&gt;0,J339*100/I339,0)</f>
        <v>0</v>
      </c>
      <c r="L339" s="189"/>
      <c r="M339" s="189"/>
      <c r="N339" s="189"/>
      <c r="O339" s="349"/>
      <c r="P339" s="349"/>
    </row>
    <row r="340" spans="1:16" ht="21.75" customHeight="1" x14ac:dyDescent="0.35">
      <c r="A340" s="183"/>
      <c r="B340" s="297"/>
      <c r="C340" s="184"/>
      <c r="D340" s="203"/>
      <c r="E340" s="203"/>
      <c r="F340" s="203"/>
      <c r="G340" s="204"/>
      <c r="H340" s="350" t="s">
        <v>122</v>
      </c>
      <c r="I340" s="195">
        <f ca="1">IFERROR(__xludf.DUMMYFUNCTION("IMPORTRANGE(""https://docs.google.com/spreadsheets/d/1IYY_tgx_IHuhSq3AJ5eI5OnqOPBNLWSHKh2a30DoXe8/edit?usp=sharing"",""พัทลุง!I235"")"),700)</f>
        <v>700</v>
      </c>
      <c r="J340" s="195">
        <f ca="1">IFERROR(__xludf.DUMMYFUNCTION("IMPORTRANGE(""https://docs.google.com/spreadsheets/d/1IYY_tgx_IHuhSq3AJ5eI5OnqOPBNLWSHKh2a30DoXe8/edit?usp=sharing"",""พัทลุง!J235"")"),544.93)</f>
        <v>544.92999999999995</v>
      </c>
      <c r="K340" s="348">
        <f t="shared" ca="1" si="103"/>
        <v>77.847142857142842</v>
      </c>
      <c r="L340" s="189"/>
      <c r="M340" s="189"/>
      <c r="N340" s="189"/>
      <c r="O340" s="349"/>
      <c r="P340" s="349"/>
    </row>
    <row r="341" spans="1:16" ht="21.75" customHeight="1" x14ac:dyDescent="0.35">
      <c r="A341" s="183"/>
      <c r="B341" s="297"/>
      <c r="C341" s="184"/>
      <c r="D341" s="203"/>
      <c r="E341" s="202" t="s">
        <v>123</v>
      </c>
      <c r="F341" s="203"/>
      <c r="G341" s="204"/>
      <c r="H341" s="188" t="s">
        <v>37</v>
      </c>
      <c r="I341" s="195">
        <f ca="1">IFERROR(__xludf.DUMMYFUNCTION("IMPORTRANGE(""https://docs.google.com/spreadsheets/d/1IYY_tgx_IHuhSq3AJ5eI5OnqOPBNLWSHKh2a30DoXe8/edit?usp=sharing"",""พัทลุง!I236"")"),165)</f>
        <v>165</v>
      </c>
      <c r="J341" s="195">
        <f ca="1">IFERROR(__xludf.DUMMYFUNCTION("IMPORTRANGE(""https://docs.google.com/spreadsheets/d/1IYY_tgx_IHuhSq3AJ5eI5OnqOPBNLWSHKh2a30DoXe8/edit?usp=sharing"",""พัทลุง!J236"")"),143)</f>
        <v>143</v>
      </c>
      <c r="K341" s="348">
        <f t="shared" ca="1" si="103"/>
        <v>86.666666666666671</v>
      </c>
      <c r="L341" s="189"/>
      <c r="M341" s="189"/>
      <c r="N341" s="189"/>
      <c r="O341" s="349"/>
      <c r="P341" s="349"/>
    </row>
    <row r="342" spans="1:16" ht="21.75" customHeight="1" x14ac:dyDescent="0.35">
      <c r="A342" s="183"/>
      <c r="B342" s="297"/>
      <c r="C342" s="184"/>
      <c r="D342" s="203"/>
      <c r="E342" s="203"/>
      <c r="F342" s="203"/>
      <c r="G342" s="204"/>
      <c r="H342" s="188" t="s">
        <v>122</v>
      </c>
      <c r="I342" s="351">
        <f ca="1">IFERROR(__xludf.DUMMYFUNCTION("IMPORTRANGE(""https://docs.google.com/spreadsheets/d/1IYY_tgx_IHuhSq3AJ5eI5OnqOPBNLWSHKh2a30DoXe8/edit?usp=sharing"",""พัทลุง!I237"")"),0)</f>
        <v>0</v>
      </c>
      <c r="J342" s="195">
        <f ca="1">IFERROR(__xludf.DUMMYFUNCTION("IMPORTRANGE(""https://docs.google.com/spreadsheets/d/1IYY_tgx_IHuhSq3AJ5eI5OnqOPBNLWSHKh2a30DoXe8/edit?usp=sharing"",""พัทลุง!J237"")"),844.14)</f>
        <v>844.14</v>
      </c>
      <c r="K342" s="348">
        <f t="shared" ca="1" si="103"/>
        <v>0</v>
      </c>
      <c r="L342" s="189"/>
      <c r="M342" s="189"/>
      <c r="N342" s="189"/>
      <c r="O342" s="349"/>
      <c r="P342" s="349"/>
    </row>
    <row r="343" spans="1:16" ht="21.75" customHeight="1" x14ac:dyDescent="0.35">
      <c r="A343" s="183"/>
      <c r="B343" s="297"/>
      <c r="C343" s="184"/>
      <c r="D343" s="203"/>
      <c r="E343" s="202" t="s">
        <v>124</v>
      </c>
      <c r="F343" s="203"/>
      <c r="G343" s="204"/>
      <c r="H343" s="188" t="s">
        <v>37</v>
      </c>
      <c r="I343" s="195">
        <f ca="1">IFERROR(__xludf.DUMMYFUNCTION("IMPORTRANGE(""https://docs.google.com/spreadsheets/d/1IYY_tgx_IHuhSq3AJ5eI5OnqOPBNLWSHKh2a30DoXe8/edit?usp=sharing"",""พัทลุง!I238"")"),165)</f>
        <v>165</v>
      </c>
      <c r="J343" s="195">
        <f ca="1">IFERROR(__xludf.DUMMYFUNCTION("IMPORTRANGE(""https://docs.google.com/spreadsheets/d/1IYY_tgx_IHuhSq3AJ5eI5OnqOPBNLWSHKh2a30DoXe8/edit?usp=sharing"",""พัทลุง!J238"")"),13)</f>
        <v>13</v>
      </c>
      <c r="K343" s="348">
        <f t="shared" ca="1" si="103"/>
        <v>7.8787878787878789</v>
      </c>
      <c r="L343" s="189"/>
      <c r="M343" s="189"/>
      <c r="N343" s="189"/>
      <c r="O343" s="349"/>
      <c r="P343" s="349"/>
    </row>
    <row r="344" spans="1:16" ht="21.75" customHeight="1" x14ac:dyDescent="0.35">
      <c r="A344" s="183"/>
      <c r="B344" s="297"/>
      <c r="C344" s="184"/>
      <c r="D344" s="203"/>
      <c r="E344" s="203"/>
      <c r="F344" s="203"/>
      <c r="G344" s="204"/>
      <c r="H344" s="188" t="s">
        <v>122</v>
      </c>
      <c r="I344" s="351">
        <f ca="1">IFERROR(__xludf.DUMMYFUNCTION("IMPORTRANGE(""https://docs.google.com/spreadsheets/d/1IYY_tgx_IHuhSq3AJ5eI5OnqOPBNLWSHKh2a30DoXe8/edit?usp=sharing"",""พัทลุง!I239"")"),0)</f>
        <v>0</v>
      </c>
      <c r="J344" s="195">
        <f ca="1">IFERROR(__xludf.DUMMYFUNCTION("IMPORTRANGE(""https://docs.google.com/spreadsheets/d/1IYY_tgx_IHuhSq3AJ5eI5OnqOPBNLWSHKh2a30DoXe8/edit?usp=sharing"",""พัทลุง!J239"")"),78.34)</f>
        <v>78.34</v>
      </c>
      <c r="K344" s="348">
        <f t="shared" ca="1" si="103"/>
        <v>0</v>
      </c>
      <c r="L344" s="189"/>
      <c r="M344" s="189"/>
      <c r="N344" s="189"/>
      <c r="O344" s="349"/>
      <c r="P344" s="349"/>
    </row>
    <row r="345" spans="1:16" ht="21.75" customHeight="1" x14ac:dyDescent="0.35">
      <c r="A345" s="183"/>
      <c r="B345" s="297"/>
      <c r="C345" s="184"/>
      <c r="D345" s="203"/>
      <c r="E345" s="202" t="s">
        <v>125</v>
      </c>
      <c r="F345" s="203"/>
      <c r="G345" s="204"/>
      <c r="H345" s="188" t="s">
        <v>37</v>
      </c>
      <c r="I345" s="195">
        <f ca="1">IFERROR(__xludf.DUMMYFUNCTION("IMPORTRANGE(""https://docs.google.com/spreadsheets/d/1IYY_tgx_IHuhSq3AJ5eI5OnqOPBNLWSHKh2a30DoXe8/edit?usp=sharing"",""พัทลุง!I240"")"),165)</f>
        <v>165</v>
      </c>
      <c r="J345" s="195">
        <f ca="1">IFERROR(__xludf.DUMMYFUNCTION("IMPORTRANGE(""https://docs.google.com/spreadsheets/d/1IYY_tgx_IHuhSq3AJ5eI5OnqOPBNLWSHKh2a30DoXe8/edit?usp=sharing"",""พัทลุง!J240"")"),100)</f>
        <v>100</v>
      </c>
      <c r="K345" s="348">
        <f t="shared" ca="1" si="103"/>
        <v>60.606060606060609</v>
      </c>
      <c r="L345" s="189"/>
      <c r="M345" s="189"/>
      <c r="N345" s="189"/>
      <c r="O345" s="349"/>
      <c r="P345" s="349"/>
    </row>
    <row r="346" spans="1:16" ht="21.75" customHeight="1" x14ac:dyDescent="0.35">
      <c r="A346" s="241"/>
      <c r="B346" s="352"/>
      <c r="C346" s="242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IFERROR(__xludf.DUMMYFUNCTION("IMPORTRANGE(""https://docs.google.com/spreadsheets/d/1IYY_tgx_IHuhSq3AJ5eI5OnqOPBNLWSHKh2a30DoXe8/edit?usp=sharing"",""พัทลุง!I241"")"),0)</f>
        <v>0</v>
      </c>
      <c r="J346" s="195">
        <f ca="1">IFERROR(__xludf.DUMMYFUNCTION("IMPORTRANGE(""https://docs.google.com/spreadsheets/d/1IYY_tgx_IHuhSq3AJ5eI5OnqOPBNLWSHKh2a30DoXe8/edit?usp=sharing"",""พัทลุง!J241"")"),626.47)</f>
        <v>626.47</v>
      </c>
      <c r="K346" s="357">
        <f t="shared" ca="1" si="103"/>
        <v>0</v>
      </c>
      <c r="L346" s="252"/>
      <c r="M346" s="252"/>
      <c r="N346" s="252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IFERROR(__xludf.DUMMYFUNCTION("IMPORTRANGE(""https://docs.google.com/spreadsheets/d/1IYY_tgx_IHuhSq3AJ5eI5OnqOPBNLWSHKh2a30DoXe8/edit?usp=sharing"",""พัทลุง!L242"")"),1664947)</f>
        <v>1664947</v>
      </c>
      <c r="M347" s="364"/>
      <c r="N347" s="364">
        <f ca="1">IFERROR(__xludf.DUMMYFUNCTION("IMPORTRANGE(""https://docs.google.com/spreadsheets/d/1IYY_tgx_IHuhSq3AJ5eI5OnqOPBNLWSHKh2a30DoXe8/edit?usp=sharing"",""พัทลุง!M242"")"),487789.99)</f>
        <v>487789.99</v>
      </c>
      <c r="O347" s="364">
        <f ca="1">+IF(L347&gt;0,N347*100/L347,0)</f>
        <v>29.297628693285731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IFERROR(__xludf.DUMMYFUNCTION("IMPORTRANGE(""https://docs.google.com/spreadsheets/d/1IYY_tgx_IHuhSq3AJ5eI5OnqOPBNLWSHKh2a30DoXe8/edit?usp=sharing"",""พัทลุง!I244"")"),128)</f>
        <v>128</v>
      </c>
      <c r="J349" s="377">
        <f ca="1">IFERROR(__xludf.DUMMYFUNCTION("IMPORTRANGE(""https://docs.google.com/spreadsheets/d/1IYY_tgx_IHuhSq3AJ5eI5OnqOPBNLWSHKh2a30DoXe8/edit?usp=sharing"",""พัทลุง!J244"")"),128)</f>
        <v>128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IFERROR(__xludf.DUMMYFUNCTION("IMPORTRANGE(""https://docs.google.com/spreadsheets/d/1IYY_tgx_IHuhSq3AJ5eI5OnqOPBNLWSHKh2a30DoXe8/edit?usp=sharing"",""พัทลุง!L244"")"),334640)</f>
        <v>334640</v>
      </c>
      <c r="M349" s="379"/>
      <c r="N349" s="379">
        <f ca="1">IFERROR(__xludf.DUMMYFUNCTION("IMPORTRANGE(""https://docs.google.com/spreadsheets/d/1IYY_tgx_IHuhSq3AJ5eI5OnqOPBNLWSHKh2a30DoXe8/edit?usp=sharing"",""พัทลุง!M244"")"),209740.68)</f>
        <v>209740.68</v>
      </c>
      <c r="O349" s="379">
        <f ca="1">+IF(L349&gt;0,N349*100/L349,0)</f>
        <v>62.676512072675116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IFERROR(__xludf.DUMMYFUNCTION("IMPORTRANGE(""https://docs.google.com/spreadsheets/d/1IYY_tgx_IHuhSq3AJ5eI5OnqOPBNLWSHKh2a30DoXe8/edit?usp=sharing"",""พัทลุง!I245"")"),32)</f>
        <v>32</v>
      </c>
      <c r="J350" s="377">
        <f ca="1">IFERROR(__xludf.DUMMYFUNCTION("IMPORTRANGE(""https://docs.google.com/spreadsheets/d/1IYY_tgx_IHuhSq3AJ5eI5OnqOPBNLWSHKh2a30DoXe8/edit?usp=sharing"",""พัทลุง!J245"")"),32)</f>
        <v>32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164" t="s">
        <v>38</v>
      </c>
      <c r="E351" s="165"/>
      <c r="F351" s="165"/>
      <c r="G351" s="166" t="s">
        <v>39</v>
      </c>
      <c r="H351" s="167" t="s">
        <v>12</v>
      </c>
      <c r="I351" s="168" t="s">
        <v>40</v>
      </c>
      <c r="J351" s="168"/>
      <c r="K351" s="169"/>
      <c r="L351" s="170">
        <f ca="1">IFERROR(__xludf.DUMMYFUNCTION("IMPORTRANGE(""https://docs.google.com/spreadsheets/d/1IYY_tgx_IHuhSq3AJ5eI5OnqOPBNLWSHKh2a30DoXe8/edit?usp=sharing"",""พัทลุง!L246"")"),0)</f>
        <v>0</v>
      </c>
      <c r="M351" s="170"/>
      <c r="N351" s="170">
        <f ca="1">IFERROR(__xludf.DUMMYFUNCTION("IMPORTRANGE(""https://docs.google.com/spreadsheets/d/1IYY_tgx_IHuhSq3AJ5eI5OnqOPBNLWSHKh2a30DoXe8/edit?usp=sharing"",""พัทลุง!M246"")"),0)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 x14ac:dyDescent="0.35">
      <c r="A352" s="162"/>
      <c r="B352" s="163"/>
      <c r="C352" s="163"/>
      <c r="D352" s="172"/>
      <c r="E352" s="165"/>
      <c r="F352" s="165" t="s">
        <v>40</v>
      </c>
      <c r="G352" s="166" t="s">
        <v>41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IFERROR(__xludf.DUMMYFUNCTION("IMPORTRANGE(""https://docs.google.com/spreadsheets/d/1IYY_tgx_IHuhSq3AJ5eI5OnqOPBNLWSHKh2a30DoXe8/edit?usp=sharing"",""พัทลุง!L247"")"),334640)</f>
        <v>334640</v>
      </c>
      <c r="M352" s="171"/>
      <c r="N352" s="170">
        <f ca="1">IFERROR(__xludf.DUMMYFUNCTION("IMPORTRANGE(""https://docs.google.com/spreadsheets/d/1IYY_tgx_IHuhSq3AJ5eI5OnqOPBNLWSHKh2a30DoXe8/edit?usp=sharing"",""พัทลุง!M247"")"),209740.68)</f>
        <v>209740.68</v>
      </c>
      <c r="O352" s="171">
        <f t="shared" ca="1" si="105"/>
        <v>62.676512072675116</v>
      </c>
      <c r="P352" s="171"/>
    </row>
    <row r="353" spans="1:16" ht="21.75" customHeight="1" x14ac:dyDescent="0.35">
      <c r="A353" s="162"/>
      <c r="B353" s="163"/>
      <c r="C353" s="163"/>
      <c r="D353" s="172"/>
      <c r="E353" s="165"/>
      <c r="F353" s="165"/>
      <c r="G353" s="380" t="s">
        <v>129</v>
      </c>
      <c r="H353" s="167" t="s">
        <v>12</v>
      </c>
      <c r="I353" s="168"/>
      <c r="J353" s="168"/>
      <c r="K353" s="169"/>
      <c r="L353" s="176">
        <f ca="1">IFERROR(__xludf.DUMMYFUNCTION("IMPORTRANGE(""https://docs.google.com/spreadsheets/d/1IYY_tgx_IHuhSq3AJ5eI5OnqOPBNLWSHKh2a30DoXe8/edit?usp=sharing"",""พัทลุง!L248"")"),0)</f>
        <v>0</v>
      </c>
      <c r="M353" s="176"/>
      <c r="N353" s="176">
        <f ca="1">IFERROR(__xludf.DUMMYFUNCTION("IMPORTRANGE(""https://docs.google.com/spreadsheets/d/1IYY_tgx_IHuhSq3AJ5eI5OnqOPBNLWSHKh2a30DoXe8/edit?usp=sharing"",""พัทลุง!M248"")"),0)</f>
        <v>0</v>
      </c>
      <c r="O353" s="176">
        <f t="shared" ca="1" si="105"/>
        <v>0</v>
      </c>
      <c r="P353" s="176"/>
    </row>
    <row r="354" spans="1:16" ht="21.75" customHeight="1" x14ac:dyDescent="0.35">
      <c r="A354" s="162"/>
      <c r="B354" s="163"/>
      <c r="C354" s="163"/>
      <c r="D354" s="172"/>
      <c r="E354" s="165"/>
      <c r="F354" s="165"/>
      <c r="G354" s="380" t="s">
        <v>130</v>
      </c>
      <c r="H354" s="167" t="s">
        <v>12</v>
      </c>
      <c r="I354" s="168"/>
      <c r="J354" s="168"/>
      <c r="K354" s="169"/>
      <c r="L354" s="176">
        <f ca="1">IFERROR(__xludf.DUMMYFUNCTION("IMPORTRANGE(""https://docs.google.com/spreadsheets/d/1IYY_tgx_IHuhSq3AJ5eI5OnqOPBNLWSHKh2a30DoXe8/edit?usp=sharing"",""พัทลุง!L249"")"),334640)</f>
        <v>334640</v>
      </c>
      <c r="M354" s="176"/>
      <c r="N354" s="173">
        <f ca="1">IFERROR(__xludf.DUMMYFUNCTION("IMPORTRANGE(""https://docs.google.com/spreadsheets/d/1IYY_tgx_IHuhSq3AJ5eI5OnqOPBNLWSHKh2a30DoXe8/edit?usp=sharing"",""พัทลุง!M249"")"),209740.68)</f>
        <v>209740.68</v>
      </c>
      <c r="O354" s="176">
        <f t="shared" ca="1" si="105"/>
        <v>62.676512072675116</v>
      </c>
      <c r="P354" s="176"/>
    </row>
    <row r="355" spans="1:16" ht="21.75" customHeight="1" x14ac:dyDescent="0.35">
      <c r="A355" s="381"/>
      <c r="B355" s="382"/>
      <c r="C355" s="163"/>
      <c r="D355" s="383"/>
      <c r="E355" s="165"/>
      <c r="F355" s="165"/>
      <c r="G355" s="384" t="s">
        <v>131</v>
      </c>
      <c r="H355" s="167" t="s">
        <v>12</v>
      </c>
      <c r="I355" s="195"/>
      <c r="J355" s="195"/>
      <c r="K355" s="231"/>
      <c r="L355" s="176"/>
      <c r="M355" s="176"/>
      <c r="N355" s="385">
        <f ca="1">IFERROR(__xludf.DUMMYFUNCTION("IMPORTRANGE(""https://docs.google.com/spreadsheets/d/1IYY_tgx_IHuhSq3AJ5eI5OnqOPBNLWSHKh2a30DoXe8/edit?usp=sharing"",""พัทลุง!M250"")"),41180)</f>
        <v>41180</v>
      </c>
      <c r="O355" s="176"/>
      <c r="P355" s="176"/>
    </row>
    <row r="356" spans="1:16" ht="21.75" customHeight="1" x14ac:dyDescent="0.35">
      <c r="A356" s="381"/>
      <c r="B356" s="382"/>
      <c r="C356" s="163"/>
      <c r="D356" s="383"/>
      <c r="E356" s="165"/>
      <c r="F356" s="165"/>
      <c r="G356" s="384" t="s">
        <v>132</v>
      </c>
      <c r="H356" s="167" t="s">
        <v>12</v>
      </c>
      <c r="I356" s="195"/>
      <c r="J356" s="195"/>
      <c r="K356" s="231"/>
      <c r="L356" s="176"/>
      <c r="M356" s="176"/>
      <c r="N356" s="385">
        <f ca="1">IFERROR(__xludf.DUMMYFUNCTION("IMPORTRANGE(""https://docs.google.com/spreadsheets/d/1IYY_tgx_IHuhSq3AJ5eI5OnqOPBNLWSHKh2a30DoXe8/edit?usp=sharing"",""พัทลุง!M251"")"),116600)</f>
        <v>116600</v>
      </c>
      <c r="O356" s="176"/>
      <c r="P356" s="176"/>
    </row>
    <row r="357" spans="1:16" ht="21.75" customHeight="1" x14ac:dyDescent="0.35">
      <c r="A357" s="381"/>
      <c r="B357" s="382"/>
      <c r="C357" s="163"/>
      <c r="D357" s="383"/>
      <c r="E357" s="165"/>
      <c r="F357" s="165"/>
      <c r="G357" s="384" t="s">
        <v>133</v>
      </c>
      <c r="H357" s="167" t="s">
        <v>12</v>
      </c>
      <c r="I357" s="195"/>
      <c r="J357" s="195"/>
      <c r="K357" s="231"/>
      <c r="L357" s="176"/>
      <c r="M357" s="176"/>
      <c r="N357" s="385">
        <f ca="1">IFERROR(__xludf.DUMMYFUNCTION("IMPORTRANGE(""https://docs.google.com/spreadsheets/d/1IYY_tgx_IHuhSq3AJ5eI5OnqOPBNLWSHKh2a30DoXe8/edit?usp=sharing"",""พัทลุง!M252"")"),42580.68)</f>
        <v>42580.68</v>
      </c>
      <c r="O357" s="176"/>
      <c r="P357" s="176"/>
    </row>
    <row r="358" spans="1:16" ht="21.75" customHeight="1" x14ac:dyDescent="0.35">
      <c r="A358" s="381"/>
      <c r="B358" s="382"/>
      <c r="C358" s="163"/>
      <c r="D358" s="383"/>
      <c r="E358" s="165"/>
      <c r="F358" s="165"/>
      <c r="G358" s="384" t="s">
        <v>134</v>
      </c>
      <c r="H358" s="167" t="s">
        <v>12</v>
      </c>
      <c r="I358" s="195"/>
      <c r="J358" s="195"/>
      <c r="K358" s="231"/>
      <c r="L358" s="176"/>
      <c r="M358" s="176"/>
      <c r="N358" s="385">
        <f ca="1">IFERROR(__xludf.DUMMYFUNCTION("IMPORTRANGE(""https://docs.google.com/spreadsheets/d/1IYY_tgx_IHuhSq3AJ5eI5OnqOPBNLWSHKh2a30DoXe8/edit?usp=sharing"",""พัทลุง!M253"")"),9380)</f>
        <v>9380</v>
      </c>
      <c r="O358" s="176"/>
      <c r="P358" s="176"/>
    </row>
    <row r="359" spans="1:16" ht="21.75" customHeight="1" x14ac:dyDescent="0.35">
      <c r="A359" s="183"/>
      <c r="B359" s="184"/>
      <c r="C359" s="163" t="s">
        <v>16</v>
      </c>
      <c r="D359" s="185" t="s">
        <v>44</v>
      </c>
      <c r="E359" s="186"/>
      <c r="F359" s="186"/>
      <c r="G359" s="187"/>
      <c r="H359" s="188"/>
      <c r="I359" s="168"/>
      <c r="J359" s="168"/>
      <c r="K359" s="169"/>
      <c r="L359" s="189"/>
      <c r="M359" s="189"/>
      <c r="N359" s="189"/>
      <c r="O359" s="189"/>
      <c r="P359" s="189"/>
    </row>
    <row r="360" spans="1:16" ht="21.75" customHeight="1" x14ac:dyDescent="0.35">
      <c r="A360" s="183"/>
      <c r="B360" s="184"/>
      <c r="C360" s="184"/>
      <c r="D360" s="190">
        <v>1</v>
      </c>
      <c r="E360" s="191" t="s">
        <v>45</v>
      </c>
      <c r="F360" s="192"/>
      <c r="G360" s="193"/>
      <c r="H360" s="194"/>
      <c r="I360" s="195"/>
      <c r="J360" s="205">
        <f ca="1">IFERROR(__xludf.DUMMYFUNCTION("IMPORTRANGE(""https://docs.google.com/spreadsheets/d/1IYY_tgx_IHuhSq3AJ5eI5OnqOPBNLWSHKh2a30DoXe8/edit?usp=sharing"",""พัทลุง!J255"")"),0)</f>
        <v>0</v>
      </c>
      <c r="K360" s="169"/>
      <c r="L360" s="189"/>
      <c r="M360" s="189"/>
      <c r="N360" s="189"/>
      <c r="O360" s="189"/>
      <c r="P360" s="189"/>
    </row>
    <row r="361" spans="1:16" ht="21.75" customHeight="1" x14ac:dyDescent="0.35">
      <c r="A361" s="183"/>
      <c r="B361" s="184"/>
      <c r="C361" s="184"/>
      <c r="D361" s="197">
        <v>2</v>
      </c>
      <c r="E361" s="198" t="s">
        <v>46</v>
      </c>
      <c r="F361" s="199"/>
      <c r="G361" s="200"/>
      <c r="H361" s="194"/>
      <c r="I361" s="195"/>
      <c r="J361" s="196">
        <f ca="1">IFERROR(__xludf.DUMMYFUNCTION("IMPORTRANGE(""https://docs.google.com/spreadsheets/d/1IYY_tgx_IHuhSq3AJ5eI5OnqOPBNLWSHKh2a30DoXe8/edit?usp=sharing"",""พัทลุง!J256"")"),1)</f>
        <v>1</v>
      </c>
      <c r="K361" s="169"/>
      <c r="L361" s="189" t="s">
        <v>40</v>
      </c>
      <c r="M361" s="189"/>
      <c r="N361" s="189" t="s">
        <v>40</v>
      </c>
      <c r="O361" s="189"/>
      <c r="P361" s="189"/>
    </row>
    <row r="362" spans="1:16" ht="21.75" customHeight="1" x14ac:dyDescent="0.35">
      <c r="A362" s="183"/>
      <c r="B362" s="184"/>
      <c r="C362" s="184"/>
      <c r="D362" s="201"/>
      <c r="E362" s="202" t="s">
        <v>47</v>
      </c>
      <c r="F362" s="203"/>
      <c r="G362" s="204"/>
      <c r="H362" s="194"/>
      <c r="I362" s="195"/>
      <c r="J362" s="196">
        <f ca="1">IFERROR(__xludf.DUMMYFUNCTION("IMPORTRANGE(""https://docs.google.com/spreadsheets/d/1IYY_tgx_IHuhSq3AJ5eI5OnqOPBNLWSHKh2a30DoXe8/edit?usp=sharing"",""พัทลุง!J257"")"),1)</f>
        <v>1</v>
      </c>
      <c r="K362" s="169"/>
      <c r="L362" s="189"/>
      <c r="M362" s="189"/>
      <c r="N362" s="189"/>
      <c r="O362" s="189"/>
      <c r="P362" s="189"/>
    </row>
    <row r="363" spans="1:16" ht="21.75" customHeight="1" x14ac:dyDescent="0.35">
      <c r="A363" s="183"/>
      <c r="B363" s="184"/>
      <c r="C363" s="184"/>
      <c r="D363" s="201"/>
      <c r="E363" s="202" t="s">
        <v>48</v>
      </c>
      <c r="F363" s="203"/>
      <c r="G363" s="204"/>
      <c r="H363" s="194"/>
      <c r="I363" s="195"/>
      <c r="J363" s="205">
        <f ca="1">IFERROR(__xludf.DUMMYFUNCTION("IMPORTRANGE(""https://docs.google.com/spreadsheets/d/1IYY_tgx_IHuhSq3AJ5eI5OnqOPBNLWSHKh2a30DoXe8/edit?usp=sharing"",""พัทลุง!J258"")"),1)</f>
        <v>1</v>
      </c>
      <c r="K363" s="169"/>
      <c r="L363" s="189"/>
      <c r="M363" s="189"/>
      <c r="N363" s="189"/>
      <c r="O363" s="189"/>
      <c r="P363" s="189"/>
    </row>
    <row r="364" spans="1:16" ht="21.75" hidden="1" customHeight="1" x14ac:dyDescent="0.35">
      <c r="A364" s="183"/>
      <c r="B364" s="184"/>
      <c r="C364" s="184"/>
      <c r="D364" s="201"/>
      <c r="E364" s="206"/>
      <c r="F364" s="202" t="s">
        <v>70</v>
      </c>
      <c r="G364" s="204"/>
      <c r="H364" s="188"/>
      <c r="I364" s="195"/>
      <c r="J364" s="195">
        <f ca="1">IFERROR(__xludf.DUMMYFUNCTION("IMPORTRANGE(""https://docs.google.com/spreadsheets/d/1IYY_tgx_IHuhSq3AJ5eI5OnqOPBNLWSHKh2a30DoXe8/edit?usp=sharing"",""พัทลุง!J166"")"),0)</f>
        <v>0</v>
      </c>
      <c r="K364" s="169"/>
      <c r="L364" s="189"/>
      <c r="M364" s="189"/>
      <c r="N364" s="189"/>
      <c r="O364" s="189"/>
      <c r="P364" s="189"/>
    </row>
    <row r="365" spans="1:16" ht="21.75" hidden="1" customHeight="1" x14ac:dyDescent="0.35">
      <c r="A365" s="183"/>
      <c r="B365" s="184"/>
      <c r="C365" s="184"/>
      <c r="D365" s="201"/>
      <c r="E365" s="206"/>
      <c r="F365" s="203"/>
      <c r="G365" s="233" t="s">
        <v>135</v>
      </c>
      <c r="H365" s="188" t="s">
        <v>37</v>
      </c>
      <c r="I365" s="195">
        <f ca="1">IFERROR(__xludf.DUMMYFUNCTION("IMPORTRANGE(""https://docs.google.com/spreadsheets/d/1C3CXT74ZlgGe6_JY_1olB1XN4rF0dxEuIIF-xsYjHgg/edit?usp=sharing"",""งบกองทุน!f63"")"),0)</f>
        <v>0</v>
      </c>
      <c r="J365" s="195">
        <f ca="1">IFERROR(__xludf.DUMMYFUNCTION("IMPORTRANGE(""https://docs.google.com/spreadsheets/d/1IYY_tgx_IHuhSq3AJ5eI5OnqOPBNLWSHKh2a30DoXe8/edit?usp=sharing"",""พัทลุง!J166"")"),0)</f>
        <v>0</v>
      </c>
      <c r="K365" s="169">
        <f ca="1">IF(I365&gt;0,J365*100/I365,0)</f>
        <v>0</v>
      </c>
      <c r="L365" s="189"/>
      <c r="M365" s="189"/>
      <c r="N365" s="189"/>
      <c r="O365" s="189"/>
      <c r="P365" s="189"/>
    </row>
    <row r="366" spans="1:16" ht="21.75" hidden="1" customHeight="1" x14ac:dyDescent="0.35">
      <c r="A366" s="183"/>
      <c r="B366" s="184"/>
      <c r="C366" s="184"/>
      <c r="D366" s="201"/>
      <c r="E366" s="206"/>
      <c r="F366" s="203"/>
      <c r="G366" s="204" t="s">
        <v>136</v>
      </c>
      <c r="H366" s="188"/>
      <c r="I366" s="168"/>
      <c r="J366" s="195">
        <f ca="1">IFERROR(__xludf.DUMMYFUNCTION("IMPORTRANGE(""https://docs.google.com/spreadsheets/d/1IYY_tgx_IHuhSq3AJ5eI5OnqOPBNLWSHKh2a30DoXe8/edit?usp=sharing"",""พัทลุง!J166"")"),0)</f>
        <v>0</v>
      </c>
      <c r="K366" s="169"/>
      <c r="L366" s="189"/>
      <c r="M366" s="189"/>
      <c r="N366" s="189"/>
      <c r="O366" s="189"/>
      <c r="P366" s="189"/>
    </row>
    <row r="367" spans="1:16" ht="21.75" hidden="1" customHeight="1" x14ac:dyDescent="0.35">
      <c r="A367" s="183"/>
      <c r="B367" s="184"/>
      <c r="C367" s="184"/>
      <c r="D367" s="201"/>
      <c r="E367" s="206"/>
      <c r="F367" s="203"/>
      <c r="G367" s="233" t="s">
        <v>137</v>
      </c>
      <c r="H367" s="194" t="s">
        <v>122</v>
      </c>
      <c r="I367" s="195">
        <f ca="1">SUM(I369,I371)</f>
        <v>0</v>
      </c>
      <c r="J367" s="195">
        <f ca="1">IFERROR(__xludf.DUMMYFUNCTION("IMPORTRANGE(""https://docs.google.com/spreadsheets/d/1IYY_tgx_IHuhSq3AJ5eI5OnqOPBNLWSHKh2a30DoXe8/edit?usp=sharing"",""พัทลุง!J166"")"),0)</f>
        <v>0</v>
      </c>
      <c r="K367" s="169">
        <f t="shared" ref="K367:K373" ca="1" si="106">IF(I367&gt;0,J367*100/I367,0)</f>
        <v>0</v>
      </c>
      <c r="L367" s="189"/>
      <c r="M367" s="189"/>
      <c r="N367" s="189"/>
      <c r="O367" s="189"/>
      <c r="P367" s="189"/>
    </row>
    <row r="368" spans="1:16" ht="21.75" customHeight="1" x14ac:dyDescent="0.35">
      <c r="A368" s="183"/>
      <c r="B368" s="184"/>
      <c r="C368" s="184"/>
      <c r="D368" s="201"/>
      <c r="E368" s="206"/>
      <c r="F368" s="386" t="s">
        <v>138</v>
      </c>
      <c r="G368" s="387"/>
      <c r="H368" s="194" t="s">
        <v>37</v>
      </c>
      <c r="I368" s="168">
        <f ca="1">IFERROR(__xludf.DUMMYFUNCTION("IMPORTRANGE(""https://docs.google.com/spreadsheets/d/1IYY_tgx_IHuhSq3AJ5eI5OnqOPBNLWSHKh2a30DoXe8/edit?usp=sharing"",""พัทลุง!I263"")"),32)</f>
        <v>32</v>
      </c>
      <c r="J368" s="195">
        <f ca="1">IFERROR(__xludf.DUMMYFUNCTION("IMPORTRANGE(""https://docs.google.com/spreadsheets/d/1IYY_tgx_IHuhSq3AJ5eI5OnqOPBNLWSHKh2a30DoXe8/edit?usp=sharing"",""พัทลุง!J263"")"),32)</f>
        <v>32</v>
      </c>
      <c r="K368" s="169">
        <f t="shared" ca="1" si="106"/>
        <v>100</v>
      </c>
      <c r="L368" s="189"/>
      <c r="M368" s="189"/>
      <c r="N368" s="189"/>
      <c r="O368" s="189"/>
      <c r="P368" s="189"/>
    </row>
    <row r="369" spans="1:16" ht="21.75" hidden="1" customHeight="1" x14ac:dyDescent="0.35">
      <c r="A369" s="183"/>
      <c r="B369" s="184"/>
      <c r="C369" s="184"/>
      <c r="D369" s="201"/>
      <c r="E369" s="206"/>
      <c r="F369" s="203"/>
      <c r="G369" s="387"/>
      <c r="H369" s="188" t="s">
        <v>122</v>
      </c>
      <c r="I369" s="168">
        <f ca="1">IFERROR(__xludf.DUMMYFUNCTION("IMPORTRANGE(""https://docs.google.com/spreadsheets/d/1IYY_tgx_IHuhSq3AJ5eI5OnqOPBNLWSHKh2a30DoXe8/edit?usp=sharing"",""พัทลุง!I164"")"),0)</f>
        <v>0</v>
      </c>
      <c r="J369" s="211">
        <f ca="1">IFERROR(__xludf.DUMMYFUNCTION("IMPORTRANGE(""https://docs.google.com/spreadsheets/d/1IYY_tgx_IHuhSq3AJ5eI5OnqOPBNLWSHKh2a30DoXe8/edit?usp=sharing"",""พัทลุง!J164"")"),0)</f>
        <v>0</v>
      </c>
      <c r="K369" s="169">
        <f t="shared" ca="1" si="106"/>
        <v>0</v>
      </c>
      <c r="L369" s="189"/>
      <c r="M369" s="189"/>
      <c r="N369" s="189"/>
      <c r="O369" s="189"/>
      <c r="P369" s="189"/>
    </row>
    <row r="370" spans="1:16" ht="21.75" customHeight="1" x14ac:dyDescent="0.35">
      <c r="A370" s="183"/>
      <c r="B370" s="184"/>
      <c r="C370" s="184"/>
      <c r="D370" s="201"/>
      <c r="E370" s="206"/>
      <c r="F370" s="203"/>
      <c r="G370" s="386" t="s">
        <v>139</v>
      </c>
      <c r="H370" s="188" t="s">
        <v>37</v>
      </c>
      <c r="I370" s="168">
        <f ca="1">IFERROR(__xludf.DUMMYFUNCTION("IMPORTRANGE(""https://docs.google.com/spreadsheets/d/1IYY_tgx_IHuhSq3AJ5eI5OnqOPBNLWSHKh2a30DoXe8/edit?usp=sharing"",""พัทลุง!I265"")"),32)</f>
        <v>32</v>
      </c>
      <c r="J370" s="211">
        <f ca="1">IFERROR(__xludf.DUMMYFUNCTION("IMPORTRANGE(""https://docs.google.com/spreadsheets/d/1IYY_tgx_IHuhSq3AJ5eI5OnqOPBNLWSHKh2a30DoXe8/edit?usp=sharing"",""พัทลุง!J265"")"),32)</f>
        <v>32</v>
      </c>
      <c r="K370" s="169">
        <f t="shared" ca="1" si="106"/>
        <v>100</v>
      </c>
      <c r="L370" s="189"/>
      <c r="M370" s="189"/>
      <c r="N370" s="189"/>
      <c r="O370" s="189"/>
      <c r="P370" s="189"/>
    </row>
    <row r="371" spans="1:16" ht="21.75" hidden="1" customHeight="1" x14ac:dyDescent="0.35">
      <c r="A371" s="183"/>
      <c r="B371" s="184"/>
      <c r="C371" s="184"/>
      <c r="D371" s="201"/>
      <c r="E371" s="206"/>
      <c r="F371" s="203"/>
      <c r="G371" s="387"/>
      <c r="H371" s="188" t="s">
        <v>122</v>
      </c>
      <c r="I371" s="168">
        <f ca="1">IFERROR(__xludf.DUMMYFUNCTION("IMPORTRANGE(""https://docs.google.com/spreadsheets/d/1IYY_tgx_IHuhSq3AJ5eI5OnqOPBNLWSHKh2a30DoXe8/edit?usp=sharing"",""พัทลุง!I164"")"),0)</f>
        <v>0</v>
      </c>
      <c r="J371" s="196">
        <f ca="1">IFERROR(__xludf.DUMMYFUNCTION("IMPORTRANGE(""https://docs.google.com/spreadsheets/d/1IYY_tgx_IHuhSq3AJ5eI5OnqOPBNLWSHKh2a30DoXe8/edit?usp=sharing"",""พัทลุง!J164"")"),0)</f>
        <v>0</v>
      </c>
      <c r="K371" s="169">
        <f t="shared" ca="1" si="106"/>
        <v>0</v>
      </c>
      <c r="L371" s="189"/>
      <c r="M371" s="189"/>
      <c r="N371" s="189"/>
      <c r="O371" s="189"/>
      <c r="P371" s="189"/>
    </row>
    <row r="372" spans="1:16" ht="21.75" customHeight="1" x14ac:dyDescent="0.35">
      <c r="A372" s="183"/>
      <c r="B372" s="184"/>
      <c r="C372" s="184"/>
      <c r="D372" s="201"/>
      <c r="E372" s="206"/>
      <c r="F372" s="203"/>
      <c r="G372" s="386" t="s">
        <v>140</v>
      </c>
      <c r="H372" s="188" t="s">
        <v>37</v>
      </c>
      <c r="I372" s="168">
        <f ca="1">IFERROR(__xludf.DUMMYFUNCTION("IMPORTRANGE(""https://docs.google.com/spreadsheets/d/1IYY_tgx_IHuhSq3AJ5eI5OnqOPBNLWSHKh2a30DoXe8/edit?usp=sharing"",""พัทลุง!I267"")"),32)</f>
        <v>32</v>
      </c>
      <c r="J372" s="196">
        <f ca="1">IFERROR(__xludf.DUMMYFUNCTION("IMPORTRANGE(""https://docs.google.com/spreadsheets/d/1IYY_tgx_IHuhSq3AJ5eI5OnqOPBNLWSHKh2a30DoXe8/edit?usp=sharing"",""พัทลุง!J267"")"),32)</f>
        <v>32</v>
      </c>
      <c r="K372" s="169">
        <f t="shared" ca="1" si="106"/>
        <v>100</v>
      </c>
      <c r="L372" s="189"/>
      <c r="M372" s="189"/>
      <c r="N372" s="189"/>
      <c r="O372" s="189"/>
      <c r="P372" s="189"/>
    </row>
    <row r="373" spans="1:16" ht="21.75" hidden="1" customHeight="1" x14ac:dyDescent="0.35">
      <c r="A373" s="183"/>
      <c r="B373" s="184"/>
      <c r="C373" s="184"/>
      <c r="D373" s="201"/>
      <c r="E373" s="206"/>
      <c r="F373" s="203"/>
      <c r="G373" s="233" t="s">
        <v>141</v>
      </c>
      <c r="H373" s="188" t="s">
        <v>37</v>
      </c>
      <c r="I373" s="195">
        <f ca="1">IFERROR(__xludf.DUMMYFUNCTION("IMPORTRANGE(""https://docs.google.com/spreadsheets/d/1IYY_tgx_IHuhSq3AJ5eI5OnqOPBNLWSHKh2a30DoXe8/edit?usp=sharing"",""พัทลุง!I164"")"),0)</f>
        <v>0</v>
      </c>
      <c r="J373" s="211">
        <f ca="1">IFERROR(__xludf.DUMMYFUNCTION("IMPORTRANGE(""https://docs.google.com/spreadsheets/d/1IYY_tgx_IHuhSq3AJ5eI5OnqOPBNLWSHKh2a30DoXe8/edit?usp=sharing"",""พัทลุง!J164"")"),0)</f>
        <v>0</v>
      </c>
      <c r="K373" s="169">
        <f t="shared" ca="1" si="106"/>
        <v>0</v>
      </c>
      <c r="L373" s="189"/>
      <c r="M373" s="189"/>
      <c r="N373" s="189"/>
      <c r="O373" s="189"/>
      <c r="P373" s="189"/>
    </row>
    <row r="374" spans="1:16" ht="21.75" hidden="1" customHeight="1" x14ac:dyDescent="0.35">
      <c r="A374" s="183"/>
      <c r="B374" s="184"/>
      <c r="C374" s="184"/>
      <c r="D374" s="201"/>
      <c r="E374" s="206"/>
      <c r="F374" s="203"/>
      <c r="G374" s="204" t="s">
        <v>142</v>
      </c>
      <c r="H374" s="188"/>
      <c r="I374" s="195">
        <f ca="1">IFERROR(__xludf.DUMMYFUNCTION("IMPORTRANGE(""https://docs.google.com/spreadsheets/d/1IYY_tgx_IHuhSq3AJ5eI5OnqOPBNLWSHKh2a30DoXe8/edit?usp=sharing"",""พัทลุง!I164"")"),0)</f>
        <v>0</v>
      </c>
      <c r="J374" s="195">
        <f ca="1">IFERROR(__xludf.DUMMYFUNCTION("IMPORTRANGE(""https://docs.google.com/spreadsheets/d/1IYY_tgx_IHuhSq3AJ5eI5OnqOPBNLWSHKh2a30DoXe8/edit?usp=sharing"",""พัทลุง!J164"")"),0)</f>
        <v>0</v>
      </c>
      <c r="K374" s="169"/>
      <c r="L374" s="189"/>
      <c r="M374" s="189"/>
      <c r="N374" s="189"/>
      <c r="O374" s="189"/>
      <c r="P374" s="189"/>
    </row>
    <row r="375" spans="1:16" ht="21.75" customHeight="1" x14ac:dyDescent="0.35">
      <c r="A375" s="183"/>
      <c r="B375" s="184"/>
      <c r="C375" s="184"/>
      <c r="D375" s="201"/>
      <c r="E375" s="203"/>
      <c r="F375" s="212" t="s">
        <v>53</v>
      </c>
      <c r="G375" s="204"/>
      <c r="H375" s="286" t="s">
        <v>122</v>
      </c>
      <c r="I375" s="195">
        <f ca="1">IFERROR(__xludf.DUMMYFUNCTION("IMPORTRANGE(""https://docs.google.com/spreadsheets/d/1IYY_tgx_IHuhSq3AJ5eI5OnqOPBNLWSHKh2a30DoXe8/edit?usp=sharing"",""พัทลุง!I270"")"),128)</f>
        <v>128</v>
      </c>
      <c r="J375" s="195">
        <f ca="1">IFERROR(__xludf.DUMMYFUNCTION("IMPORTRANGE(""https://docs.google.com/spreadsheets/d/1IYY_tgx_IHuhSq3AJ5eI5OnqOPBNLWSHKh2a30DoXe8/edit?usp=sharing"",""พัทลุง!J270"")"),128)</f>
        <v>128</v>
      </c>
      <c r="K375" s="169">
        <f t="shared" ref="K375:K377" ca="1" si="107">IF(I375&gt;0,J375*100/I375,0)</f>
        <v>100</v>
      </c>
      <c r="L375" s="189"/>
      <c r="M375" s="189"/>
      <c r="N375" s="189"/>
      <c r="O375" s="189"/>
      <c r="P375" s="189"/>
    </row>
    <row r="376" spans="1:16" ht="21.75" customHeight="1" x14ac:dyDescent="0.35">
      <c r="A376" s="183"/>
      <c r="B376" s="184"/>
      <c r="C376" s="184"/>
      <c r="D376" s="201"/>
      <c r="E376" s="203"/>
      <c r="F376" s="203"/>
      <c r="G376" s="287" t="s">
        <v>143</v>
      </c>
      <c r="H376" s="286" t="s">
        <v>122</v>
      </c>
      <c r="I376" s="195">
        <f ca="1">IFERROR(__xludf.DUMMYFUNCTION("IMPORTRANGE(""https://docs.google.com/spreadsheets/d/1IYY_tgx_IHuhSq3AJ5eI5OnqOPBNLWSHKh2a30DoXe8/edit?usp=sharing"",""พัทลุง!I271"")"),40)</f>
        <v>40</v>
      </c>
      <c r="J376" s="196">
        <f ca="1">IFERROR(__xludf.DUMMYFUNCTION("IMPORTRANGE(""https://docs.google.com/spreadsheets/d/1IYY_tgx_IHuhSq3AJ5eI5OnqOPBNLWSHKh2a30DoXe8/edit?usp=sharing"",""พัทลุง!J271"")"),40)</f>
        <v>40</v>
      </c>
      <c r="K376" s="169">
        <f t="shared" ca="1" si="107"/>
        <v>100</v>
      </c>
      <c r="L376" s="189"/>
      <c r="M376" s="189"/>
      <c r="N376" s="189"/>
      <c r="O376" s="189"/>
      <c r="P376" s="189"/>
    </row>
    <row r="377" spans="1:16" ht="21.75" customHeight="1" x14ac:dyDescent="0.35">
      <c r="A377" s="183"/>
      <c r="B377" s="184"/>
      <c r="C377" s="184"/>
      <c r="D377" s="201"/>
      <c r="E377" s="203"/>
      <c r="F377" s="203"/>
      <c r="G377" s="287" t="s">
        <v>144</v>
      </c>
      <c r="H377" s="286" t="s">
        <v>122</v>
      </c>
      <c r="I377" s="195">
        <f ca="1">IFERROR(__xludf.DUMMYFUNCTION("IMPORTRANGE(""https://docs.google.com/spreadsheets/d/1IYY_tgx_IHuhSq3AJ5eI5OnqOPBNLWSHKh2a30DoXe8/edit?usp=sharing"",""พัทลุง!I272"")"),88)</f>
        <v>88</v>
      </c>
      <c r="J377" s="211">
        <f ca="1">IFERROR(__xludf.DUMMYFUNCTION("IMPORTRANGE(""https://docs.google.com/spreadsheets/d/1IYY_tgx_IHuhSq3AJ5eI5OnqOPBNLWSHKh2a30DoXe8/edit?usp=sharing"",""พัทลุง!J272"")"),88)</f>
        <v>88</v>
      </c>
      <c r="K377" s="169">
        <f t="shared" ca="1" si="107"/>
        <v>100</v>
      </c>
      <c r="L377" s="189"/>
      <c r="M377" s="189"/>
      <c r="N377" s="189"/>
      <c r="O377" s="189"/>
      <c r="P377" s="189"/>
    </row>
    <row r="378" spans="1:16" ht="21.75" customHeight="1" x14ac:dyDescent="0.35">
      <c r="A378" s="183"/>
      <c r="B378" s="184"/>
      <c r="C378" s="184"/>
      <c r="D378" s="201"/>
      <c r="E378" s="202" t="s">
        <v>54</v>
      </c>
      <c r="F378" s="203"/>
      <c r="G378" s="204"/>
      <c r="H378" s="194"/>
      <c r="I378" s="195"/>
      <c r="J378" s="205">
        <f ca="1">IFERROR(__xludf.DUMMYFUNCTION("IMPORTRANGE(""https://docs.google.com/spreadsheets/d/1IYY_tgx_IHuhSq3AJ5eI5OnqOPBNLWSHKh2a30DoXe8/edit?usp=sharing"",""พัทลุง!J273"")"),0)</f>
        <v>0</v>
      </c>
      <c r="K378" s="169"/>
      <c r="L378" s="189"/>
      <c r="M378" s="189"/>
      <c r="N378" s="189"/>
      <c r="O378" s="189"/>
      <c r="P378" s="189"/>
    </row>
    <row r="379" spans="1:16" ht="21.75" customHeight="1" x14ac:dyDescent="0.35">
      <c r="A379" s="183"/>
      <c r="B379" s="184"/>
      <c r="C379" s="184"/>
      <c r="D379" s="213">
        <v>3</v>
      </c>
      <c r="E379" s="214" t="s">
        <v>55</v>
      </c>
      <c r="F379" s="215"/>
      <c r="G379" s="216"/>
      <c r="H379" s="194"/>
      <c r="I379" s="195"/>
      <c r="J379" s="217">
        <f ca="1">IFERROR(__xludf.DUMMYFUNCTION("IMPORTRANGE(""https://docs.google.com/spreadsheets/d/1IYY_tgx_IHuhSq3AJ5eI5OnqOPBNLWSHKh2a30DoXe8/edit?usp=sharing"",""พัทลุง!J274"")"),0)</f>
        <v>0</v>
      </c>
      <c r="K379" s="169"/>
      <c r="L379" s="189"/>
      <c r="M379" s="189"/>
      <c r="N379" s="189"/>
      <c r="O379" s="189"/>
      <c r="P379" s="189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IFERROR(__xludf.DUMMYFUNCTION("IMPORTRANGE(""https://docs.google.com/spreadsheets/d/1IYY_tgx_IHuhSq3AJ5eI5OnqOPBNLWSHKh2a30DoXe8/edit?usp=sharing"",""พัทลุง!I275"")"),300)</f>
        <v>300</v>
      </c>
      <c r="J380" s="377">
        <f ca="1">IFERROR(__xludf.DUMMYFUNCTION("IMPORTRANGE(""https://docs.google.com/spreadsheets/d/1IYY_tgx_IHuhSq3AJ5eI5OnqOPBNLWSHKh2a30DoXe8/edit?usp=sharing"",""พัทลุง!J275"")"),0)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IFERROR(__xludf.DUMMYFUNCTION("IMPORTRANGE(""https://docs.google.com/spreadsheets/d/1IYY_tgx_IHuhSq3AJ5eI5OnqOPBNLWSHKh2a30DoXe8/edit?usp=sharing"",""พัทลุง!L275"")"),293900)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IFERROR(__xludf.DUMMYFUNCTION("IMPORTRANGE(""https://docs.google.com/spreadsheets/d/1IYY_tgx_IHuhSq3AJ5eI5OnqOPBNLWSHKh2a30DoXe8/edit?usp=sharing"",""พัทลุง!M275"")"),59590)</f>
        <v>59590</v>
      </c>
      <c r="O380" s="379">
        <f ca="1">+IF(L380&gt;0,N380*100/L380,0)</f>
        <v>20.275603946920722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IFERROR(__xludf.DUMMYFUNCTION("IMPORTRANGE(""https://docs.google.com/spreadsheets/d/1IYY_tgx_IHuhSq3AJ5eI5OnqOPBNLWSHKh2a30DoXe8/edit?usp=sharing"",""พัทลุง!I276"")"),30)</f>
        <v>30</v>
      </c>
      <c r="J381" s="377">
        <f ca="1">IFERROR(__xludf.DUMMYFUNCTION("IMPORTRANGE(""https://docs.google.com/spreadsheets/d/1IYY_tgx_IHuhSq3AJ5eI5OnqOPBNLWSHKh2a30DoXe8/edit?usp=sharing"",""พัทลุง!J276"")"),30)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164" t="s">
        <v>38</v>
      </c>
      <c r="E382" s="165"/>
      <c r="F382" s="165"/>
      <c r="G382" s="166" t="s">
        <v>39</v>
      </c>
      <c r="H382" s="167" t="s">
        <v>12</v>
      </c>
      <c r="I382" s="168" t="s">
        <v>40</v>
      </c>
      <c r="J382" s="168"/>
      <c r="K382" s="169"/>
      <c r="L382" s="170">
        <f ca="1">IFERROR(__xludf.DUMMYFUNCTION("IMPORTRANGE(""https://docs.google.com/spreadsheets/d/1IYY_tgx_IHuhSq3AJ5eI5OnqOPBNLWSHKh2a30DoXe8/edit?usp=sharing"",""พัทลุง!L277"")"),0)</f>
        <v>0</v>
      </c>
      <c r="M382" s="170"/>
      <c r="N382" s="170">
        <f ca="1">IFERROR(__xludf.DUMMYFUNCTION("IMPORTRANGE(""https://docs.google.com/spreadsheets/d/1IYY_tgx_IHuhSq3AJ5eI5OnqOPBNLWSHKh2a30DoXe8/edit?usp=sharing"",""พัทลุง!M277"")"),0)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 x14ac:dyDescent="0.35">
      <c r="A383" s="162"/>
      <c r="B383" s="163"/>
      <c r="C383" s="163"/>
      <c r="D383" s="172"/>
      <c r="E383" s="165"/>
      <c r="F383" s="165" t="s">
        <v>40</v>
      </c>
      <c r="G383" s="166" t="s">
        <v>41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IFERROR(__xludf.DUMMYFUNCTION("IMPORTRANGE(""https://docs.google.com/spreadsheets/d/1IYY_tgx_IHuhSq3AJ5eI5OnqOPBNLWSHKh2a30DoXe8/edit?usp=sharing"",""พัทลุง!L278"")"),293900)</f>
        <v>293900</v>
      </c>
      <c r="M383" s="171"/>
      <c r="N383" s="171">
        <f ca="1">IFERROR(__xludf.DUMMYFUNCTION("IMPORTRANGE(""https://docs.google.com/spreadsheets/d/1IYY_tgx_IHuhSq3AJ5eI5OnqOPBNLWSHKh2a30DoXe8/edit?usp=sharing"",""พัทลุง!M278"")"),59590)</f>
        <v>59590</v>
      </c>
      <c r="O383" s="171">
        <f t="shared" ca="1" si="109"/>
        <v>20.275603946920722</v>
      </c>
      <c r="P383" s="171"/>
    </row>
    <row r="384" spans="1:16" ht="21.75" customHeight="1" x14ac:dyDescent="0.35">
      <c r="A384" s="162"/>
      <c r="B384" s="163"/>
      <c r="C384" s="163"/>
      <c r="D384" s="172"/>
      <c r="E384" s="165"/>
      <c r="F384" s="165"/>
      <c r="G384" s="380" t="s">
        <v>129</v>
      </c>
      <c r="H384" s="167" t="s">
        <v>12</v>
      </c>
      <c r="I384" s="168"/>
      <c r="J384" s="168"/>
      <c r="K384" s="169"/>
      <c r="L384" s="176">
        <f ca="1">IFERROR(__xludf.DUMMYFUNCTION("IMPORTRANGE(""https://docs.google.com/spreadsheets/d/1IYY_tgx_IHuhSq3AJ5eI5OnqOPBNLWSHKh2a30DoXe8/edit?usp=sharing"",""พัทลุง!L279"")"),0)</f>
        <v>0</v>
      </c>
      <c r="M384" s="176"/>
      <c r="N384" s="176">
        <f ca="1">IFERROR(__xludf.DUMMYFUNCTION("IMPORTRANGE(""https://docs.google.com/spreadsheets/d/1IYY_tgx_IHuhSq3AJ5eI5OnqOPBNLWSHKh2a30DoXe8/edit?usp=sharing"",""พัทลุง!M279"")"),0)</f>
        <v>0</v>
      </c>
      <c r="O384" s="176">
        <f t="shared" ca="1" si="109"/>
        <v>0</v>
      </c>
      <c r="P384" s="176"/>
    </row>
    <row r="385" spans="1:16" ht="21.75" customHeight="1" x14ac:dyDescent="0.35">
      <c r="A385" s="162"/>
      <c r="B385" s="163"/>
      <c r="C385" s="163"/>
      <c r="D385" s="172"/>
      <c r="E385" s="165"/>
      <c r="F385" s="165"/>
      <c r="G385" s="380" t="s">
        <v>130</v>
      </c>
      <c r="H385" s="167" t="s">
        <v>12</v>
      </c>
      <c r="I385" s="168"/>
      <c r="J385" s="168"/>
      <c r="K385" s="169"/>
      <c r="L385" s="176">
        <f ca="1">IFERROR(__xludf.DUMMYFUNCTION("IMPORTRANGE(""https://docs.google.com/spreadsheets/d/1IYY_tgx_IHuhSq3AJ5eI5OnqOPBNLWSHKh2a30DoXe8/edit?usp=sharing"",""พัทลุง!L280"")"),293900)</f>
        <v>293900</v>
      </c>
      <c r="M385" s="176"/>
      <c r="N385" s="173">
        <f ca="1">IFERROR(__xludf.DUMMYFUNCTION("IMPORTRANGE(""https://docs.google.com/spreadsheets/d/1IYY_tgx_IHuhSq3AJ5eI5OnqOPBNLWSHKh2a30DoXe8/edit?usp=sharing"",""พัทลุง!M280"")"),59590)</f>
        <v>59590</v>
      </c>
      <c r="O385" s="176">
        <f t="shared" ca="1" si="109"/>
        <v>20.275603946920722</v>
      </c>
      <c r="P385" s="176"/>
    </row>
    <row r="386" spans="1:16" ht="21.75" customHeight="1" x14ac:dyDescent="0.35">
      <c r="A386" s="381"/>
      <c r="B386" s="382"/>
      <c r="C386" s="163"/>
      <c r="D386" s="383"/>
      <c r="E386" s="165"/>
      <c r="F386" s="165"/>
      <c r="G386" s="384" t="s">
        <v>131</v>
      </c>
      <c r="H386" s="167" t="s">
        <v>12</v>
      </c>
      <c r="I386" s="195"/>
      <c r="J386" s="195"/>
      <c r="K386" s="231"/>
      <c r="L386" s="176"/>
      <c r="M386" s="176"/>
      <c r="N386" s="385">
        <f ca="1">IFERROR(__xludf.DUMMYFUNCTION("IMPORTRANGE(""https://docs.google.com/spreadsheets/d/1IYY_tgx_IHuhSq3AJ5eI5OnqOPBNLWSHKh2a30DoXe8/edit?usp=sharing"",""พัทลุง!M281"")"),56090)</f>
        <v>56090</v>
      </c>
      <c r="O386" s="176"/>
      <c r="P386" s="176"/>
    </row>
    <row r="387" spans="1:16" ht="21.75" customHeight="1" x14ac:dyDescent="0.35">
      <c r="A387" s="381"/>
      <c r="B387" s="382"/>
      <c r="C387" s="163"/>
      <c r="D387" s="383"/>
      <c r="E387" s="165"/>
      <c r="F387" s="165"/>
      <c r="G387" s="384" t="s">
        <v>132</v>
      </c>
      <c r="H387" s="167" t="s">
        <v>12</v>
      </c>
      <c r="I387" s="195"/>
      <c r="J387" s="195"/>
      <c r="K387" s="231"/>
      <c r="L387" s="176"/>
      <c r="M387" s="176"/>
      <c r="N387" s="385">
        <f ca="1">IFERROR(__xludf.DUMMYFUNCTION("IMPORTRANGE(""https://docs.google.com/spreadsheets/d/1IYY_tgx_IHuhSq3AJ5eI5OnqOPBNLWSHKh2a30DoXe8/edit?usp=sharing"",""พัทลุง!M282"")"),0)</f>
        <v>0</v>
      </c>
      <c r="O387" s="176"/>
      <c r="P387" s="176"/>
    </row>
    <row r="388" spans="1:16" ht="21.75" customHeight="1" x14ac:dyDescent="0.35">
      <c r="A388" s="381"/>
      <c r="B388" s="382"/>
      <c r="C388" s="163"/>
      <c r="D388" s="383"/>
      <c r="E388" s="165"/>
      <c r="F388" s="165"/>
      <c r="G388" s="384" t="s">
        <v>133</v>
      </c>
      <c r="H388" s="167" t="s">
        <v>12</v>
      </c>
      <c r="I388" s="195"/>
      <c r="J388" s="195"/>
      <c r="K388" s="231"/>
      <c r="L388" s="176"/>
      <c r="M388" s="176"/>
      <c r="N388" s="385">
        <f ca="1">IFERROR(__xludf.DUMMYFUNCTION("IMPORTRANGE(""https://docs.google.com/spreadsheets/d/1IYY_tgx_IHuhSq3AJ5eI5OnqOPBNLWSHKh2a30DoXe8/edit?usp=sharing"",""พัทลุง!M283"")"),0)</f>
        <v>0</v>
      </c>
      <c r="O388" s="176"/>
      <c r="P388" s="176"/>
    </row>
    <row r="389" spans="1:16" ht="21.75" customHeight="1" x14ac:dyDescent="0.35">
      <c r="A389" s="381"/>
      <c r="B389" s="382"/>
      <c r="C389" s="163"/>
      <c r="D389" s="383"/>
      <c r="E389" s="165"/>
      <c r="F389" s="165"/>
      <c r="G389" s="384" t="s">
        <v>134</v>
      </c>
      <c r="H389" s="167" t="s">
        <v>12</v>
      </c>
      <c r="I389" s="195"/>
      <c r="J389" s="195"/>
      <c r="K389" s="231"/>
      <c r="L389" s="176"/>
      <c r="M389" s="176"/>
      <c r="N389" s="385">
        <f ca="1">IFERROR(__xludf.DUMMYFUNCTION("IMPORTRANGE(""https://docs.google.com/spreadsheets/d/1IYY_tgx_IHuhSq3AJ5eI5OnqOPBNLWSHKh2a30DoXe8/edit?usp=sharing"",""พัทลุง!M284"")"),3500)</f>
        <v>3500</v>
      </c>
      <c r="O389" s="176"/>
      <c r="P389" s="176"/>
    </row>
    <row r="390" spans="1:16" ht="21.75" customHeight="1" x14ac:dyDescent="0.35">
      <c r="A390" s="183"/>
      <c r="B390" s="184"/>
      <c r="C390" s="163" t="s">
        <v>16</v>
      </c>
      <c r="D390" s="185" t="s">
        <v>44</v>
      </c>
      <c r="E390" s="186"/>
      <c r="F390" s="186"/>
      <c r="G390" s="187"/>
      <c r="H390" s="188"/>
      <c r="I390" s="168"/>
      <c r="J390" s="168"/>
      <c r="K390" s="169"/>
      <c r="L390" s="189"/>
      <c r="M390" s="189"/>
      <c r="N390" s="189"/>
      <c r="O390" s="189"/>
      <c r="P390" s="189"/>
    </row>
    <row r="391" spans="1:16" ht="21.75" customHeight="1" x14ac:dyDescent="0.35">
      <c r="A391" s="183"/>
      <c r="B391" s="184"/>
      <c r="C391" s="184"/>
      <c r="D391" s="190">
        <v>1</v>
      </c>
      <c r="E391" s="191" t="s">
        <v>45</v>
      </c>
      <c r="F391" s="192"/>
      <c r="G391" s="193"/>
      <c r="H391" s="194"/>
      <c r="I391" s="195"/>
      <c r="J391" s="205">
        <f ca="1">IFERROR(__xludf.DUMMYFUNCTION("IMPORTRANGE(""https://docs.google.com/spreadsheets/d/1IYY_tgx_IHuhSq3AJ5eI5OnqOPBNLWSHKh2a30DoXe8/edit?usp=sharing"",""พัทลุง!J286"")"),0)</f>
        <v>0</v>
      </c>
      <c r="K391" s="169"/>
      <c r="L391" s="189"/>
      <c r="M391" s="189"/>
      <c r="N391" s="189"/>
      <c r="O391" s="189"/>
      <c r="P391" s="189"/>
    </row>
    <row r="392" spans="1:16" ht="21.75" customHeight="1" x14ac:dyDescent="0.35">
      <c r="A392" s="183"/>
      <c r="B392" s="184"/>
      <c r="C392" s="184"/>
      <c r="D392" s="197">
        <v>2</v>
      </c>
      <c r="E392" s="198" t="s">
        <v>46</v>
      </c>
      <c r="F392" s="199"/>
      <c r="G392" s="200"/>
      <c r="H392" s="194"/>
      <c r="I392" s="195"/>
      <c r="J392" s="196">
        <f ca="1">IFERROR(__xludf.DUMMYFUNCTION("IMPORTRANGE(""https://docs.google.com/spreadsheets/d/1IYY_tgx_IHuhSq3AJ5eI5OnqOPBNLWSHKh2a30DoXe8/edit?usp=sharing"",""พัทลุง!J287"")"),1)</f>
        <v>1</v>
      </c>
      <c r="K392" s="169"/>
      <c r="L392" s="189" t="s">
        <v>40</v>
      </c>
      <c r="M392" s="189"/>
      <c r="N392" s="189" t="s">
        <v>40</v>
      </c>
      <c r="O392" s="189"/>
      <c r="P392" s="189"/>
    </row>
    <row r="393" spans="1:16" ht="21.75" customHeight="1" x14ac:dyDescent="0.35">
      <c r="A393" s="183"/>
      <c r="B393" s="184"/>
      <c r="C393" s="184"/>
      <c r="D393" s="201"/>
      <c r="E393" s="202" t="s">
        <v>47</v>
      </c>
      <c r="F393" s="203"/>
      <c r="G393" s="204"/>
      <c r="H393" s="194"/>
      <c r="I393" s="195"/>
      <c r="J393" s="196">
        <f ca="1">IFERROR(__xludf.DUMMYFUNCTION("IMPORTRANGE(""https://docs.google.com/spreadsheets/d/1IYY_tgx_IHuhSq3AJ5eI5OnqOPBNLWSHKh2a30DoXe8/edit?usp=sharing"",""พัทลุง!J288"")"),1)</f>
        <v>1</v>
      </c>
      <c r="K393" s="169"/>
      <c r="L393" s="189"/>
      <c r="M393" s="189"/>
      <c r="N393" s="189"/>
      <c r="O393" s="189"/>
      <c r="P393" s="189"/>
    </row>
    <row r="394" spans="1:16" ht="21.75" customHeight="1" x14ac:dyDescent="0.35">
      <c r="A394" s="183"/>
      <c r="B394" s="184"/>
      <c r="C394" s="184"/>
      <c r="D394" s="201"/>
      <c r="E394" s="202" t="s">
        <v>48</v>
      </c>
      <c r="F394" s="203"/>
      <c r="G394" s="204"/>
      <c r="H394" s="194"/>
      <c r="I394" s="195"/>
      <c r="J394" s="205">
        <f ca="1">IFERROR(__xludf.DUMMYFUNCTION("IMPORTRANGE(""https://docs.google.com/spreadsheets/d/1IYY_tgx_IHuhSq3AJ5eI5OnqOPBNLWSHKh2a30DoXe8/edit?usp=sharing"",""พัทลุง!J289"")"),1)</f>
        <v>1</v>
      </c>
      <c r="K394" s="169"/>
      <c r="L394" s="189"/>
      <c r="M394" s="189"/>
      <c r="N394" s="189"/>
      <c r="O394" s="189"/>
      <c r="P394" s="189"/>
    </row>
    <row r="395" spans="1:16" ht="21.75" customHeight="1" x14ac:dyDescent="0.35">
      <c r="A395" s="183"/>
      <c r="B395" s="184"/>
      <c r="C395" s="184"/>
      <c r="D395" s="201"/>
      <c r="E395" s="206"/>
      <c r="F395" s="202" t="s">
        <v>146</v>
      </c>
      <c r="G395" s="203"/>
      <c r="H395" s="194"/>
      <c r="I395" s="195"/>
      <c r="J395" s="195"/>
      <c r="K395" s="169"/>
      <c r="L395" s="189"/>
      <c r="M395" s="189"/>
      <c r="N395" s="189"/>
      <c r="O395" s="189"/>
      <c r="P395" s="189"/>
    </row>
    <row r="396" spans="1:16" ht="21.75" customHeight="1" x14ac:dyDescent="0.35">
      <c r="A396" s="183"/>
      <c r="B396" s="184"/>
      <c r="C396" s="184"/>
      <c r="D396" s="201"/>
      <c r="E396" s="206"/>
      <c r="F396" s="203"/>
      <c r="G396" s="299" t="s">
        <v>70</v>
      </c>
      <c r="H396" s="194" t="s">
        <v>37</v>
      </c>
      <c r="I396" s="195">
        <f ca="1">IFERROR(__xludf.DUMMYFUNCTION("IMPORTRANGE(""https://docs.google.com/spreadsheets/d/1IYY_tgx_IHuhSq3AJ5eI5OnqOPBNLWSHKh2a30DoXe8/edit?usp=sharing"",""พัทลุง!I291"")"),30)</f>
        <v>30</v>
      </c>
      <c r="J396" s="205">
        <f ca="1">IFERROR(__xludf.DUMMYFUNCTION("IMPORTRANGE(""https://docs.google.com/spreadsheets/d/1IYY_tgx_IHuhSq3AJ5eI5OnqOPBNLWSHKh2a30DoXe8/edit?usp=sharing"",""พัทลุง!J291"")"),30)</f>
        <v>30</v>
      </c>
      <c r="K396" s="169">
        <f t="shared" ref="K396:K398" ca="1" si="110">IF(I396&gt;0,J396*100/I396,0)</f>
        <v>100</v>
      </c>
      <c r="L396" s="189"/>
      <c r="M396" s="189"/>
      <c r="N396" s="189"/>
      <c r="O396" s="189"/>
      <c r="P396" s="189"/>
    </row>
    <row r="397" spans="1:16" ht="21.75" customHeight="1" x14ac:dyDescent="0.35">
      <c r="A397" s="183"/>
      <c r="B397" s="184"/>
      <c r="C397" s="184"/>
      <c r="D397" s="201"/>
      <c r="E397" s="206"/>
      <c r="F397" s="203"/>
      <c r="G397" s="204" t="s">
        <v>53</v>
      </c>
      <c r="H397" s="194" t="s">
        <v>122</v>
      </c>
      <c r="I397" s="195">
        <f ca="1">IFERROR(__xludf.DUMMYFUNCTION("IMPORTRANGE(""https://docs.google.com/spreadsheets/d/1IYY_tgx_IHuhSq3AJ5eI5OnqOPBNLWSHKh2a30DoXe8/edit?usp=sharing"",""พัทลุง!I292"")"),300)</f>
        <v>300</v>
      </c>
      <c r="J397" s="205">
        <f ca="1">IFERROR(__xludf.DUMMYFUNCTION("IMPORTRANGE(""https://docs.google.com/spreadsheets/d/1IYY_tgx_IHuhSq3AJ5eI5OnqOPBNLWSHKh2a30DoXe8/edit?usp=sharing"",""พัทลุง!J292"")"),0)</f>
        <v>0</v>
      </c>
      <c r="K397" s="169">
        <f t="shared" ca="1" si="110"/>
        <v>0</v>
      </c>
      <c r="L397" s="189"/>
      <c r="M397" s="189"/>
      <c r="N397" s="189"/>
      <c r="O397" s="189"/>
      <c r="P397" s="189"/>
    </row>
    <row r="398" spans="1:16" ht="21.75" customHeight="1" x14ac:dyDescent="0.35">
      <c r="A398" s="183"/>
      <c r="B398" s="184"/>
      <c r="C398" s="184"/>
      <c r="D398" s="201"/>
      <c r="E398" s="206"/>
      <c r="F398" s="203"/>
      <c r="G398" s="204"/>
      <c r="H398" s="194" t="s">
        <v>37</v>
      </c>
      <c r="I398" s="195">
        <f ca="1">IFERROR(__xludf.DUMMYFUNCTION("IMPORTRANGE(""https://docs.google.com/spreadsheets/d/1IYY_tgx_IHuhSq3AJ5eI5OnqOPBNLWSHKh2a30DoXe8/edit?usp=sharing"",""พัทลุง!I293"")"),30)</f>
        <v>30</v>
      </c>
      <c r="J398" s="205">
        <f ca="1">IFERROR(__xludf.DUMMYFUNCTION("IMPORTRANGE(""https://docs.google.com/spreadsheets/d/1IYY_tgx_IHuhSq3AJ5eI5OnqOPBNLWSHKh2a30DoXe8/edit?usp=sharing"",""พัทลุง!J293"")"),0)</f>
        <v>0</v>
      </c>
      <c r="K398" s="169">
        <f t="shared" ca="1" si="110"/>
        <v>0</v>
      </c>
      <c r="L398" s="189"/>
      <c r="M398" s="189"/>
      <c r="N398" s="189"/>
      <c r="O398" s="189"/>
      <c r="P398" s="189"/>
    </row>
    <row r="399" spans="1:16" ht="21.75" customHeight="1" x14ac:dyDescent="0.35">
      <c r="A399" s="183"/>
      <c r="B399" s="184"/>
      <c r="C399" s="184"/>
      <c r="D399" s="201"/>
      <c r="E399" s="202" t="s">
        <v>54</v>
      </c>
      <c r="F399" s="203"/>
      <c r="G399" s="204"/>
      <c r="H399" s="194"/>
      <c r="I399" s="195"/>
      <c r="J399" s="205">
        <f ca="1">IFERROR(__xludf.DUMMYFUNCTION("IMPORTRANGE(""https://docs.google.com/spreadsheets/d/1IYY_tgx_IHuhSq3AJ5eI5OnqOPBNLWSHKh2a30DoXe8/edit?usp=sharing"",""พัทลุง!J294"")"),0)</f>
        <v>0</v>
      </c>
      <c r="K399" s="169"/>
      <c r="L399" s="189"/>
      <c r="M399" s="189"/>
      <c r="N399" s="189"/>
      <c r="O399" s="189"/>
      <c r="P399" s="189"/>
    </row>
    <row r="400" spans="1:16" ht="21.75" customHeight="1" x14ac:dyDescent="0.35">
      <c r="A400" s="183"/>
      <c r="B400" s="184"/>
      <c r="C400" s="184"/>
      <c r="D400" s="213">
        <v>3</v>
      </c>
      <c r="E400" s="214" t="s">
        <v>55</v>
      </c>
      <c r="F400" s="215"/>
      <c r="G400" s="216"/>
      <c r="H400" s="194"/>
      <c r="I400" s="195"/>
      <c r="J400" s="217">
        <f ca="1">IFERROR(__xludf.DUMMYFUNCTION("IMPORTRANGE(""https://docs.google.com/spreadsheets/d/1IYY_tgx_IHuhSq3AJ5eI5OnqOPBNLWSHKh2a30DoXe8/edit?usp=sharing"",""พัทลุง!J295"")"),0)</f>
        <v>0</v>
      </c>
      <c r="K400" s="169"/>
      <c r="L400" s="189"/>
      <c r="M400" s="189"/>
      <c r="N400" s="189"/>
      <c r="O400" s="189"/>
      <c r="P400" s="189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IFERROR(__xludf.DUMMYFUNCTION("IMPORTRANGE(""https://docs.google.com/spreadsheets/d/1IYY_tgx_IHuhSq3AJ5eI5OnqOPBNLWSHKh2a30DoXe8/edit?usp=sharing"",""พัทลุง!I296"")"),135)</f>
        <v>135</v>
      </c>
      <c r="J401" s="377">
        <f ca="1">IFERROR(__xludf.DUMMYFUNCTION("IMPORTRANGE(""https://docs.google.com/spreadsheets/d/1IYY_tgx_IHuhSq3AJ5eI5OnqOPBNLWSHKh2a30DoXe8/edit?usp=sharing"",""พัทลุง!J296"")"),0)</f>
        <v>0</v>
      </c>
      <c r="K401" s="378">
        <f t="shared" ref="K401:K402" ca="1" si="111">IF(I401&gt;0,J401*100/I401,0)</f>
        <v>0</v>
      </c>
      <c r="L401" s="379">
        <f ca="1">IFERROR(__xludf.DUMMYFUNCTION("IMPORTRANGE(""https://docs.google.com/spreadsheets/d/1IYY_tgx_IHuhSq3AJ5eI5OnqOPBNLWSHKh2a30DoXe8/edit?usp=sharing"",""พัทลุง!L296"")"),159950)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IFERROR(__xludf.DUMMYFUNCTION("IMPORTRANGE(""https://docs.google.com/spreadsheets/d/1IYY_tgx_IHuhSq3AJ5eI5OnqOPBNLWSHKh2a30DoXe8/edit?usp=sharing"",""พัทลุง!M296"")"),34140)</f>
        <v>34140</v>
      </c>
      <c r="O401" s="379">
        <f ca="1">+IF(L401&gt;0,N401*100/L401,0)</f>
        <v>21.344170053141607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IFERROR(__xludf.DUMMYFUNCTION("IMPORTRANGE(""https://docs.google.com/spreadsheets/d/1IYY_tgx_IHuhSq3AJ5eI5OnqOPBNLWSHKh2a30DoXe8/edit?usp=sharing"",""พัทลุง!I297"")"),45)</f>
        <v>45</v>
      </c>
      <c r="J402" s="377">
        <f ca="1">IFERROR(__xludf.DUMMYFUNCTION("IMPORTRANGE(""https://docs.google.com/spreadsheets/d/1IYY_tgx_IHuhSq3AJ5eI5OnqOPBNLWSHKh2a30DoXe8/edit?usp=sharing"",""พัทลุง!J297"")"),0)</f>
        <v>0</v>
      </c>
      <c r="K402" s="378">
        <f t="shared" ca="1" si="111"/>
        <v>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164" t="s">
        <v>38</v>
      </c>
      <c r="E403" s="165"/>
      <c r="F403" s="165"/>
      <c r="G403" s="166" t="s">
        <v>39</v>
      </c>
      <c r="H403" s="167" t="s">
        <v>12</v>
      </c>
      <c r="I403" s="168" t="s">
        <v>40</v>
      </c>
      <c r="J403" s="168"/>
      <c r="K403" s="169"/>
      <c r="L403" s="170">
        <f ca="1">IFERROR(__xludf.DUMMYFUNCTION("IMPORTRANGE(""https://docs.google.com/spreadsheets/d/1IYY_tgx_IHuhSq3AJ5eI5OnqOPBNLWSHKh2a30DoXe8/edit?usp=sharing"",""พัทลุง!L298"")"),0)</f>
        <v>0</v>
      </c>
      <c r="M403" s="170"/>
      <c r="N403" s="176">
        <f ca="1">IFERROR(__xludf.DUMMYFUNCTION("IMPORTRANGE(""https://docs.google.com/spreadsheets/d/1IYY_tgx_IHuhSq3AJ5eI5OnqOPBNLWSHKh2a30DoXe8/edit?usp=sharing"",""พัทลุง!M298"")"),0)</f>
        <v>0</v>
      </c>
      <c r="O403" s="176">
        <f t="shared" ref="O403:O406" ca="1" si="112">+IF(L403&gt;0,N403*100/L403,0)</f>
        <v>0</v>
      </c>
      <c r="P403" s="176"/>
    </row>
    <row r="404" spans="1:16" ht="21.75" customHeight="1" x14ac:dyDescent="0.35">
      <c r="A404" s="162"/>
      <c r="B404" s="163"/>
      <c r="C404" s="163"/>
      <c r="D404" s="172"/>
      <c r="E404" s="165"/>
      <c r="F404" s="165" t="s">
        <v>40</v>
      </c>
      <c r="G404" s="166" t="s">
        <v>41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IFERROR(__xludf.DUMMYFUNCTION("IMPORTRANGE(""https://docs.google.com/spreadsheets/d/1IYY_tgx_IHuhSq3AJ5eI5OnqOPBNLWSHKh2a30DoXe8/edit?usp=sharing"",""พัทลุง!L299"")"),159950)</f>
        <v>159950</v>
      </c>
      <c r="M404" s="171"/>
      <c r="N404" s="176">
        <f ca="1">IFERROR(__xludf.DUMMYFUNCTION("IMPORTRANGE(""https://docs.google.com/spreadsheets/d/1IYY_tgx_IHuhSq3AJ5eI5OnqOPBNLWSHKh2a30DoXe8/edit?usp=sharing"",""พัทลุง!M299"")"),34140)</f>
        <v>34140</v>
      </c>
      <c r="O404" s="176">
        <f t="shared" ca="1" si="112"/>
        <v>21.344170053141607</v>
      </c>
      <c r="P404" s="176"/>
    </row>
    <row r="405" spans="1:16" ht="21.75" customHeight="1" x14ac:dyDescent="0.35">
      <c r="A405" s="162"/>
      <c r="B405" s="163"/>
      <c r="C405" s="163"/>
      <c r="D405" s="172"/>
      <c r="E405" s="165"/>
      <c r="F405" s="165"/>
      <c r="G405" s="380" t="s">
        <v>129</v>
      </c>
      <c r="H405" s="167" t="s">
        <v>12</v>
      </c>
      <c r="I405" s="168"/>
      <c r="J405" s="168"/>
      <c r="K405" s="169"/>
      <c r="L405" s="176">
        <f ca="1">IFERROR(__xludf.DUMMYFUNCTION("IMPORTRANGE(""https://docs.google.com/spreadsheets/d/1IYY_tgx_IHuhSq3AJ5eI5OnqOPBNLWSHKh2a30DoXe8/edit?usp=sharing"",""พัทลุง!L300"")"),0)</f>
        <v>0</v>
      </c>
      <c r="M405" s="176"/>
      <c r="N405" s="176">
        <f ca="1">IFERROR(__xludf.DUMMYFUNCTION("IMPORTRANGE(""https://docs.google.com/spreadsheets/d/1IYY_tgx_IHuhSq3AJ5eI5OnqOPBNLWSHKh2a30DoXe8/edit?usp=sharing"",""พัทลุง!M300"")"),0)</f>
        <v>0</v>
      </c>
      <c r="O405" s="176">
        <f t="shared" ca="1" si="112"/>
        <v>0</v>
      </c>
      <c r="P405" s="176"/>
    </row>
    <row r="406" spans="1:16" ht="21.75" customHeight="1" x14ac:dyDescent="0.35">
      <c r="A406" s="162"/>
      <c r="B406" s="163"/>
      <c r="C406" s="163"/>
      <c r="D406" s="172"/>
      <c r="E406" s="165"/>
      <c r="F406" s="165"/>
      <c r="G406" s="380" t="s">
        <v>130</v>
      </c>
      <c r="H406" s="167" t="s">
        <v>12</v>
      </c>
      <c r="I406" s="168"/>
      <c r="J406" s="168"/>
      <c r="K406" s="169"/>
      <c r="L406" s="176">
        <f ca="1">IFERROR(__xludf.DUMMYFUNCTION("IMPORTRANGE(""https://docs.google.com/spreadsheets/d/1IYY_tgx_IHuhSq3AJ5eI5OnqOPBNLWSHKh2a30DoXe8/edit?usp=sharing"",""พัทลุง!L301"")"),159950)</f>
        <v>159950</v>
      </c>
      <c r="M406" s="176"/>
      <c r="N406" s="176">
        <f ca="1">IFERROR(__xludf.DUMMYFUNCTION("IMPORTRANGE(""https://docs.google.com/spreadsheets/d/1IYY_tgx_IHuhSq3AJ5eI5OnqOPBNLWSHKh2a30DoXe8/edit?usp=sharing"",""พัทลุง!M301"")"),34140)</f>
        <v>34140</v>
      </c>
      <c r="O406" s="176">
        <f t="shared" ca="1" si="112"/>
        <v>21.344170053141607</v>
      </c>
      <c r="P406" s="176"/>
    </row>
    <row r="407" spans="1:16" ht="21.75" customHeight="1" x14ac:dyDescent="0.35">
      <c r="A407" s="381"/>
      <c r="B407" s="382"/>
      <c r="C407" s="163"/>
      <c r="D407" s="383"/>
      <c r="E407" s="165"/>
      <c r="F407" s="165"/>
      <c r="G407" s="384" t="s">
        <v>131</v>
      </c>
      <c r="H407" s="167" t="s">
        <v>12</v>
      </c>
      <c r="I407" s="195"/>
      <c r="J407" s="195"/>
      <c r="K407" s="231"/>
      <c r="L407" s="176"/>
      <c r="M407" s="176"/>
      <c r="N407" s="385">
        <f ca="1">IFERROR(__xludf.DUMMYFUNCTION("IMPORTRANGE(""https://docs.google.com/spreadsheets/d/1IYY_tgx_IHuhSq3AJ5eI5OnqOPBNLWSHKh2a30DoXe8/edit?usp=sharing"",""พัทลุง!M302"")"),21140)</f>
        <v>21140</v>
      </c>
      <c r="O407" s="176"/>
      <c r="P407" s="176"/>
    </row>
    <row r="408" spans="1:16" ht="21.75" customHeight="1" x14ac:dyDescent="0.35">
      <c r="A408" s="381"/>
      <c r="B408" s="382"/>
      <c r="C408" s="163"/>
      <c r="D408" s="383"/>
      <c r="E408" s="165"/>
      <c r="F408" s="165"/>
      <c r="G408" s="384" t="s">
        <v>132</v>
      </c>
      <c r="H408" s="167" t="s">
        <v>12</v>
      </c>
      <c r="I408" s="195"/>
      <c r="J408" s="195"/>
      <c r="K408" s="231"/>
      <c r="L408" s="176"/>
      <c r="M408" s="176"/>
      <c r="N408" s="385">
        <f ca="1">IFERROR(__xludf.DUMMYFUNCTION("IMPORTRANGE(""https://docs.google.com/spreadsheets/d/1IYY_tgx_IHuhSq3AJ5eI5OnqOPBNLWSHKh2a30DoXe8/edit?usp=sharing"",""พัทลุง!M303"")"),0)</f>
        <v>0</v>
      </c>
      <c r="O408" s="176"/>
      <c r="P408" s="176"/>
    </row>
    <row r="409" spans="1:16" ht="21.75" customHeight="1" x14ac:dyDescent="0.35">
      <c r="A409" s="381"/>
      <c r="B409" s="382"/>
      <c r="C409" s="163"/>
      <c r="D409" s="383"/>
      <c r="E409" s="165"/>
      <c r="F409" s="165"/>
      <c r="G409" s="384" t="s">
        <v>133</v>
      </c>
      <c r="H409" s="167" t="s">
        <v>12</v>
      </c>
      <c r="I409" s="195"/>
      <c r="J409" s="195"/>
      <c r="K409" s="231"/>
      <c r="L409" s="176"/>
      <c r="M409" s="176"/>
      <c r="N409" s="385">
        <f ca="1">IFERROR(__xludf.DUMMYFUNCTION("IMPORTRANGE(""https://docs.google.com/spreadsheets/d/1IYY_tgx_IHuhSq3AJ5eI5OnqOPBNLWSHKh2a30DoXe8/edit?usp=sharing"",""พัทลุง!M304"")"),0)</f>
        <v>0</v>
      </c>
      <c r="O409" s="176"/>
      <c r="P409" s="176"/>
    </row>
    <row r="410" spans="1:16" ht="21.75" customHeight="1" x14ac:dyDescent="0.35">
      <c r="A410" s="381"/>
      <c r="B410" s="382"/>
      <c r="C410" s="163"/>
      <c r="D410" s="383"/>
      <c r="E410" s="165"/>
      <c r="F410" s="165"/>
      <c r="G410" s="384" t="s">
        <v>134</v>
      </c>
      <c r="H410" s="167" t="s">
        <v>12</v>
      </c>
      <c r="I410" s="195"/>
      <c r="J410" s="195"/>
      <c r="K410" s="231"/>
      <c r="L410" s="176"/>
      <c r="M410" s="176"/>
      <c r="N410" s="385">
        <f ca="1">IFERROR(__xludf.DUMMYFUNCTION("IMPORTRANGE(""https://docs.google.com/spreadsheets/d/1IYY_tgx_IHuhSq3AJ5eI5OnqOPBNLWSHKh2a30DoXe8/edit?usp=sharing"",""พัทลุง!M305"")"),13000)</f>
        <v>13000</v>
      </c>
      <c r="O410" s="176"/>
      <c r="P410" s="176"/>
    </row>
    <row r="411" spans="1:16" ht="21.75" customHeight="1" x14ac:dyDescent="0.35">
      <c r="A411" s="183"/>
      <c r="B411" s="184"/>
      <c r="C411" s="163" t="s">
        <v>16</v>
      </c>
      <c r="D411" s="185" t="s">
        <v>44</v>
      </c>
      <c r="E411" s="186"/>
      <c r="F411" s="186"/>
      <c r="G411" s="187"/>
      <c r="H411" s="188"/>
      <c r="I411" s="168"/>
      <c r="J411" s="168"/>
      <c r="K411" s="169"/>
      <c r="L411" s="189"/>
      <c r="M411" s="189"/>
      <c r="N411" s="189"/>
      <c r="O411" s="189"/>
      <c r="P411" s="189"/>
    </row>
    <row r="412" spans="1:16" ht="21.75" customHeight="1" x14ac:dyDescent="0.35">
      <c r="A412" s="183"/>
      <c r="B412" s="184"/>
      <c r="C412" s="184"/>
      <c r="D412" s="190">
        <v>1</v>
      </c>
      <c r="E412" s="191" t="s">
        <v>45</v>
      </c>
      <c r="F412" s="192"/>
      <c r="G412" s="193"/>
      <c r="H412" s="194"/>
      <c r="I412" s="195"/>
      <c r="J412" s="205">
        <f ca="1">IFERROR(__xludf.DUMMYFUNCTION("IMPORTRANGE(""https://docs.google.com/spreadsheets/d/1IYY_tgx_IHuhSq3AJ5eI5OnqOPBNLWSHKh2a30DoXe8/edit?usp=sharing"",""พัทลุง!J307"")"),0)</f>
        <v>0</v>
      </c>
      <c r="K412" s="169"/>
      <c r="L412" s="189"/>
      <c r="M412" s="189"/>
      <c r="N412" s="189"/>
      <c r="O412" s="189"/>
      <c r="P412" s="189"/>
    </row>
    <row r="413" spans="1:16" ht="21.75" customHeight="1" x14ac:dyDescent="0.35">
      <c r="A413" s="183"/>
      <c r="B413" s="184"/>
      <c r="C413" s="184"/>
      <c r="D413" s="197">
        <v>2</v>
      </c>
      <c r="E413" s="198" t="s">
        <v>46</v>
      </c>
      <c r="F413" s="199"/>
      <c r="G413" s="200"/>
      <c r="H413" s="194"/>
      <c r="I413" s="195"/>
      <c r="J413" s="196">
        <f ca="1">IFERROR(__xludf.DUMMYFUNCTION("IMPORTRANGE(""https://docs.google.com/spreadsheets/d/1IYY_tgx_IHuhSq3AJ5eI5OnqOPBNLWSHKh2a30DoXe8/edit?usp=sharing"",""พัทลุง!J308"")"),1)</f>
        <v>1</v>
      </c>
      <c r="K413" s="169"/>
      <c r="L413" s="189" t="s">
        <v>40</v>
      </c>
      <c r="M413" s="189"/>
      <c r="N413" s="189" t="s">
        <v>40</v>
      </c>
      <c r="O413" s="189"/>
      <c r="P413" s="189"/>
    </row>
    <row r="414" spans="1:16" ht="21.75" customHeight="1" x14ac:dyDescent="0.35">
      <c r="A414" s="183"/>
      <c r="B414" s="184"/>
      <c r="C414" s="184"/>
      <c r="D414" s="201"/>
      <c r="E414" s="202" t="s">
        <v>47</v>
      </c>
      <c r="F414" s="203"/>
      <c r="G414" s="204"/>
      <c r="H414" s="194"/>
      <c r="I414" s="195"/>
      <c r="J414" s="196">
        <f ca="1">IFERROR(__xludf.DUMMYFUNCTION("IMPORTRANGE(""https://docs.google.com/spreadsheets/d/1IYY_tgx_IHuhSq3AJ5eI5OnqOPBNLWSHKh2a30DoXe8/edit?usp=sharing"",""พัทลุง!J309"")"),1)</f>
        <v>1</v>
      </c>
      <c r="K414" s="169"/>
      <c r="L414" s="189"/>
      <c r="M414" s="189"/>
      <c r="N414" s="189"/>
      <c r="O414" s="189"/>
      <c r="P414" s="189"/>
    </row>
    <row r="415" spans="1:16" ht="21.75" customHeight="1" x14ac:dyDescent="0.35">
      <c r="A415" s="183"/>
      <c r="B415" s="184"/>
      <c r="C415" s="184"/>
      <c r="D415" s="201"/>
      <c r="E415" s="202" t="s">
        <v>48</v>
      </c>
      <c r="F415" s="203"/>
      <c r="G415" s="204"/>
      <c r="H415" s="194"/>
      <c r="I415" s="195"/>
      <c r="J415" s="205">
        <f ca="1">IFERROR(__xludf.DUMMYFUNCTION("IMPORTRANGE(""https://docs.google.com/spreadsheets/d/1IYY_tgx_IHuhSq3AJ5eI5OnqOPBNLWSHKh2a30DoXe8/edit?usp=sharing"",""พัทลุง!J310"")"),1)</f>
        <v>1</v>
      </c>
      <c r="K415" s="169"/>
      <c r="L415" s="189"/>
      <c r="M415" s="189"/>
      <c r="N415" s="189"/>
      <c r="O415" s="189"/>
      <c r="P415" s="189"/>
    </row>
    <row r="416" spans="1:16" ht="21.75" customHeight="1" x14ac:dyDescent="0.35">
      <c r="A416" s="183"/>
      <c r="B416" s="184"/>
      <c r="C416" s="184"/>
      <c r="D416" s="201"/>
      <c r="E416" s="206"/>
      <c r="F416" s="202" t="s">
        <v>70</v>
      </c>
      <c r="G416" s="394"/>
      <c r="H416" s="395" t="s">
        <v>37</v>
      </c>
      <c r="I416" s="208">
        <f ca="1">IFERROR(__xludf.DUMMYFUNCTION("IMPORTRANGE(""https://docs.google.com/spreadsheets/d/1IYY_tgx_IHuhSq3AJ5eI5OnqOPBNLWSHKh2a30DoXe8/edit?usp=sharing"",""พัทลุง!I311"")"),45)</f>
        <v>45</v>
      </c>
      <c r="J416" s="208">
        <f ca="1">IFERROR(__xludf.DUMMYFUNCTION("IMPORTRANGE(""https://docs.google.com/spreadsheets/d/1IYY_tgx_IHuhSq3AJ5eI5OnqOPBNLWSHKh2a30DoXe8/edit?usp=sharing"",""พัทลุง!J311"")"),0)</f>
        <v>0</v>
      </c>
      <c r="K416" s="209">
        <f t="shared" ref="K416:K432" ca="1" si="113">IF(I416&gt;0,J416*100/I416,0)</f>
        <v>0</v>
      </c>
      <c r="L416" s="189"/>
      <c r="M416" s="189"/>
      <c r="N416" s="189"/>
      <c r="O416" s="189"/>
      <c r="P416" s="189"/>
    </row>
    <row r="417" spans="1:16" ht="21.75" customHeight="1" x14ac:dyDescent="0.45">
      <c r="A417" s="183"/>
      <c r="B417" s="184"/>
      <c r="C417" s="184"/>
      <c r="D417" s="201"/>
      <c r="E417" s="206"/>
      <c r="F417" s="396" t="s">
        <v>148</v>
      </c>
      <c r="G417" s="204"/>
      <c r="H417" s="207" t="s">
        <v>37</v>
      </c>
      <c r="I417" s="397">
        <f ca="1">IFERROR(__xludf.DUMMYFUNCTION("IMPORTRANGE(""https://docs.google.com/spreadsheets/d/1IYY_tgx_IHuhSq3AJ5eI5OnqOPBNLWSHKh2a30DoXe8/edit?usp=sharing"",""พัทลุง!I312"")"),10)</f>
        <v>10</v>
      </c>
      <c r="J417" s="398">
        <f ca="1">IFERROR(__xludf.DUMMYFUNCTION("IMPORTRANGE(""https://docs.google.com/spreadsheets/d/1IYY_tgx_IHuhSq3AJ5eI5OnqOPBNLWSHKh2a30DoXe8/edit?usp=sharing"",""พัทลุง!J312"")"),0)</f>
        <v>0</v>
      </c>
      <c r="K417" s="209">
        <f t="shared" ca="1" si="113"/>
        <v>0</v>
      </c>
      <c r="L417" s="189"/>
      <c r="M417" s="189"/>
      <c r="N417" s="189"/>
      <c r="O417" s="189"/>
      <c r="P417" s="189"/>
    </row>
    <row r="418" spans="1:16" ht="21.75" customHeight="1" x14ac:dyDescent="0.45">
      <c r="A418" s="183"/>
      <c r="B418" s="184"/>
      <c r="C418" s="184"/>
      <c r="D418" s="201"/>
      <c r="E418" s="206"/>
      <c r="F418" s="203"/>
      <c r="G418" s="204"/>
      <c r="H418" s="207" t="s">
        <v>122</v>
      </c>
      <c r="I418" s="397">
        <f ca="1">IFERROR(__xludf.DUMMYFUNCTION("IMPORTRANGE(""https://docs.google.com/spreadsheets/d/1IYY_tgx_IHuhSq3AJ5eI5OnqOPBNLWSHKh2a30DoXe8/edit?usp=sharing"",""พัทลุง!I313"")"),30)</f>
        <v>30</v>
      </c>
      <c r="J418" s="399">
        <f ca="1">IFERROR(__xludf.DUMMYFUNCTION("IMPORTRANGE(""https://docs.google.com/spreadsheets/d/1IYY_tgx_IHuhSq3AJ5eI5OnqOPBNLWSHKh2a30DoXe8/edit?usp=sharing"",""พัทลุง!J313"")"),0)</f>
        <v>0</v>
      </c>
      <c r="K418" s="209">
        <f t="shared" ca="1" si="113"/>
        <v>0</v>
      </c>
      <c r="L418" s="189"/>
      <c r="M418" s="189"/>
      <c r="N418" s="189"/>
      <c r="O418" s="189"/>
      <c r="P418" s="189"/>
    </row>
    <row r="419" spans="1:16" ht="21.75" customHeight="1" x14ac:dyDescent="0.45">
      <c r="A419" s="183"/>
      <c r="B419" s="184"/>
      <c r="C419" s="184"/>
      <c r="D419" s="201"/>
      <c r="E419" s="206"/>
      <c r="F419" s="203"/>
      <c r="G419" s="233" t="s">
        <v>149</v>
      </c>
      <c r="H419" s="188" t="s">
        <v>37</v>
      </c>
      <c r="I419" s="347">
        <f ca="1">IFERROR(__xludf.DUMMYFUNCTION("IMPORTRANGE(""https://docs.google.com/spreadsheets/d/1IYY_tgx_IHuhSq3AJ5eI5OnqOPBNLWSHKh2a30DoXe8/edit?usp=sharing"",""พัทลุง!I314"")"),10)</f>
        <v>10</v>
      </c>
      <c r="J419" s="400">
        <f ca="1">IFERROR(__xludf.DUMMYFUNCTION("IMPORTRANGE(""https://docs.google.com/spreadsheets/d/1IYY_tgx_IHuhSq3AJ5eI5OnqOPBNLWSHKh2a30DoXe8/edit?usp=sharing"",""พัทลุง!J314"")"),10)</f>
        <v>10</v>
      </c>
      <c r="K419" s="169">
        <f t="shared" ca="1" si="113"/>
        <v>100</v>
      </c>
      <c r="L419" s="189"/>
      <c r="M419" s="189"/>
      <c r="N419" s="189"/>
      <c r="O419" s="189"/>
      <c r="P419" s="189"/>
    </row>
    <row r="420" spans="1:16" ht="21.75" customHeight="1" x14ac:dyDescent="0.45">
      <c r="A420" s="241"/>
      <c r="B420" s="242"/>
      <c r="C420" s="242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IFERROR(__xludf.DUMMYFUNCTION("IMPORTRANGE(""https://docs.google.com/spreadsheets/d/1IYY_tgx_IHuhSq3AJ5eI5OnqOPBNLWSHKh2a30DoXe8/edit?usp=sharing"",""พัทลุง!I315"")"),10)</f>
        <v>10</v>
      </c>
      <c r="J420" s="400">
        <f ca="1">IFERROR(__xludf.DUMMYFUNCTION("IMPORTRANGE(""https://docs.google.com/spreadsheets/d/1IYY_tgx_IHuhSq3AJ5eI5OnqOPBNLWSHKh2a30DoXe8/edit?usp=sharing"",""พัทลุง!J315"")"),0)</f>
        <v>0</v>
      </c>
      <c r="K420" s="294">
        <f t="shared" ca="1" si="113"/>
        <v>0</v>
      </c>
      <c r="L420" s="252"/>
      <c r="M420" s="252"/>
      <c r="N420" s="252"/>
      <c r="O420" s="252"/>
      <c r="P420" s="252"/>
    </row>
    <row r="421" spans="1:16" ht="21.75" customHeight="1" x14ac:dyDescent="0.45">
      <c r="A421" s="183"/>
      <c r="B421" s="184"/>
      <c r="C421" s="184"/>
      <c r="D421" s="201"/>
      <c r="E421" s="206"/>
      <c r="F421" s="396" t="s">
        <v>151</v>
      </c>
      <c r="G421" s="204"/>
      <c r="H421" s="207" t="s">
        <v>37</v>
      </c>
      <c r="I421" s="397">
        <f ca="1">IFERROR(__xludf.DUMMYFUNCTION("IMPORTRANGE(""https://docs.google.com/spreadsheets/d/1IYY_tgx_IHuhSq3AJ5eI5OnqOPBNLWSHKh2a30DoXe8/edit?usp=sharing"",""พัทลุง!I316"")"),25)</f>
        <v>25</v>
      </c>
      <c r="J421" s="398">
        <f ca="1">IFERROR(__xludf.DUMMYFUNCTION("IMPORTRANGE(""https://docs.google.com/spreadsheets/d/1IYY_tgx_IHuhSq3AJ5eI5OnqOPBNLWSHKh2a30DoXe8/edit?usp=sharing"",""พัทลุง!J316"")"),0)</f>
        <v>0</v>
      </c>
      <c r="K421" s="209">
        <f t="shared" ca="1" si="113"/>
        <v>0</v>
      </c>
      <c r="L421" s="189"/>
      <c r="M421" s="189"/>
      <c r="N421" s="189"/>
      <c r="O421" s="189"/>
      <c r="P421" s="189"/>
    </row>
    <row r="422" spans="1:16" ht="21.75" customHeight="1" x14ac:dyDescent="0.45">
      <c r="A422" s="183"/>
      <c r="B422" s="184"/>
      <c r="C422" s="184"/>
      <c r="D422" s="201"/>
      <c r="E422" s="206"/>
      <c r="F422" s="203"/>
      <c r="G422" s="204"/>
      <c r="H422" s="207" t="s">
        <v>122</v>
      </c>
      <c r="I422" s="397">
        <f ca="1">IFERROR(__xludf.DUMMYFUNCTION("IMPORTRANGE(""https://docs.google.com/spreadsheets/d/1IYY_tgx_IHuhSq3AJ5eI5OnqOPBNLWSHKh2a30DoXe8/edit?usp=sharing"",""พัทลุง!I317"")"),75)</f>
        <v>75</v>
      </c>
      <c r="J422" s="399">
        <f ca="1">IFERROR(__xludf.DUMMYFUNCTION("IMPORTRANGE(""https://docs.google.com/spreadsheets/d/1IYY_tgx_IHuhSq3AJ5eI5OnqOPBNLWSHKh2a30DoXe8/edit?usp=sharing"",""พัทลุง!J317"")"),0)</f>
        <v>0</v>
      </c>
      <c r="K422" s="209">
        <f t="shared" ca="1" si="113"/>
        <v>0</v>
      </c>
      <c r="L422" s="189"/>
      <c r="M422" s="189"/>
      <c r="N422" s="189"/>
      <c r="O422" s="189"/>
      <c r="P422" s="189"/>
    </row>
    <row r="423" spans="1:16" ht="21.75" customHeight="1" x14ac:dyDescent="0.45">
      <c r="A423" s="183"/>
      <c r="B423" s="184"/>
      <c r="C423" s="184"/>
      <c r="D423" s="201"/>
      <c r="E423" s="206"/>
      <c r="F423" s="203"/>
      <c r="G423" s="233" t="s">
        <v>152</v>
      </c>
      <c r="H423" s="188" t="s">
        <v>37</v>
      </c>
      <c r="I423" s="347">
        <f ca="1">IFERROR(__xludf.DUMMYFUNCTION("IMPORTRANGE(""https://docs.google.com/spreadsheets/d/1IYY_tgx_IHuhSq3AJ5eI5OnqOPBNLWSHKh2a30DoXe8/edit?usp=sharing"",""พัทลุง!I318"")"),25)</f>
        <v>25</v>
      </c>
      <c r="J423" s="400">
        <f ca="1">IFERROR(__xludf.DUMMYFUNCTION("IMPORTRANGE(""https://docs.google.com/spreadsheets/d/1IYY_tgx_IHuhSq3AJ5eI5OnqOPBNLWSHKh2a30DoXe8/edit?usp=sharing"",""พัทลุง!J318"")"),0)</f>
        <v>0</v>
      </c>
      <c r="K423" s="169">
        <f t="shared" ca="1" si="113"/>
        <v>0</v>
      </c>
      <c r="L423" s="189"/>
      <c r="M423" s="189"/>
      <c r="N423" s="189"/>
      <c r="O423" s="189"/>
      <c r="P423" s="189"/>
    </row>
    <row r="424" spans="1:16" ht="21.75" customHeight="1" x14ac:dyDescent="0.45">
      <c r="A424" s="183"/>
      <c r="B424" s="184"/>
      <c r="C424" s="184"/>
      <c r="D424" s="201"/>
      <c r="E424" s="206"/>
      <c r="F424" s="203"/>
      <c r="G424" s="233" t="s">
        <v>153</v>
      </c>
      <c r="H424" s="188" t="s">
        <v>37</v>
      </c>
      <c r="I424" s="347">
        <f ca="1">IFERROR(__xludf.DUMMYFUNCTION("IMPORTRANGE(""https://docs.google.com/spreadsheets/d/1IYY_tgx_IHuhSq3AJ5eI5OnqOPBNLWSHKh2a30DoXe8/edit?usp=sharing"",""พัทลุง!I319"")"),25)</f>
        <v>25</v>
      </c>
      <c r="J424" s="400">
        <f ca="1">IFERROR(__xludf.DUMMYFUNCTION("IMPORTRANGE(""https://docs.google.com/spreadsheets/d/1IYY_tgx_IHuhSq3AJ5eI5OnqOPBNLWSHKh2a30DoXe8/edit?usp=sharing"",""พัทลุง!J319"")"),0)</f>
        <v>0</v>
      </c>
      <c r="K424" s="169">
        <f t="shared" ca="1" si="113"/>
        <v>0</v>
      </c>
      <c r="L424" s="189"/>
      <c r="M424" s="189"/>
      <c r="N424" s="189"/>
      <c r="O424" s="189"/>
      <c r="P424" s="189"/>
    </row>
    <row r="425" spans="1:16" ht="21.75" customHeight="1" x14ac:dyDescent="0.45">
      <c r="A425" s="183"/>
      <c r="B425" s="184"/>
      <c r="C425" s="184"/>
      <c r="D425" s="201"/>
      <c r="E425" s="206"/>
      <c r="F425" s="203"/>
      <c r="G425" s="233" t="s">
        <v>154</v>
      </c>
      <c r="H425" s="188" t="s">
        <v>37</v>
      </c>
      <c r="I425" s="347">
        <f ca="1">IFERROR(__xludf.DUMMYFUNCTION("IMPORTRANGE(""https://docs.google.com/spreadsheets/d/1IYY_tgx_IHuhSq3AJ5eI5OnqOPBNLWSHKh2a30DoXe8/edit?usp=sharing"",""พัทลุง!I320"")"),25)</f>
        <v>25</v>
      </c>
      <c r="J425" s="400">
        <f ca="1">IFERROR(__xludf.DUMMYFUNCTION("IMPORTRANGE(""https://docs.google.com/spreadsheets/d/1IYY_tgx_IHuhSq3AJ5eI5OnqOPBNLWSHKh2a30DoXe8/edit?usp=sharing"",""พัทลุง!J320"")"),0)</f>
        <v>0</v>
      </c>
      <c r="K425" s="169">
        <f t="shared" ca="1" si="113"/>
        <v>0</v>
      </c>
      <c r="L425" s="189"/>
      <c r="M425" s="189"/>
      <c r="N425" s="189"/>
      <c r="O425" s="189"/>
      <c r="P425" s="189"/>
    </row>
    <row r="426" spans="1:16" ht="21.75" customHeight="1" x14ac:dyDescent="0.45">
      <c r="A426" s="183"/>
      <c r="B426" s="184"/>
      <c r="C426" s="184"/>
      <c r="D426" s="201"/>
      <c r="E426" s="206"/>
      <c r="F426" s="405" t="s">
        <v>155</v>
      </c>
      <c r="G426" s="204"/>
      <c r="H426" s="207" t="s">
        <v>37</v>
      </c>
      <c r="I426" s="397">
        <f ca="1">IFERROR(__xludf.DUMMYFUNCTION("IMPORTRANGE(""https://docs.google.com/spreadsheets/d/1IYY_tgx_IHuhSq3AJ5eI5OnqOPBNLWSHKh2a30DoXe8/edit?usp=sharing"",""พัทลุง!I321"")"),10)</f>
        <v>10</v>
      </c>
      <c r="J426" s="398">
        <f ca="1">IFERROR(__xludf.DUMMYFUNCTION("IMPORTRANGE(""https://docs.google.com/spreadsheets/d/1IYY_tgx_IHuhSq3AJ5eI5OnqOPBNLWSHKh2a30DoXe8/edit?usp=sharing"",""พัทลุง!J321"")"),0)</f>
        <v>0</v>
      </c>
      <c r="K426" s="209">
        <f t="shared" ca="1" si="113"/>
        <v>0</v>
      </c>
      <c r="L426" s="189"/>
      <c r="M426" s="189"/>
      <c r="N426" s="189"/>
      <c r="O426" s="189"/>
      <c r="P426" s="189"/>
    </row>
    <row r="427" spans="1:16" ht="21.75" customHeight="1" x14ac:dyDescent="0.45">
      <c r="A427" s="183"/>
      <c r="B427" s="184"/>
      <c r="C427" s="184"/>
      <c r="D427" s="201"/>
      <c r="E427" s="206"/>
      <c r="F427" s="203"/>
      <c r="G427" s="204"/>
      <c r="H427" s="207" t="s">
        <v>122</v>
      </c>
      <c r="I427" s="397">
        <f ca="1">IFERROR(__xludf.DUMMYFUNCTION("IMPORTRANGE(""https://docs.google.com/spreadsheets/d/1IYY_tgx_IHuhSq3AJ5eI5OnqOPBNLWSHKh2a30DoXe8/edit?usp=sharing"",""พัทลุง!I322"")"),30)</f>
        <v>30</v>
      </c>
      <c r="J427" s="399">
        <f ca="1">IFERROR(__xludf.DUMMYFUNCTION("IMPORTRANGE(""https://docs.google.com/spreadsheets/d/1IYY_tgx_IHuhSq3AJ5eI5OnqOPBNLWSHKh2a30DoXe8/edit?usp=sharing"",""พัทลุง!J322"")"),0)</f>
        <v>0</v>
      </c>
      <c r="K427" s="209">
        <f t="shared" ca="1" si="113"/>
        <v>0</v>
      </c>
      <c r="L427" s="189"/>
      <c r="M427" s="189"/>
      <c r="N427" s="189"/>
      <c r="O427" s="189"/>
      <c r="P427" s="189"/>
    </row>
    <row r="428" spans="1:16" ht="21.75" customHeight="1" x14ac:dyDescent="0.45">
      <c r="A428" s="183"/>
      <c r="B428" s="184"/>
      <c r="C428" s="184"/>
      <c r="D428" s="201"/>
      <c r="E428" s="206"/>
      <c r="F428" s="203"/>
      <c r="G428" s="233" t="s">
        <v>156</v>
      </c>
      <c r="H428" s="188" t="s">
        <v>37</v>
      </c>
      <c r="I428" s="406">
        <f ca="1">IFERROR(__xludf.DUMMYFUNCTION("IMPORTRANGE(""https://docs.google.com/spreadsheets/d/1IYY_tgx_IHuhSq3AJ5eI5OnqOPBNLWSHKh2a30DoXe8/edit?usp=sharing"",""พัทลุง!I323"")"),10)</f>
        <v>10</v>
      </c>
      <c r="J428" s="400">
        <f ca="1">IFERROR(__xludf.DUMMYFUNCTION("IMPORTRANGE(""https://docs.google.com/spreadsheets/d/1IYY_tgx_IHuhSq3AJ5eI5OnqOPBNLWSHKh2a30DoXe8/edit?usp=sharing"",""พัทลุง!J323"")"),0)</f>
        <v>0</v>
      </c>
      <c r="K428" s="169">
        <f t="shared" ca="1" si="113"/>
        <v>0</v>
      </c>
      <c r="L428" s="189"/>
      <c r="M428" s="189"/>
      <c r="N428" s="189"/>
      <c r="O428" s="189"/>
      <c r="P428" s="189"/>
    </row>
    <row r="429" spans="1:16" ht="21.75" customHeight="1" x14ac:dyDescent="0.45">
      <c r="A429" s="183"/>
      <c r="B429" s="184"/>
      <c r="C429" s="184"/>
      <c r="D429" s="201"/>
      <c r="E429" s="206"/>
      <c r="F429" s="203"/>
      <c r="G429" s="233" t="s">
        <v>157</v>
      </c>
      <c r="H429" s="188" t="s">
        <v>37</v>
      </c>
      <c r="I429" s="406">
        <f ca="1">IFERROR(__xludf.DUMMYFUNCTION("IMPORTRANGE(""https://docs.google.com/spreadsheets/d/1IYY_tgx_IHuhSq3AJ5eI5OnqOPBNLWSHKh2a30DoXe8/edit?usp=sharing"",""พัทลุง!I324"")"),10)</f>
        <v>10</v>
      </c>
      <c r="J429" s="400">
        <f ca="1">IFERROR(__xludf.DUMMYFUNCTION("IMPORTRANGE(""https://docs.google.com/spreadsheets/d/1IYY_tgx_IHuhSq3AJ5eI5OnqOPBNLWSHKh2a30DoXe8/edit?usp=sharing"",""พัทลุง!J324"")"),0)</f>
        <v>0</v>
      </c>
      <c r="K429" s="169">
        <f t="shared" ca="1" si="113"/>
        <v>0</v>
      </c>
      <c r="L429" s="189"/>
      <c r="M429" s="189"/>
      <c r="N429" s="189"/>
      <c r="O429" s="189"/>
      <c r="P429" s="189"/>
    </row>
    <row r="430" spans="1:16" ht="21.75" customHeight="1" x14ac:dyDescent="0.45">
      <c r="A430" s="183"/>
      <c r="B430" s="184"/>
      <c r="C430" s="184"/>
      <c r="D430" s="201"/>
      <c r="E430" s="206"/>
      <c r="F430" s="202" t="s">
        <v>53</v>
      </c>
      <c r="G430" s="394"/>
      <c r="H430" s="407" t="s">
        <v>37</v>
      </c>
      <c r="I430" s="208">
        <f ca="1">IFERROR(__xludf.DUMMYFUNCTION("IMPORTRANGE(""https://docs.google.com/spreadsheets/d/1IYY_tgx_IHuhSq3AJ5eI5OnqOPBNLWSHKh2a30DoXe8/edit?usp=sharing"",""พัทลุง!I325"")"),35)</f>
        <v>35</v>
      </c>
      <c r="J430" s="398">
        <f ca="1">IFERROR(__xludf.DUMMYFUNCTION("IMPORTRANGE(""https://docs.google.com/spreadsheets/d/1IYY_tgx_IHuhSq3AJ5eI5OnqOPBNLWSHKh2a30DoXe8/edit?usp=sharing"",""พัทลุง!J325"")"),0)</f>
        <v>0</v>
      </c>
      <c r="K430" s="209">
        <f t="shared" ca="1" si="113"/>
        <v>0</v>
      </c>
      <c r="L430" s="189"/>
      <c r="M430" s="189"/>
      <c r="N430" s="189"/>
      <c r="O430" s="189"/>
      <c r="P430" s="189"/>
    </row>
    <row r="431" spans="1:16" ht="21.75" customHeight="1" x14ac:dyDescent="0.45">
      <c r="A431" s="408"/>
      <c r="B431" s="409"/>
      <c r="C431" s="409"/>
      <c r="D431" s="410"/>
      <c r="E431" s="206"/>
      <c r="F431" s="203"/>
      <c r="G431" s="233" t="s">
        <v>158</v>
      </c>
      <c r="H431" s="188" t="s">
        <v>37</v>
      </c>
      <c r="I431" s="406">
        <f ca="1">IFERROR(__xludf.DUMMYFUNCTION("IMPORTRANGE(""https://docs.google.com/spreadsheets/d/1IYY_tgx_IHuhSq3AJ5eI5OnqOPBNLWSHKh2a30DoXe8/edit?usp=sharing"",""พัทลุง!I326"")"),10)</f>
        <v>10</v>
      </c>
      <c r="J431" s="400">
        <f ca="1">IFERROR(__xludf.DUMMYFUNCTION("IMPORTRANGE(""https://docs.google.com/spreadsheets/d/1IYY_tgx_IHuhSq3AJ5eI5OnqOPBNLWSHKh2a30DoXe8/edit?usp=sharing"",""พัทลุง!J326"")"),0)</f>
        <v>0</v>
      </c>
      <c r="K431" s="169">
        <f t="shared" ca="1" si="113"/>
        <v>0</v>
      </c>
      <c r="L431" s="189"/>
      <c r="M431" s="189"/>
      <c r="N431" s="189"/>
      <c r="O431" s="189"/>
      <c r="P431" s="189"/>
    </row>
    <row r="432" spans="1:16" ht="21.75" customHeight="1" x14ac:dyDescent="0.45">
      <c r="A432" s="408"/>
      <c r="B432" s="409"/>
      <c r="C432" s="409"/>
      <c r="D432" s="410"/>
      <c r="E432" s="206"/>
      <c r="F432" s="203"/>
      <c r="G432" s="233" t="s">
        <v>159</v>
      </c>
      <c r="H432" s="188" t="s">
        <v>37</v>
      </c>
      <c r="I432" s="406">
        <f ca="1">IFERROR(__xludf.DUMMYFUNCTION("IMPORTRANGE(""https://docs.google.com/spreadsheets/d/1IYY_tgx_IHuhSq3AJ5eI5OnqOPBNLWSHKh2a30DoXe8/edit?usp=sharing"",""พัทลุง!I327"")"),25)</f>
        <v>25</v>
      </c>
      <c r="J432" s="400">
        <f ca="1">IFERROR(__xludf.DUMMYFUNCTION("IMPORTRANGE(""https://docs.google.com/spreadsheets/d/1IYY_tgx_IHuhSq3AJ5eI5OnqOPBNLWSHKh2a30DoXe8/edit?usp=sharing"",""พัทลุง!J327"")"),0)</f>
        <v>0</v>
      </c>
      <c r="K432" s="169">
        <f t="shared" ca="1" si="113"/>
        <v>0</v>
      </c>
      <c r="L432" s="189"/>
      <c r="M432" s="189"/>
      <c r="N432" s="189"/>
      <c r="O432" s="189"/>
      <c r="P432" s="189"/>
    </row>
    <row r="433" spans="1:16" ht="21.75" customHeight="1" x14ac:dyDescent="0.35">
      <c r="A433" s="183"/>
      <c r="B433" s="184"/>
      <c r="C433" s="184"/>
      <c r="D433" s="201"/>
      <c r="E433" s="202" t="s">
        <v>54</v>
      </c>
      <c r="F433" s="203"/>
      <c r="G433" s="204"/>
      <c r="H433" s="194"/>
      <c r="I433" s="195"/>
      <c r="J433" s="205">
        <f ca="1">IFERROR(__xludf.DUMMYFUNCTION("IMPORTRANGE(""https://docs.google.com/spreadsheets/d/1IYY_tgx_IHuhSq3AJ5eI5OnqOPBNLWSHKh2a30DoXe8/edit?usp=sharing"",""พัทลุง!J328"")"),0)</f>
        <v>0</v>
      </c>
      <c r="K433" s="169"/>
      <c r="L433" s="189"/>
      <c r="M433" s="189"/>
      <c r="N433" s="189"/>
      <c r="O433" s="189"/>
      <c r="P433" s="189"/>
    </row>
    <row r="434" spans="1:16" ht="21.75" customHeight="1" x14ac:dyDescent="0.35">
      <c r="A434" s="183"/>
      <c r="B434" s="184"/>
      <c r="C434" s="184"/>
      <c r="D434" s="213">
        <v>3</v>
      </c>
      <c r="E434" s="214" t="s">
        <v>55</v>
      </c>
      <c r="F434" s="215"/>
      <c r="G434" s="216"/>
      <c r="H434" s="194"/>
      <c r="I434" s="195"/>
      <c r="J434" s="217">
        <f ca="1">IFERROR(__xludf.DUMMYFUNCTION("IMPORTRANGE(""https://docs.google.com/spreadsheets/d/1IYY_tgx_IHuhSq3AJ5eI5OnqOPBNLWSHKh2a30DoXe8/edit?usp=sharing"",""พัทลุง!J329"")"),0)</f>
        <v>0</v>
      </c>
      <c r="K434" s="169"/>
      <c r="L434" s="189"/>
      <c r="M434" s="189"/>
      <c r="N434" s="189"/>
      <c r="O434" s="189"/>
      <c r="P434" s="189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IFERROR(__xludf.DUMMYFUNCTION("IMPORTRANGE(""https://docs.google.com/spreadsheets/d/1IYY_tgx_IHuhSq3AJ5eI5OnqOPBNLWSHKh2a30DoXe8/edit?usp=sharing"",""พัทลุง!I330"")"),25)</f>
        <v>25</v>
      </c>
      <c r="J435" s="416">
        <f ca="1">IFERROR(__xludf.DUMMYFUNCTION("IMPORTRANGE(""https://docs.google.com/spreadsheets/d/1IYY_tgx_IHuhSq3AJ5eI5OnqOPBNLWSHKh2a30DoXe8/edit?usp=sharing"",""พัทลุง!J330"")"),25)</f>
        <v>25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IFERROR(__xludf.DUMMYFUNCTION("IMPORTRANGE(""https://docs.google.com/spreadsheets/d/1IYY_tgx_IHuhSq3AJ5eI5OnqOPBNLWSHKh2a30DoXe8/edit?usp=sharing"",""พัทลุง!L330"")"),213900)</f>
        <v>213900</v>
      </c>
      <c r="M435" s="418"/>
      <c r="N435" s="418">
        <f ca="1">IFERROR(__xludf.DUMMYFUNCTION("IMPORTRANGE(""https://docs.google.com/spreadsheets/d/1IYY_tgx_IHuhSq3AJ5eI5OnqOPBNLWSHKh2a30DoXe8/edit?usp=sharing"",""พัทลุง!M330"")"),27400)</f>
        <v>27400</v>
      </c>
      <c r="O435" s="418">
        <f t="shared" ref="O435:O439" ca="1" si="114">+IF(L435&gt;0,N435*100/L435,0)</f>
        <v>12.809724170172977</v>
      </c>
      <c r="P435" s="418"/>
    </row>
    <row r="436" spans="1:16" ht="21.75" customHeight="1" x14ac:dyDescent="0.35">
      <c r="A436" s="162"/>
      <c r="B436" s="163"/>
      <c r="C436" s="163" t="s">
        <v>16</v>
      </c>
      <c r="D436" s="164" t="s">
        <v>38</v>
      </c>
      <c r="E436" s="165"/>
      <c r="F436" s="165"/>
      <c r="G436" s="166" t="s">
        <v>39</v>
      </c>
      <c r="H436" s="167" t="s">
        <v>12</v>
      </c>
      <c r="I436" s="168" t="s">
        <v>40</v>
      </c>
      <c r="J436" s="168"/>
      <c r="K436" s="169"/>
      <c r="L436" s="170">
        <f ca="1">IFERROR(__xludf.DUMMYFUNCTION("IMPORTRANGE(""https://docs.google.com/spreadsheets/d/1IYY_tgx_IHuhSq3AJ5eI5OnqOPBNLWSHKh2a30DoXe8/edit?usp=sharing"",""พัทลุง!L331"")"),0)</f>
        <v>0</v>
      </c>
      <c r="M436" s="170"/>
      <c r="N436" s="176">
        <f ca="1">IFERROR(__xludf.DUMMYFUNCTION("IMPORTRANGE(""https://docs.google.com/spreadsheets/d/1IYY_tgx_IHuhSq3AJ5eI5OnqOPBNLWSHKh2a30DoXe8/edit?usp=sharing"",""พัทลุง!M331"")"),0)</f>
        <v>0</v>
      </c>
      <c r="O436" s="176">
        <f t="shared" ca="1" si="114"/>
        <v>0</v>
      </c>
      <c r="P436" s="176"/>
    </row>
    <row r="437" spans="1:16" ht="21.75" customHeight="1" x14ac:dyDescent="0.35">
      <c r="A437" s="162"/>
      <c r="B437" s="163"/>
      <c r="C437" s="163"/>
      <c r="D437" s="172"/>
      <c r="E437" s="165"/>
      <c r="F437" s="165" t="s">
        <v>40</v>
      </c>
      <c r="G437" s="384" t="s">
        <v>255</v>
      </c>
      <c r="H437" s="167" t="s">
        <v>12</v>
      </c>
      <c r="I437" s="168"/>
      <c r="J437" s="168"/>
      <c r="K437" s="169"/>
      <c r="L437" s="526">
        <f ca="1">IFERROR(__xludf.DUMMYFUNCTION("IMPORTRANGE(""https://docs.google.com/spreadsheets/d/1IYY_tgx_IHuhSq3AJ5eI5OnqOPBNLWSHKh2a30DoXe8/edit?usp=sharing"",""พัทลุง!L332"")"),213900)</f>
        <v>213900</v>
      </c>
      <c r="M437" s="171"/>
      <c r="N437" s="176">
        <f ca="1">IFERROR(__xludf.DUMMYFUNCTION("IMPORTRANGE(""https://docs.google.com/spreadsheets/d/1IYY_tgx_IHuhSq3AJ5eI5OnqOPBNLWSHKh2a30DoXe8/edit?usp=sharing"",""พัทลุง!M332"")"),27400)</f>
        <v>27400</v>
      </c>
      <c r="O437" s="176">
        <f t="shared" ca="1" si="114"/>
        <v>12.809724170172977</v>
      </c>
      <c r="P437" s="176"/>
    </row>
    <row r="438" spans="1:16" ht="21.75" customHeight="1" x14ac:dyDescent="0.35">
      <c r="A438" s="162"/>
      <c r="B438" s="163"/>
      <c r="C438" s="163"/>
      <c r="D438" s="172"/>
      <c r="E438" s="165"/>
      <c r="F438" s="165"/>
      <c r="G438" s="380" t="s">
        <v>129</v>
      </c>
      <c r="H438" s="167" t="s">
        <v>12</v>
      </c>
      <c r="I438" s="168"/>
      <c r="J438" s="168"/>
      <c r="K438" s="169"/>
      <c r="L438" s="176">
        <f ca="1">IFERROR(__xludf.DUMMYFUNCTION("IMPORTRANGE(""https://docs.google.com/spreadsheets/d/1IYY_tgx_IHuhSq3AJ5eI5OnqOPBNLWSHKh2a30DoXe8/edit?usp=sharing"",""พัทลุง!L333"")"),0)</f>
        <v>0</v>
      </c>
      <c r="M438" s="176"/>
      <c r="N438" s="176">
        <f ca="1">IFERROR(__xludf.DUMMYFUNCTION("IMPORTRANGE(""https://docs.google.com/spreadsheets/d/1IYY_tgx_IHuhSq3AJ5eI5OnqOPBNLWSHKh2a30DoXe8/edit?usp=sharing"",""พัทลุง!M333"")"),0)</f>
        <v>0</v>
      </c>
      <c r="O438" s="176">
        <f t="shared" ca="1" si="114"/>
        <v>0</v>
      </c>
      <c r="P438" s="176"/>
    </row>
    <row r="439" spans="1:16" ht="21.75" customHeight="1" x14ac:dyDescent="0.35">
      <c r="A439" s="162"/>
      <c r="B439" s="163"/>
      <c r="C439" s="163"/>
      <c r="D439" s="172"/>
      <c r="E439" s="165"/>
      <c r="F439" s="165"/>
      <c r="G439" s="380" t="s">
        <v>130</v>
      </c>
      <c r="H439" s="167" t="s">
        <v>12</v>
      </c>
      <c r="I439" s="168"/>
      <c r="J439" s="168"/>
      <c r="K439" s="169"/>
      <c r="L439" s="176">
        <f ca="1">IFERROR(__xludf.DUMMYFUNCTION("IMPORTRANGE(""https://docs.google.com/spreadsheets/d/1IYY_tgx_IHuhSq3AJ5eI5OnqOPBNLWSHKh2a30DoXe8/edit?usp=sharing"",""พัทลุง!L334"")"),110900)</f>
        <v>110900</v>
      </c>
      <c r="M439" s="176"/>
      <c r="N439" s="176">
        <f ca="1">IFERROR(__xludf.DUMMYFUNCTION("IMPORTRANGE(""https://docs.google.com/spreadsheets/d/1IYY_tgx_IHuhSq3AJ5eI5OnqOPBNLWSHKh2a30DoXe8/edit?usp=sharing"",""พัทลุง!M334"")"),27400)</f>
        <v>27400</v>
      </c>
      <c r="O439" s="176">
        <f t="shared" ca="1" si="114"/>
        <v>24.706943192064923</v>
      </c>
      <c r="P439" s="176"/>
    </row>
    <row r="440" spans="1:16" ht="21.75" customHeight="1" x14ac:dyDescent="0.35">
      <c r="A440" s="381"/>
      <c r="B440" s="382"/>
      <c r="C440" s="163"/>
      <c r="D440" s="383"/>
      <c r="E440" s="165"/>
      <c r="F440" s="165"/>
      <c r="G440" s="384" t="s">
        <v>131</v>
      </c>
      <c r="H440" s="167" t="s">
        <v>12</v>
      </c>
      <c r="I440" s="195"/>
      <c r="J440" s="195"/>
      <c r="K440" s="231"/>
      <c r="L440" s="176"/>
      <c r="M440" s="176"/>
      <c r="N440" s="385">
        <f ca="1">IFERROR(__xludf.DUMMYFUNCTION("IMPORTRANGE(""https://docs.google.com/spreadsheets/d/1IYY_tgx_IHuhSq3AJ5eI5OnqOPBNLWSHKh2a30DoXe8/edit?usp=sharing"",""พัทลุง!M335"")"),17600)</f>
        <v>17600</v>
      </c>
      <c r="O440" s="176"/>
      <c r="P440" s="176"/>
    </row>
    <row r="441" spans="1:16" ht="21.75" customHeight="1" x14ac:dyDescent="0.35">
      <c r="A441" s="381"/>
      <c r="B441" s="382"/>
      <c r="C441" s="163"/>
      <c r="D441" s="383"/>
      <c r="E441" s="165"/>
      <c r="F441" s="165"/>
      <c r="G441" s="384" t="s">
        <v>132</v>
      </c>
      <c r="H441" s="167" t="s">
        <v>12</v>
      </c>
      <c r="I441" s="195"/>
      <c r="J441" s="195"/>
      <c r="K441" s="231"/>
      <c r="L441" s="176"/>
      <c r="M441" s="176"/>
      <c r="N441" s="385">
        <f ca="1">IFERROR(__xludf.DUMMYFUNCTION("IMPORTRANGE(""https://docs.google.com/spreadsheets/d/1IYY_tgx_IHuhSq3AJ5eI5OnqOPBNLWSHKh2a30DoXe8/edit?usp=sharing"",""พัทลุง!M336"")"),0)</f>
        <v>0</v>
      </c>
      <c r="O441" s="176"/>
      <c r="P441" s="176"/>
    </row>
    <row r="442" spans="1:16" ht="21.75" customHeight="1" x14ac:dyDescent="0.35">
      <c r="A442" s="381"/>
      <c r="B442" s="382"/>
      <c r="C442" s="163"/>
      <c r="D442" s="383"/>
      <c r="E442" s="165"/>
      <c r="F442" s="165"/>
      <c r="G442" s="384" t="s">
        <v>133</v>
      </c>
      <c r="H442" s="167" t="s">
        <v>12</v>
      </c>
      <c r="I442" s="195"/>
      <c r="J442" s="195"/>
      <c r="K442" s="231"/>
      <c r="L442" s="176"/>
      <c r="M442" s="176"/>
      <c r="N442" s="385">
        <f ca="1">IFERROR(__xludf.DUMMYFUNCTION("IMPORTRANGE(""https://docs.google.com/spreadsheets/d/1IYY_tgx_IHuhSq3AJ5eI5OnqOPBNLWSHKh2a30DoXe8/edit?usp=sharing"",""พัทลุง!M337"")"),4900)</f>
        <v>4900</v>
      </c>
      <c r="O442" s="176"/>
      <c r="P442" s="176"/>
    </row>
    <row r="443" spans="1:16" ht="21.75" customHeight="1" x14ac:dyDescent="0.35">
      <c r="A443" s="381"/>
      <c r="B443" s="382"/>
      <c r="C443" s="163"/>
      <c r="D443" s="383"/>
      <c r="E443" s="165"/>
      <c r="F443" s="165"/>
      <c r="G443" s="384" t="s">
        <v>134</v>
      </c>
      <c r="H443" s="167" t="s">
        <v>12</v>
      </c>
      <c r="I443" s="195"/>
      <c r="J443" s="195"/>
      <c r="K443" s="231"/>
      <c r="L443" s="176"/>
      <c r="M443" s="176"/>
      <c r="N443" s="385">
        <f ca="1">IFERROR(__xludf.DUMMYFUNCTION("IMPORTRANGE(""https://docs.google.com/spreadsheets/d/1IYY_tgx_IHuhSq3AJ5eI5OnqOPBNLWSHKh2a30DoXe8/edit?usp=sharing"",""พัทลุง!M338"")"),4900)</f>
        <v>4900</v>
      </c>
      <c r="O443" s="176"/>
      <c r="P443" s="176"/>
    </row>
    <row r="444" spans="1:16" ht="21.75" customHeight="1" x14ac:dyDescent="0.35">
      <c r="A444" s="183"/>
      <c r="B444" s="184"/>
      <c r="C444" s="163" t="s">
        <v>16</v>
      </c>
      <c r="D444" s="185" t="s">
        <v>44</v>
      </c>
      <c r="E444" s="186"/>
      <c r="F444" s="186"/>
      <c r="G444" s="187"/>
      <c r="H444" s="188"/>
      <c r="I444" s="168"/>
      <c r="J444" s="168"/>
      <c r="K444" s="169"/>
      <c r="L444" s="189"/>
      <c r="M444" s="189"/>
      <c r="N444" s="189"/>
      <c r="O444" s="189"/>
      <c r="P444" s="189"/>
    </row>
    <row r="445" spans="1:16" ht="21.75" customHeight="1" x14ac:dyDescent="0.35">
      <c r="A445" s="183"/>
      <c r="B445" s="184"/>
      <c r="C445" s="184"/>
      <c r="D445" s="190">
        <v>1</v>
      </c>
      <c r="E445" s="191" t="s">
        <v>45</v>
      </c>
      <c r="F445" s="192"/>
      <c r="G445" s="193"/>
      <c r="H445" s="194"/>
      <c r="I445" s="195"/>
      <c r="J445" s="217">
        <f ca="1">IFERROR(__xludf.DUMMYFUNCTION("IMPORTRANGE(""https://docs.google.com/spreadsheets/d/1IYY_tgx_IHuhSq3AJ5eI5OnqOPBNLWSHKh2a30DoXe8/edit?usp=sharing"",""พัทลุง!J340"")"),0)</f>
        <v>0</v>
      </c>
      <c r="K445" s="169"/>
      <c r="L445" s="189"/>
      <c r="M445" s="189"/>
      <c r="N445" s="189"/>
      <c r="O445" s="189"/>
      <c r="P445" s="189"/>
    </row>
    <row r="446" spans="1:16" ht="21.75" customHeight="1" x14ac:dyDescent="0.35">
      <c r="A446" s="183"/>
      <c r="B446" s="184"/>
      <c r="C446" s="184"/>
      <c r="D446" s="197">
        <v>2</v>
      </c>
      <c r="E446" s="198" t="s">
        <v>46</v>
      </c>
      <c r="F446" s="199"/>
      <c r="G446" s="200"/>
      <c r="H446" s="194"/>
      <c r="I446" s="195"/>
      <c r="J446" s="419">
        <f ca="1">IFERROR(__xludf.DUMMYFUNCTION("IMPORTRANGE(""https://docs.google.com/spreadsheets/d/1IYY_tgx_IHuhSq3AJ5eI5OnqOPBNLWSHKh2a30DoXe8/edit?usp=sharing"",""พัทลุง!J341"")"),1)</f>
        <v>1</v>
      </c>
      <c r="K446" s="169"/>
      <c r="L446" s="189" t="s">
        <v>40</v>
      </c>
      <c r="M446" s="189"/>
      <c r="N446" s="189" t="s">
        <v>40</v>
      </c>
      <c r="O446" s="189"/>
      <c r="P446" s="189"/>
    </row>
    <row r="447" spans="1:16" ht="21.75" customHeight="1" x14ac:dyDescent="0.35">
      <c r="A447" s="183"/>
      <c r="B447" s="184"/>
      <c r="C447" s="184"/>
      <c r="D447" s="201"/>
      <c r="E447" s="202" t="s">
        <v>161</v>
      </c>
      <c r="F447" s="203"/>
      <c r="G447" s="204"/>
      <c r="H447" s="194"/>
      <c r="I447" s="195"/>
      <c r="J447" s="196">
        <f ca="1">IFERROR(__xludf.DUMMYFUNCTION("IMPORTRANGE(""https://docs.google.com/spreadsheets/d/1IYY_tgx_IHuhSq3AJ5eI5OnqOPBNLWSHKh2a30DoXe8/edit?usp=sharing"",""พัทลุง!J342"")"),1)</f>
        <v>1</v>
      </c>
      <c r="K447" s="169"/>
      <c r="L447" s="189"/>
      <c r="M447" s="189"/>
      <c r="N447" s="189"/>
      <c r="O447" s="189"/>
      <c r="P447" s="189"/>
    </row>
    <row r="448" spans="1:16" ht="21.75" customHeight="1" x14ac:dyDescent="0.35">
      <c r="A448" s="183"/>
      <c r="B448" s="184"/>
      <c r="C448" s="184"/>
      <c r="D448" s="201"/>
      <c r="E448" s="202" t="s">
        <v>48</v>
      </c>
      <c r="F448" s="203"/>
      <c r="G448" s="204"/>
      <c r="H448" s="194"/>
      <c r="I448" s="195"/>
      <c r="J448" s="196">
        <f ca="1">IFERROR(__xludf.DUMMYFUNCTION("IMPORTRANGE(""https://docs.google.com/spreadsheets/d/1IYY_tgx_IHuhSq3AJ5eI5OnqOPBNLWSHKh2a30DoXe8/edit?usp=sharing"",""พัทลุง!J343"")"),1)</f>
        <v>1</v>
      </c>
      <c r="K448" s="169"/>
      <c r="L448" s="189"/>
      <c r="M448" s="189"/>
      <c r="N448" s="189"/>
      <c r="O448" s="189"/>
      <c r="P448" s="189"/>
    </row>
    <row r="449" spans="1:16" ht="21.75" customHeight="1" x14ac:dyDescent="0.35">
      <c r="A449" s="183"/>
      <c r="B449" s="184"/>
      <c r="C449" s="184"/>
      <c r="D449" s="201"/>
      <c r="E449" s="206"/>
      <c r="F449" s="420" t="s">
        <v>101</v>
      </c>
      <c r="G449" s="204"/>
      <c r="H449" s="194" t="s">
        <v>37</v>
      </c>
      <c r="I449" s="397">
        <f ca="1">IFERROR(__xludf.DUMMYFUNCTION("IMPORTRANGE(""https://docs.google.com/spreadsheets/d/1IYY_tgx_IHuhSq3AJ5eI5OnqOPBNLWSHKh2a30DoXe8/edit?usp=sharing"",""พัทลุง!I344"")"),25)</f>
        <v>25</v>
      </c>
      <c r="J449" s="208">
        <f ca="1">IFERROR(__xludf.DUMMYFUNCTION("IMPORTRANGE(""https://docs.google.com/spreadsheets/d/1IYY_tgx_IHuhSq3AJ5eI5OnqOPBNLWSHKh2a30DoXe8/edit?usp=sharing"",""พัทลุง!J344"")"),25)</f>
        <v>25</v>
      </c>
      <c r="K449" s="169">
        <f t="shared" ref="K449:K452" ca="1" si="115">IF(I449&gt;0,J449*100/I449,0)</f>
        <v>100</v>
      </c>
      <c r="L449" s="189"/>
      <c r="M449" s="189"/>
      <c r="N449" s="189"/>
      <c r="O449" s="189"/>
      <c r="P449" s="189"/>
    </row>
    <row r="450" spans="1:16" ht="21.75" customHeight="1" x14ac:dyDescent="0.35">
      <c r="A450" s="183"/>
      <c r="B450" s="184"/>
      <c r="C450" s="184"/>
      <c r="D450" s="201"/>
      <c r="E450" s="206"/>
      <c r="F450" s="203"/>
      <c r="G450" s="233" t="s">
        <v>162</v>
      </c>
      <c r="H450" s="194" t="s">
        <v>37</v>
      </c>
      <c r="I450" s="347">
        <f ca="1">IFERROR(__xludf.DUMMYFUNCTION("IMPORTRANGE(""https://docs.google.com/spreadsheets/d/1IYY_tgx_IHuhSq3AJ5eI5OnqOPBNLWSHKh2a30DoXe8/edit?usp=sharing"",""พัทลุง!I345"")"),25)</f>
        <v>25</v>
      </c>
      <c r="J450" s="196">
        <f ca="1">IFERROR(__xludf.DUMMYFUNCTION("IMPORTRANGE(""https://docs.google.com/spreadsheets/d/1IYY_tgx_IHuhSq3AJ5eI5OnqOPBNLWSHKh2a30DoXe8/edit?usp=sharing"",""พัทลุง!J345"")"),25)</f>
        <v>25</v>
      </c>
      <c r="K450" s="169">
        <f t="shared" ca="1" si="115"/>
        <v>100</v>
      </c>
      <c r="L450" s="189"/>
      <c r="M450" s="189"/>
      <c r="N450" s="189"/>
      <c r="O450" s="189"/>
      <c r="P450" s="189"/>
    </row>
    <row r="451" spans="1:16" ht="21.75" customHeight="1" x14ac:dyDescent="0.35">
      <c r="A451" s="183"/>
      <c r="B451" s="184"/>
      <c r="C451" s="184"/>
      <c r="D451" s="201"/>
      <c r="E451" s="206"/>
      <c r="F451" s="203"/>
      <c r="G451" s="287" t="s">
        <v>163</v>
      </c>
      <c r="H451" s="194" t="s">
        <v>37</v>
      </c>
      <c r="I451" s="347">
        <f ca="1">IFERROR(__xludf.DUMMYFUNCTION("IMPORTRANGE(""https://docs.google.com/spreadsheets/d/1IYY_tgx_IHuhSq3AJ5eI5OnqOPBNLWSHKh2a30DoXe8/edit?usp=sharing"",""พัทลุง!I346"")"),0)</f>
        <v>0</v>
      </c>
      <c r="J451" s="195">
        <f ca="1">IFERROR(__xludf.DUMMYFUNCTION("IMPORTRANGE(""https://docs.google.com/spreadsheets/d/1IYY_tgx_IHuhSq3AJ5eI5OnqOPBNLWSHKh2a30DoXe8/edit?usp=sharing"",""พัทลุง!J346"")"),0)</f>
        <v>0</v>
      </c>
      <c r="K451" s="169">
        <f t="shared" ca="1" si="115"/>
        <v>0</v>
      </c>
      <c r="L451" s="189"/>
      <c r="M451" s="189"/>
      <c r="N451" s="189"/>
      <c r="O451" s="189"/>
      <c r="P451" s="189"/>
    </row>
    <row r="452" spans="1:16" ht="21.75" customHeight="1" x14ac:dyDescent="0.35">
      <c r="A452" s="183"/>
      <c r="B452" s="184"/>
      <c r="C452" s="184"/>
      <c r="D452" s="201"/>
      <c r="E452" s="206"/>
      <c r="F452" s="203"/>
      <c r="G452" s="204" t="s">
        <v>164</v>
      </c>
      <c r="H452" s="194" t="s">
        <v>37</v>
      </c>
      <c r="I452" s="195">
        <f ca="1">IFERROR(__xludf.DUMMYFUNCTION("IMPORTRANGE(""https://docs.google.com/spreadsheets/d/1IYY_tgx_IHuhSq3AJ5eI5OnqOPBNLWSHKh2a30DoXe8/edit?usp=sharing"",""พัทลุง!I347"")"),0)</f>
        <v>0</v>
      </c>
      <c r="J452" s="195">
        <f ca="1">IFERROR(__xludf.DUMMYFUNCTION("IMPORTRANGE(""https://docs.google.com/spreadsheets/d/1IYY_tgx_IHuhSq3AJ5eI5OnqOPBNLWSHKh2a30DoXe8/edit?usp=sharing"",""พัทลุง!J347"")"),0)</f>
        <v>0</v>
      </c>
      <c r="K452" s="169">
        <f t="shared" ca="1" si="115"/>
        <v>0</v>
      </c>
      <c r="L452" s="189"/>
      <c r="M452" s="189"/>
      <c r="N452" s="189"/>
      <c r="O452" s="189"/>
      <c r="P452" s="189"/>
    </row>
    <row r="453" spans="1:16" ht="21.75" customHeight="1" x14ac:dyDescent="0.35">
      <c r="A453" s="183"/>
      <c r="B453" s="184"/>
      <c r="C453" s="184"/>
      <c r="D453" s="201"/>
      <c r="E453" s="202" t="s">
        <v>54</v>
      </c>
      <c r="F453" s="203"/>
      <c r="G453" s="204"/>
      <c r="H453" s="194"/>
      <c r="I453" s="195"/>
      <c r="J453" s="205">
        <f ca="1">IFERROR(__xludf.DUMMYFUNCTION("IMPORTRANGE(""https://docs.google.com/spreadsheets/d/1IYY_tgx_IHuhSq3AJ5eI5OnqOPBNLWSHKh2a30DoXe8/edit?usp=sharing"",""พัทลุง!J348"")"),0)</f>
        <v>0</v>
      </c>
      <c r="K453" s="169"/>
      <c r="L453" s="189"/>
      <c r="M453" s="189"/>
      <c r="N453" s="189"/>
      <c r="O453" s="189"/>
      <c r="P453" s="189"/>
    </row>
    <row r="454" spans="1:16" ht="21.75" customHeight="1" x14ac:dyDescent="0.35">
      <c r="A454" s="183"/>
      <c r="B454" s="184"/>
      <c r="C454" s="184"/>
      <c r="D454" s="213">
        <v>3</v>
      </c>
      <c r="E454" s="214" t="s">
        <v>55</v>
      </c>
      <c r="F454" s="215"/>
      <c r="G454" s="216"/>
      <c r="H454" s="194"/>
      <c r="I454" s="195"/>
      <c r="J454" s="217">
        <f ca="1">IFERROR(__xludf.DUMMYFUNCTION("IMPORTRANGE(""https://docs.google.com/spreadsheets/d/1IYY_tgx_IHuhSq3AJ5eI5OnqOPBNLWSHKh2a30DoXe8/edit?usp=sharing"",""พัทลุง!J349"")"),0)</f>
        <v>0</v>
      </c>
      <c r="K454" s="169"/>
      <c r="L454" s="189"/>
      <c r="M454" s="189"/>
      <c r="N454" s="189"/>
      <c r="O454" s="189"/>
      <c r="P454" s="189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IFERROR(__xludf.DUMMYFUNCTION("IMPORTRANGE(""https://docs.google.com/spreadsheets/d/1IYY_tgx_IHuhSq3AJ5eI5OnqOPBNLWSHKh2a30DoXe8/edit?usp=sharing"",""พัทลุง!I350"")"),29774)</f>
        <v>29774</v>
      </c>
      <c r="J455" s="377">
        <f ca="1">IFERROR(__xludf.DUMMYFUNCTION("IMPORTRANGE(""https://docs.google.com/spreadsheets/d/1IYY_tgx_IHuhSq3AJ5eI5OnqOPBNLWSHKh2a30DoXe8/edit?usp=sharing"",""พัทลุง!J350"")"),29775)</f>
        <v>29775</v>
      </c>
      <c r="K455" s="378">
        <f ca="1">IF(I455&gt;0,J455*100/I455,0)</f>
        <v>100.00335863505072</v>
      </c>
      <c r="L455" s="379">
        <f ca="1">IFERROR(__xludf.DUMMYFUNCTION("IMPORTRANGE(""https://docs.google.com/spreadsheets/d/1IYY_tgx_IHuhSq3AJ5eI5OnqOPBNLWSHKh2a30DoXe8/edit?usp=sharing"",""พัทลุง!L350"")"),361252)</f>
        <v>361252</v>
      </c>
      <c r="M455" s="379"/>
      <c r="N455" s="379">
        <f ca="1">IFERROR(__xludf.DUMMYFUNCTION("IMPORTRANGE(""https://docs.google.com/spreadsheets/d/1IYY_tgx_IHuhSq3AJ5eI5OnqOPBNLWSHKh2a30DoXe8/edit?usp=sharing"",""พัทลุง!M350"")"),79531.47)</f>
        <v>79531.47</v>
      </c>
      <c r="O455" s="379">
        <f t="shared" ref="O455:O459" ca="1" si="116">+IF(L455&gt;0,N455*100/L455,0)</f>
        <v>22.015509948733847</v>
      </c>
      <c r="P455" s="379"/>
    </row>
    <row r="456" spans="1:16" ht="21.75" customHeight="1" x14ac:dyDescent="0.35">
      <c r="A456" s="162"/>
      <c r="B456" s="163"/>
      <c r="C456" s="163" t="s">
        <v>16</v>
      </c>
      <c r="D456" s="164" t="s">
        <v>38</v>
      </c>
      <c r="E456" s="165"/>
      <c r="F456" s="165"/>
      <c r="G456" s="166" t="s">
        <v>39</v>
      </c>
      <c r="H456" s="167" t="s">
        <v>12</v>
      </c>
      <c r="I456" s="168" t="s">
        <v>40</v>
      </c>
      <c r="J456" s="168"/>
      <c r="K456" s="169"/>
      <c r="L456" s="170">
        <f ca="1">IFERROR(__xludf.DUMMYFUNCTION("IMPORTRANGE(""https://docs.google.com/spreadsheets/d/1IYY_tgx_IHuhSq3AJ5eI5OnqOPBNLWSHKh2a30DoXe8/edit?usp=sharing"",""พัทลุง!L351"")"),0)</f>
        <v>0</v>
      </c>
      <c r="M456" s="170"/>
      <c r="N456" s="176">
        <f ca="1">IFERROR(__xludf.DUMMYFUNCTION("IMPORTRANGE(""https://docs.google.com/spreadsheets/d/1IYY_tgx_IHuhSq3AJ5eI5OnqOPBNLWSHKh2a30DoXe8/edit?usp=sharing"",""พัทลุง!M351"")"),0)</f>
        <v>0</v>
      </c>
      <c r="O456" s="176">
        <f t="shared" ca="1" si="116"/>
        <v>0</v>
      </c>
      <c r="P456" s="176"/>
    </row>
    <row r="457" spans="1:16" ht="21.75" customHeight="1" x14ac:dyDescent="0.35">
      <c r="A457" s="162"/>
      <c r="B457" s="163"/>
      <c r="C457" s="163"/>
      <c r="D457" s="172"/>
      <c r="E457" s="165"/>
      <c r="F457" s="165" t="s">
        <v>40</v>
      </c>
      <c r="G457" s="166" t="s">
        <v>41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IFERROR(__xludf.DUMMYFUNCTION("IMPORTRANGE(""https://docs.google.com/spreadsheets/d/1IYY_tgx_IHuhSq3AJ5eI5OnqOPBNLWSHKh2a30DoXe8/edit?usp=sharing"",""พัทลุง!L352"")"),361252)</f>
        <v>361252</v>
      </c>
      <c r="M457" s="171"/>
      <c r="N457" s="176">
        <f ca="1">IFERROR(__xludf.DUMMYFUNCTION("IMPORTRANGE(""https://docs.google.com/spreadsheets/d/1IYY_tgx_IHuhSq3AJ5eI5OnqOPBNLWSHKh2a30DoXe8/edit?usp=sharing"",""พัทลุง!M352"")"),79531.47)</f>
        <v>79531.47</v>
      </c>
      <c r="O457" s="176">
        <f t="shared" ca="1" si="116"/>
        <v>22.015509948733847</v>
      </c>
      <c r="P457" s="176"/>
    </row>
    <row r="458" spans="1:16" ht="21.75" customHeight="1" x14ac:dyDescent="0.35">
      <c r="A458" s="162"/>
      <c r="B458" s="163"/>
      <c r="C458" s="163"/>
      <c r="D458" s="172"/>
      <c r="E458" s="165"/>
      <c r="F458" s="165"/>
      <c r="G458" s="380" t="s">
        <v>129</v>
      </c>
      <c r="H458" s="167" t="s">
        <v>12</v>
      </c>
      <c r="I458" s="168"/>
      <c r="J458" s="168"/>
      <c r="K458" s="169"/>
      <c r="L458" s="176">
        <f ca="1">IFERROR(__xludf.DUMMYFUNCTION("IMPORTRANGE(""https://docs.google.com/spreadsheets/d/1IYY_tgx_IHuhSq3AJ5eI5OnqOPBNLWSHKh2a30DoXe8/edit?usp=sharing"",""พัทลุง!L353"")"),0)</f>
        <v>0</v>
      </c>
      <c r="M458" s="176"/>
      <c r="N458" s="176">
        <f ca="1">IFERROR(__xludf.DUMMYFUNCTION("IMPORTRANGE(""https://docs.google.com/spreadsheets/d/1IYY_tgx_IHuhSq3AJ5eI5OnqOPBNLWSHKh2a30DoXe8/edit?usp=sharing"",""พัทลุง!M353"")"),0)</f>
        <v>0</v>
      </c>
      <c r="O458" s="176">
        <f t="shared" ca="1" si="116"/>
        <v>0</v>
      </c>
      <c r="P458" s="176"/>
    </row>
    <row r="459" spans="1:16" ht="21.75" customHeight="1" x14ac:dyDescent="0.35">
      <c r="A459" s="162"/>
      <c r="B459" s="163"/>
      <c r="C459" s="163"/>
      <c r="D459" s="172"/>
      <c r="E459" s="165"/>
      <c r="F459" s="165"/>
      <c r="G459" s="380" t="s">
        <v>130</v>
      </c>
      <c r="H459" s="167" t="s">
        <v>12</v>
      </c>
      <c r="I459" s="168"/>
      <c r="J459" s="168"/>
      <c r="K459" s="169"/>
      <c r="L459" s="176">
        <f ca="1">IFERROR(__xludf.DUMMYFUNCTION("IMPORTRANGE(""https://docs.google.com/spreadsheets/d/1IYY_tgx_IHuhSq3AJ5eI5OnqOPBNLWSHKh2a30DoXe8/edit?usp=sharing"",""พัทลุง!L354"")"),361252)</f>
        <v>361252</v>
      </c>
      <c r="M459" s="176"/>
      <c r="N459" s="176">
        <f ca="1">IFERROR(__xludf.DUMMYFUNCTION("IMPORTRANGE(""https://docs.google.com/spreadsheets/d/1IYY_tgx_IHuhSq3AJ5eI5OnqOPBNLWSHKh2a30DoXe8/edit?usp=sharing"",""พัทลุง!M354"")"),79531.47)</f>
        <v>79531.47</v>
      </c>
      <c r="O459" s="176">
        <f t="shared" ca="1" si="116"/>
        <v>22.015509948733847</v>
      </c>
      <c r="P459" s="176"/>
    </row>
    <row r="460" spans="1:16" ht="21.75" customHeight="1" x14ac:dyDescent="0.35">
      <c r="A460" s="381"/>
      <c r="B460" s="382"/>
      <c r="C460" s="163"/>
      <c r="D460" s="383"/>
      <c r="E460" s="165"/>
      <c r="F460" s="165"/>
      <c r="G460" s="384" t="s">
        <v>131</v>
      </c>
      <c r="H460" s="167" t="s">
        <v>12</v>
      </c>
      <c r="I460" s="195"/>
      <c r="J460" s="195"/>
      <c r="K460" s="231"/>
      <c r="L460" s="176"/>
      <c r="M460" s="176"/>
      <c r="N460" s="173">
        <f ca="1">IFERROR(__xludf.DUMMYFUNCTION("IMPORTRANGE(""https://docs.google.com/spreadsheets/d/1IYY_tgx_IHuhSq3AJ5eI5OnqOPBNLWSHKh2a30DoXe8/edit?usp=sharing"",""พัทลุง!M355"")"),0)</f>
        <v>0</v>
      </c>
      <c r="O460" s="176"/>
      <c r="P460" s="176"/>
    </row>
    <row r="461" spans="1:16" ht="21.75" customHeight="1" x14ac:dyDescent="0.35">
      <c r="A461" s="381"/>
      <c r="B461" s="382"/>
      <c r="C461" s="163"/>
      <c r="D461" s="383"/>
      <c r="E461" s="165"/>
      <c r="F461" s="165"/>
      <c r="G461" s="384" t="s">
        <v>132</v>
      </c>
      <c r="H461" s="167" t="s">
        <v>12</v>
      </c>
      <c r="I461" s="195"/>
      <c r="J461" s="195"/>
      <c r="K461" s="231"/>
      <c r="L461" s="176"/>
      <c r="M461" s="176"/>
      <c r="N461" s="173">
        <f ca="1">IFERROR(__xludf.DUMMYFUNCTION("IMPORTRANGE(""https://docs.google.com/spreadsheets/d/1IYY_tgx_IHuhSq3AJ5eI5OnqOPBNLWSHKh2a30DoXe8/edit?usp=sharing"",""พัทลุง!M356"")"),0)</f>
        <v>0</v>
      </c>
      <c r="O461" s="176"/>
      <c r="P461" s="176"/>
    </row>
    <row r="462" spans="1:16" ht="21.75" customHeight="1" x14ac:dyDescent="0.35">
      <c r="A462" s="381"/>
      <c r="B462" s="382"/>
      <c r="C462" s="163"/>
      <c r="D462" s="383"/>
      <c r="E462" s="165"/>
      <c r="F462" s="165"/>
      <c r="G462" s="384" t="s">
        <v>133</v>
      </c>
      <c r="H462" s="167" t="s">
        <v>12</v>
      </c>
      <c r="I462" s="195"/>
      <c r="J462" s="195"/>
      <c r="K462" s="231"/>
      <c r="L462" s="176"/>
      <c r="M462" s="176"/>
      <c r="N462" s="385">
        <f ca="1">IFERROR(__xludf.DUMMYFUNCTION("IMPORTRANGE(""https://docs.google.com/spreadsheets/d/1IYY_tgx_IHuhSq3AJ5eI5OnqOPBNLWSHKh2a30DoXe8/edit?usp=sharing"",""พัทลุง!M357"")"),41504.47)</f>
        <v>41504.47</v>
      </c>
      <c r="O462" s="176"/>
      <c r="P462" s="176"/>
    </row>
    <row r="463" spans="1:16" ht="21.75" customHeight="1" x14ac:dyDescent="0.35">
      <c r="A463" s="381"/>
      <c r="B463" s="382"/>
      <c r="C463" s="163"/>
      <c r="D463" s="383"/>
      <c r="E463" s="165"/>
      <c r="F463" s="165"/>
      <c r="G463" s="384" t="s">
        <v>134</v>
      </c>
      <c r="H463" s="167" t="s">
        <v>12</v>
      </c>
      <c r="I463" s="195"/>
      <c r="J463" s="195"/>
      <c r="K463" s="231"/>
      <c r="L463" s="176"/>
      <c r="M463" s="176"/>
      <c r="N463" s="385">
        <f ca="1">IFERROR(__xludf.DUMMYFUNCTION("IMPORTRANGE(""https://docs.google.com/spreadsheets/d/1IYY_tgx_IHuhSq3AJ5eI5OnqOPBNLWSHKh2a30DoXe8/edit?usp=sharing"",""พัทลุง!M358"")"),38027)</f>
        <v>38027</v>
      </c>
      <c r="O463" s="176"/>
      <c r="P463" s="176"/>
    </row>
    <row r="464" spans="1:16" ht="21.75" customHeight="1" x14ac:dyDescent="0.35">
      <c r="A464" s="183"/>
      <c r="B464" s="184"/>
      <c r="C464" s="421" t="s">
        <v>166</v>
      </c>
      <c r="D464" s="421"/>
      <c r="E464" s="422"/>
      <c r="F464" s="422"/>
      <c r="G464" s="423"/>
      <c r="H464" s="273" t="s">
        <v>122</v>
      </c>
      <c r="I464" s="274">
        <f ca="1">IFERROR(__xludf.DUMMYFUNCTION("IMPORTRANGE(""https://docs.google.com/spreadsheets/d/1IYY_tgx_IHuhSq3AJ5eI5OnqOPBNLWSHKh2a30DoXe8/edit?usp=sharing"",""พัทลุง!I359"")"),29774)</f>
        <v>29774</v>
      </c>
      <c r="J464" s="274">
        <f ca="1">IFERROR(__xludf.DUMMYFUNCTION("IMPORTRANGE(""https://docs.google.com/spreadsheets/d/1IYY_tgx_IHuhSq3AJ5eI5OnqOPBNLWSHKh2a30DoXe8/edit?usp=sharing"",""พัทลุง!J359"")"),29775)</f>
        <v>29775</v>
      </c>
      <c r="K464" s="275">
        <f t="shared" ref="K464:K515" ca="1" si="117">IF(I464&gt;0,J464*100/I464,0)</f>
        <v>100.00335863505072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1" t="s">
        <v>167</v>
      </c>
      <c r="F465" s="203"/>
      <c r="G465" s="204"/>
      <c r="H465" s="424" t="s">
        <v>122</v>
      </c>
      <c r="I465" s="425">
        <f ca="1">IFERROR(__xludf.DUMMYFUNCTION("IMPORTRANGE(""https://docs.google.com/spreadsheets/d/1IYY_tgx_IHuhSq3AJ5eI5OnqOPBNLWSHKh2a30DoXe8/edit?usp=sharing"",""พัทลุง!I360"")"),29774)</f>
        <v>29774</v>
      </c>
      <c r="J465" s="426">
        <f ca="1">IFERROR(__xludf.DUMMYFUNCTION("IMPORTRANGE(""https://docs.google.com/spreadsheets/d/1IYY_tgx_IHuhSq3AJ5eI5OnqOPBNLWSHKh2a30DoXe8/edit?usp=sharing"",""พัทลุง!J360"")"),29776)</f>
        <v>29776</v>
      </c>
      <c r="K465" s="209">
        <f t="shared" ca="1" si="117"/>
        <v>100.00671727010143</v>
      </c>
      <c r="L465" s="189"/>
      <c r="M465" s="189"/>
      <c r="N465" s="189"/>
      <c r="O465" s="189"/>
      <c r="P465" s="189"/>
    </row>
    <row r="466" spans="1:16" ht="21.75" customHeight="1" x14ac:dyDescent="0.35">
      <c r="A466" s="408"/>
      <c r="B466" s="409"/>
      <c r="C466" s="409"/>
      <c r="D466" s="410"/>
      <c r="E466" s="203"/>
      <c r="F466" s="203"/>
      <c r="G466" s="204"/>
      <c r="H466" s="424" t="s">
        <v>36</v>
      </c>
      <c r="I466" s="425">
        <f ca="1">IFERROR(__xludf.DUMMYFUNCTION("IMPORTRANGE(""https://docs.google.com/spreadsheets/d/1IYY_tgx_IHuhSq3AJ5eI5OnqOPBNLWSHKh2a30DoXe8/edit?usp=sharing"",""พัทลุง!I361"")"),5540)</f>
        <v>5540</v>
      </c>
      <c r="J466" s="426">
        <f ca="1">IFERROR(__xludf.DUMMYFUNCTION("IMPORTRANGE(""https://docs.google.com/spreadsheets/d/1IYY_tgx_IHuhSq3AJ5eI5OnqOPBNLWSHKh2a30DoXe8/edit?usp=sharing"",""พัทลุง!J361"")"),5540)</f>
        <v>5540</v>
      </c>
      <c r="K466" s="209">
        <f t="shared" ca="1" si="117"/>
        <v>100</v>
      </c>
      <c r="L466" s="189"/>
      <c r="M466" s="189"/>
      <c r="N466" s="189"/>
      <c r="O466" s="189"/>
      <c r="P466" s="189"/>
    </row>
    <row r="467" spans="1:16" ht="21.75" customHeight="1" x14ac:dyDescent="0.35">
      <c r="A467" s="408"/>
      <c r="B467" s="409"/>
      <c r="C467" s="409"/>
      <c r="D467" s="410"/>
      <c r="E467" s="203"/>
      <c r="F467" s="396" t="s">
        <v>168</v>
      </c>
      <c r="G467" s="427"/>
      <c r="H467" s="428" t="s">
        <v>122</v>
      </c>
      <c r="I467" s="210">
        <f ca="1">IFERROR(__xludf.DUMMYFUNCTION("IMPORTRANGE(""https://docs.google.com/spreadsheets/d/1IYY_tgx_IHuhSq3AJ5eI5OnqOPBNLWSHKh2a30DoXe8/edit?usp=sharing"",""พัทลุง!I362"")"),0)</f>
        <v>0</v>
      </c>
      <c r="J467" s="196">
        <f ca="1">IFERROR(__xludf.DUMMYFUNCTION("IMPORTRANGE(""https://docs.google.com/spreadsheets/d/1IYY_tgx_IHuhSq3AJ5eI5OnqOPBNLWSHKh2a30DoXe8/edit?usp=sharing"",""พัทลุง!J362"")"),25982)</f>
        <v>25982</v>
      </c>
      <c r="K467" s="169">
        <f t="shared" ca="1" si="117"/>
        <v>0</v>
      </c>
      <c r="L467" s="189"/>
      <c r="M467" s="189"/>
      <c r="N467" s="189"/>
      <c r="O467" s="189"/>
      <c r="P467" s="189"/>
    </row>
    <row r="468" spans="1:16" ht="21.75" customHeight="1" x14ac:dyDescent="0.35">
      <c r="A468" s="408"/>
      <c r="B468" s="409"/>
      <c r="C468" s="409"/>
      <c r="D468" s="410"/>
      <c r="E468" s="203"/>
      <c r="F468" s="203"/>
      <c r="G468" s="427"/>
      <c r="H468" s="428" t="s">
        <v>36</v>
      </c>
      <c r="I468" s="210">
        <f ca="1">IFERROR(__xludf.DUMMYFUNCTION("IMPORTRANGE(""https://docs.google.com/spreadsheets/d/1IYY_tgx_IHuhSq3AJ5eI5OnqOPBNLWSHKh2a30DoXe8/edit?usp=sharing"",""พัทลุง!I363"")"),0)</f>
        <v>0</v>
      </c>
      <c r="J468" s="196">
        <f ca="1">IFERROR(__xludf.DUMMYFUNCTION("IMPORTRANGE(""https://docs.google.com/spreadsheets/d/1IYY_tgx_IHuhSq3AJ5eI5OnqOPBNLWSHKh2a30DoXe8/edit?usp=sharing"",""พัทลุง!J363"")"),4969)</f>
        <v>4969</v>
      </c>
      <c r="K468" s="169">
        <f t="shared" ca="1" si="117"/>
        <v>0</v>
      </c>
      <c r="L468" s="189"/>
      <c r="M468" s="189"/>
      <c r="N468" s="189"/>
      <c r="O468" s="189"/>
      <c r="P468" s="189"/>
    </row>
    <row r="469" spans="1:16" ht="21.75" customHeight="1" x14ac:dyDescent="0.35">
      <c r="A469" s="408"/>
      <c r="B469" s="409"/>
      <c r="C469" s="409"/>
      <c r="D469" s="410"/>
      <c r="E469" s="203"/>
      <c r="F469" s="396" t="s">
        <v>169</v>
      </c>
      <c r="G469" s="427"/>
      <c r="H469" s="428" t="s">
        <v>122</v>
      </c>
      <c r="I469" s="210">
        <f ca="1">IFERROR(__xludf.DUMMYFUNCTION("IMPORTRANGE(""https://docs.google.com/spreadsheets/d/1IYY_tgx_IHuhSq3AJ5eI5OnqOPBNLWSHKh2a30DoXe8/edit?usp=sharing"",""พัทลุง!I364"")"),0)</f>
        <v>0</v>
      </c>
      <c r="J469" s="196">
        <f ca="1">IFERROR(__xludf.DUMMYFUNCTION("IMPORTRANGE(""https://docs.google.com/spreadsheets/d/1IYY_tgx_IHuhSq3AJ5eI5OnqOPBNLWSHKh2a30DoXe8/edit?usp=sharing"",""พัทลุง!J364"")"),3524)</f>
        <v>3524</v>
      </c>
      <c r="K469" s="169">
        <f t="shared" ca="1" si="117"/>
        <v>0</v>
      </c>
      <c r="L469" s="189"/>
      <c r="M469" s="189"/>
      <c r="N469" s="189"/>
      <c r="O469" s="189"/>
      <c r="P469" s="189"/>
    </row>
    <row r="470" spans="1:16" ht="21.75" customHeight="1" x14ac:dyDescent="0.35">
      <c r="A470" s="408"/>
      <c r="B470" s="409"/>
      <c r="C470" s="409"/>
      <c r="D470" s="410"/>
      <c r="E470" s="203"/>
      <c r="F470" s="203"/>
      <c r="G470" s="427"/>
      <c r="H470" s="428" t="s">
        <v>36</v>
      </c>
      <c r="I470" s="210">
        <f ca="1">IFERROR(__xludf.DUMMYFUNCTION("IMPORTRANGE(""https://docs.google.com/spreadsheets/d/1IYY_tgx_IHuhSq3AJ5eI5OnqOPBNLWSHKh2a30DoXe8/edit?usp=sharing"",""พัทลุง!I365"")"),0)</f>
        <v>0</v>
      </c>
      <c r="J470" s="196">
        <f ca="1">IFERROR(__xludf.DUMMYFUNCTION("IMPORTRANGE(""https://docs.google.com/spreadsheets/d/1IYY_tgx_IHuhSq3AJ5eI5OnqOPBNLWSHKh2a30DoXe8/edit?usp=sharing"",""พัทลุง!J365"")"),521)</f>
        <v>521</v>
      </c>
      <c r="K470" s="169">
        <f t="shared" ca="1" si="117"/>
        <v>0</v>
      </c>
      <c r="L470" s="189"/>
      <c r="M470" s="189"/>
      <c r="N470" s="189"/>
      <c r="O470" s="189"/>
      <c r="P470" s="189"/>
    </row>
    <row r="471" spans="1:16" ht="21.75" customHeight="1" x14ac:dyDescent="0.35">
      <c r="A471" s="408"/>
      <c r="B471" s="409"/>
      <c r="C471" s="409"/>
      <c r="D471" s="410"/>
      <c r="E471" s="203"/>
      <c r="F471" s="396" t="s">
        <v>170</v>
      </c>
      <c r="G471" s="427"/>
      <c r="H471" s="428" t="s">
        <v>122</v>
      </c>
      <c r="I471" s="210">
        <f ca="1">IFERROR(__xludf.DUMMYFUNCTION("IMPORTRANGE(""https://docs.google.com/spreadsheets/d/1IYY_tgx_IHuhSq3AJ5eI5OnqOPBNLWSHKh2a30DoXe8/edit?usp=sharing"",""พัทลุง!I366"")"),0)</f>
        <v>0</v>
      </c>
      <c r="J471" s="196">
        <f ca="1">IFERROR(__xludf.DUMMYFUNCTION("IMPORTRANGE(""https://docs.google.com/spreadsheets/d/1IYY_tgx_IHuhSq3AJ5eI5OnqOPBNLWSHKh2a30DoXe8/edit?usp=sharing"",""พัทลุง!J366"")"),270)</f>
        <v>270</v>
      </c>
      <c r="K471" s="169">
        <f t="shared" ca="1" si="117"/>
        <v>0</v>
      </c>
      <c r="L471" s="189"/>
      <c r="M471" s="189"/>
      <c r="N471" s="189"/>
      <c r="O471" s="189"/>
      <c r="P471" s="189"/>
    </row>
    <row r="472" spans="1:16" ht="21.75" customHeight="1" x14ac:dyDescent="0.35">
      <c r="A472" s="408"/>
      <c r="B472" s="409"/>
      <c r="C472" s="409"/>
      <c r="D472" s="410"/>
      <c r="E472" s="203"/>
      <c r="F472" s="203"/>
      <c r="G472" s="203"/>
      <c r="H472" s="428" t="s">
        <v>36</v>
      </c>
      <c r="I472" s="210">
        <f ca="1">IFERROR(__xludf.DUMMYFUNCTION("IMPORTRANGE(""https://docs.google.com/spreadsheets/d/1IYY_tgx_IHuhSq3AJ5eI5OnqOPBNLWSHKh2a30DoXe8/edit?usp=sharing"",""พัทลุง!I367"")"),0)</f>
        <v>0</v>
      </c>
      <c r="J472" s="196">
        <f ca="1">IFERROR(__xludf.DUMMYFUNCTION("IMPORTRANGE(""https://docs.google.com/spreadsheets/d/1IYY_tgx_IHuhSq3AJ5eI5OnqOPBNLWSHKh2a30DoXe8/edit?usp=sharing"",""พัทลุง!J367"")"),50)</f>
        <v>50</v>
      </c>
      <c r="K472" s="169">
        <f t="shared" ca="1" si="117"/>
        <v>0</v>
      </c>
      <c r="L472" s="189"/>
      <c r="M472" s="189"/>
      <c r="N472" s="189"/>
      <c r="O472" s="189"/>
      <c r="P472" s="189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3"/>
      <c r="G473" s="204"/>
      <c r="H473" s="424" t="s">
        <v>122</v>
      </c>
      <c r="I473" s="426">
        <f ca="1">IFERROR(__xludf.DUMMYFUNCTION("IMPORTRANGE(""https://docs.google.com/spreadsheets/d/1IYY_tgx_IHuhSq3AJ5eI5OnqOPBNLWSHKh2a30DoXe8/edit?usp=sharing"",""พัทลุง!I368"")"),29774)</f>
        <v>29774</v>
      </c>
      <c r="J473" s="426">
        <f ca="1">IFERROR(__xludf.DUMMYFUNCTION("IMPORTRANGE(""https://docs.google.com/spreadsheets/d/1IYY_tgx_IHuhSq3AJ5eI5OnqOPBNLWSHKh2a30DoXe8/edit?usp=sharing"",""พัทลุง!J368"")"),29775)</f>
        <v>29775</v>
      </c>
      <c r="K473" s="209">
        <f t="shared" ca="1" si="117"/>
        <v>100.00335863505072</v>
      </c>
      <c r="L473" s="189"/>
      <c r="M473" s="189"/>
      <c r="N473" s="189"/>
      <c r="O473" s="189"/>
      <c r="P473" s="189"/>
    </row>
    <row r="474" spans="1:16" ht="21.75" customHeight="1" x14ac:dyDescent="0.35">
      <c r="A474" s="408"/>
      <c r="B474" s="409"/>
      <c r="C474" s="409"/>
      <c r="D474" s="410"/>
      <c r="E474" s="203"/>
      <c r="F474" s="203"/>
      <c r="G474" s="204"/>
      <c r="H474" s="424" t="s">
        <v>36</v>
      </c>
      <c r="I474" s="425">
        <f ca="1">IFERROR(__xludf.DUMMYFUNCTION("IMPORTRANGE(""https://docs.google.com/spreadsheets/d/1IYY_tgx_IHuhSq3AJ5eI5OnqOPBNLWSHKh2a30DoXe8/edit?usp=sharing"",""พัทลุง!I369"")"),5540)</f>
        <v>5540</v>
      </c>
      <c r="J474" s="426">
        <f ca="1">IFERROR(__xludf.DUMMYFUNCTION("IMPORTRANGE(""https://docs.google.com/spreadsheets/d/1IYY_tgx_IHuhSq3AJ5eI5OnqOPBNLWSHKh2a30DoXe8/edit?usp=sharing"",""พัทลุง!J369"")"),5540)</f>
        <v>5540</v>
      </c>
      <c r="K474" s="169">
        <f t="shared" ca="1" si="117"/>
        <v>100</v>
      </c>
      <c r="L474" s="189"/>
      <c r="M474" s="189"/>
      <c r="N474" s="189"/>
      <c r="O474" s="189"/>
      <c r="P474" s="189"/>
    </row>
    <row r="475" spans="1:16" ht="21.75" customHeight="1" x14ac:dyDescent="0.35">
      <c r="A475" s="408"/>
      <c r="B475" s="409"/>
      <c r="C475" s="409"/>
      <c r="D475" s="410"/>
      <c r="E475" s="203"/>
      <c r="F475" s="202" t="s">
        <v>172</v>
      </c>
      <c r="G475" s="427"/>
      <c r="H475" s="428" t="s">
        <v>122</v>
      </c>
      <c r="I475" s="210">
        <f ca="1">IFERROR(__xludf.DUMMYFUNCTION("IMPORTRANGE(""https://docs.google.com/spreadsheets/d/1IYY_tgx_IHuhSq3AJ5eI5OnqOPBNLWSHKh2a30DoXe8/edit?usp=sharing"",""พัทลุง!I370"")"),0)</f>
        <v>0</v>
      </c>
      <c r="J475" s="196">
        <f ca="1">IFERROR(__xludf.DUMMYFUNCTION("IMPORTRANGE(""https://docs.google.com/spreadsheets/d/1IYY_tgx_IHuhSq3AJ5eI5OnqOPBNLWSHKh2a30DoXe8/edit?usp=sharing"",""พัทลุง!J370"")"),28752)</f>
        <v>28752</v>
      </c>
      <c r="K475" s="169">
        <f t="shared" ca="1" si="117"/>
        <v>0</v>
      </c>
      <c r="L475" s="189"/>
      <c r="M475" s="189"/>
      <c r="N475" s="189"/>
      <c r="O475" s="189"/>
      <c r="P475" s="189"/>
    </row>
    <row r="476" spans="1:16" ht="21.75" customHeight="1" x14ac:dyDescent="0.35">
      <c r="A476" s="408"/>
      <c r="B476" s="409"/>
      <c r="C476" s="409"/>
      <c r="D476" s="410"/>
      <c r="E476" s="203"/>
      <c r="F476" s="203"/>
      <c r="G476" s="427"/>
      <c r="H476" s="428" t="s">
        <v>36</v>
      </c>
      <c r="I476" s="210">
        <f ca="1">IFERROR(__xludf.DUMMYFUNCTION("IMPORTRANGE(""https://docs.google.com/spreadsheets/d/1IYY_tgx_IHuhSq3AJ5eI5OnqOPBNLWSHKh2a30DoXe8/edit?usp=sharing"",""พัทลุง!I371"")"),0)</f>
        <v>0</v>
      </c>
      <c r="J476" s="196">
        <f ca="1">IFERROR(__xludf.DUMMYFUNCTION("IMPORTRANGE(""https://docs.google.com/spreadsheets/d/1IYY_tgx_IHuhSq3AJ5eI5OnqOPBNLWSHKh2a30DoXe8/edit?usp=sharing"",""พัทลุง!J371"")"),5349)</f>
        <v>5349</v>
      </c>
      <c r="K476" s="169">
        <f t="shared" ca="1" si="117"/>
        <v>0</v>
      </c>
      <c r="L476" s="189"/>
      <c r="M476" s="189"/>
      <c r="N476" s="189"/>
      <c r="O476" s="189"/>
      <c r="P476" s="189"/>
    </row>
    <row r="477" spans="1:16" ht="21.75" customHeight="1" x14ac:dyDescent="0.35">
      <c r="A477" s="408"/>
      <c r="B477" s="409"/>
      <c r="C477" s="409"/>
      <c r="D477" s="410"/>
      <c r="E477" s="203"/>
      <c r="F477" s="202" t="s">
        <v>173</v>
      </c>
      <c r="G477" s="427"/>
      <c r="H477" s="428" t="s">
        <v>122</v>
      </c>
      <c r="I477" s="210">
        <f ca="1">IFERROR(__xludf.DUMMYFUNCTION("IMPORTRANGE(""https://docs.google.com/spreadsheets/d/1IYY_tgx_IHuhSq3AJ5eI5OnqOPBNLWSHKh2a30DoXe8/edit?usp=sharing"",""พัทลุง!I372"")"),0)</f>
        <v>0</v>
      </c>
      <c r="J477" s="196">
        <f ca="1">IFERROR(__xludf.DUMMYFUNCTION("IMPORTRANGE(""https://docs.google.com/spreadsheets/d/1IYY_tgx_IHuhSq3AJ5eI5OnqOPBNLWSHKh2a30DoXe8/edit?usp=sharing"",""พัทลุง!J372"")"),589)</f>
        <v>589</v>
      </c>
      <c r="K477" s="169">
        <f t="shared" ca="1" si="117"/>
        <v>0</v>
      </c>
      <c r="L477" s="189"/>
      <c r="M477" s="189"/>
      <c r="N477" s="189"/>
      <c r="O477" s="189"/>
      <c r="P477" s="189"/>
    </row>
    <row r="478" spans="1:16" ht="21.75" customHeight="1" x14ac:dyDescent="0.35">
      <c r="A478" s="408"/>
      <c r="B478" s="409"/>
      <c r="C478" s="409"/>
      <c r="D478" s="410"/>
      <c r="E478" s="203"/>
      <c r="F478" s="203"/>
      <c r="G478" s="427"/>
      <c r="H478" s="428" t="s">
        <v>36</v>
      </c>
      <c r="I478" s="210">
        <f ca="1">IFERROR(__xludf.DUMMYFUNCTION("IMPORTRANGE(""https://docs.google.com/spreadsheets/d/1IYY_tgx_IHuhSq3AJ5eI5OnqOPBNLWSHKh2a30DoXe8/edit?usp=sharing"",""พัทลุง!I373"")"),0)</f>
        <v>0</v>
      </c>
      <c r="J478" s="196">
        <f ca="1">IFERROR(__xludf.DUMMYFUNCTION("IMPORTRANGE(""https://docs.google.com/spreadsheets/d/1IYY_tgx_IHuhSq3AJ5eI5OnqOPBNLWSHKh2a30DoXe8/edit?usp=sharing"",""พัทลุง!J373"")"),123)</f>
        <v>123</v>
      </c>
      <c r="K478" s="169">
        <f t="shared" ca="1" si="117"/>
        <v>0</v>
      </c>
      <c r="L478" s="189"/>
      <c r="M478" s="189"/>
      <c r="N478" s="189"/>
      <c r="O478" s="189"/>
      <c r="P478" s="189"/>
    </row>
    <row r="479" spans="1:16" ht="21.75" customHeight="1" x14ac:dyDescent="0.35">
      <c r="A479" s="408"/>
      <c r="B479" s="409"/>
      <c r="C479" s="409"/>
      <c r="D479" s="410"/>
      <c r="E479" s="203"/>
      <c r="F479" s="202" t="s">
        <v>174</v>
      </c>
      <c r="G479" s="427"/>
      <c r="H479" s="428" t="s">
        <v>122</v>
      </c>
      <c r="I479" s="210">
        <f ca="1">IFERROR(__xludf.DUMMYFUNCTION("IMPORTRANGE(""https://docs.google.com/spreadsheets/d/1IYY_tgx_IHuhSq3AJ5eI5OnqOPBNLWSHKh2a30DoXe8/edit?usp=sharing"",""พัทลุง!I374"")"),0)</f>
        <v>0</v>
      </c>
      <c r="J479" s="196">
        <f ca="1">IFERROR(__xludf.DUMMYFUNCTION("IMPORTRANGE(""https://docs.google.com/spreadsheets/d/1IYY_tgx_IHuhSq3AJ5eI5OnqOPBNLWSHKh2a30DoXe8/edit?usp=sharing"",""พัทลุง!J374"")"),434)</f>
        <v>434</v>
      </c>
      <c r="K479" s="169">
        <f t="shared" ca="1" si="117"/>
        <v>0</v>
      </c>
      <c r="L479" s="189"/>
      <c r="M479" s="189"/>
      <c r="N479" s="189"/>
      <c r="O479" s="189"/>
      <c r="P479" s="189"/>
    </row>
    <row r="480" spans="1:16" ht="21.75" customHeight="1" x14ac:dyDescent="0.35">
      <c r="A480" s="408"/>
      <c r="B480" s="409"/>
      <c r="C480" s="409"/>
      <c r="D480" s="410"/>
      <c r="E480" s="203"/>
      <c r="F480" s="203"/>
      <c r="G480" s="204"/>
      <c r="H480" s="428" t="s">
        <v>36</v>
      </c>
      <c r="I480" s="210">
        <f ca="1">IFERROR(__xludf.DUMMYFUNCTION("IMPORTRANGE(""https://docs.google.com/spreadsheets/d/1IYY_tgx_IHuhSq3AJ5eI5OnqOPBNLWSHKh2a30DoXe8/edit?usp=sharing"",""พัทลุง!I375"")"),0)</f>
        <v>0</v>
      </c>
      <c r="J480" s="196">
        <f ca="1">IFERROR(__xludf.DUMMYFUNCTION("IMPORTRANGE(""https://docs.google.com/spreadsheets/d/1IYY_tgx_IHuhSq3AJ5eI5OnqOPBNLWSHKh2a30DoXe8/edit?usp=sharing"",""พัทลุง!J375"")"),68)</f>
        <v>68</v>
      </c>
      <c r="K480" s="169">
        <f t="shared" ca="1" si="117"/>
        <v>0</v>
      </c>
      <c r="L480" s="189"/>
      <c r="M480" s="189"/>
      <c r="N480" s="189"/>
      <c r="O480" s="189"/>
      <c r="P480" s="189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IFERROR(__xludf.DUMMYFUNCTION("IMPORTRANGE(""https://docs.google.com/spreadsheets/d/1IYY_tgx_IHuhSq3AJ5eI5OnqOPBNLWSHKh2a30DoXe8/edit?usp=sharing"",""พัทลุง!I376"")"),29774)</f>
        <v>29774</v>
      </c>
      <c r="J481" s="426">
        <f ca="1">IFERROR(__xludf.DUMMYFUNCTION("IMPORTRANGE(""https://docs.google.com/spreadsheets/d/1IYY_tgx_IHuhSq3AJ5eI5OnqOPBNLWSHKh2a30DoXe8/edit?usp=sharing"",""พัทลุง!J376"")"),29775)</f>
        <v>29775</v>
      </c>
      <c r="K481" s="209">
        <f t="shared" ca="1" si="117"/>
        <v>100.00335863505072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3"/>
      <c r="F482" s="203"/>
      <c r="G482" s="204"/>
      <c r="H482" s="424" t="s">
        <v>36</v>
      </c>
      <c r="I482" s="425">
        <f ca="1">IFERROR(__xludf.DUMMYFUNCTION("IMPORTRANGE(""https://docs.google.com/spreadsheets/d/1IYY_tgx_IHuhSq3AJ5eI5OnqOPBNLWSHKh2a30DoXe8/edit?usp=sharing"",""พัทลุง!I377"")"),5540)</f>
        <v>5540</v>
      </c>
      <c r="J482" s="426">
        <f ca="1">IFERROR(__xludf.DUMMYFUNCTION("IMPORTRANGE(""https://docs.google.com/spreadsheets/d/1IYY_tgx_IHuhSq3AJ5eI5OnqOPBNLWSHKh2a30DoXe8/edit?usp=sharing"",""พัทลุง!J377"")"),5540)</f>
        <v>5540</v>
      </c>
      <c r="K482" s="169">
        <f t="shared" ca="1" si="117"/>
        <v>100</v>
      </c>
      <c r="L482" s="189"/>
      <c r="M482" s="189"/>
      <c r="N482" s="189"/>
      <c r="O482" s="189"/>
      <c r="P482" s="189"/>
    </row>
    <row r="483" spans="1:16" ht="21.75" customHeight="1" x14ac:dyDescent="0.35">
      <c r="A483" s="408"/>
      <c r="B483" s="409"/>
      <c r="C483" s="409"/>
      <c r="D483" s="410"/>
      <c r="E483" s="203"/>
      <c r="F483" s="202" t="s">
        <v>176</v>
      </c>
      <c r="G483" s="427"/>
      <c r="H483" s="428" t="s">
        <v>122</v>
      </c>
      <c r="I483" s="210">
        <f ca="1">IFERROR(__xludf.DUMMYFUNCTION("IMPORTRANGE(""https://docs.google.com/spreadsheets/d/1IYY_tgx_IHuhSq3AJ5eI5OnqOPBNLWSHKh2a30DoXe8/edit?usp=sharing"",""พัทลุง!I378"")"),0)</f>
        <v>0</v>
      </c>
      <c r="J483" s="196">
        <f ca="1">IFERROR(__xludf.DUMMYFUNCTION("IMPORTRANGE(""https://docs.google.com/spreadsheets/d/1IYY_tgx_IHuhSq3AJ5eI5OnqOPBNLWSHKh2a30DoXe8/edit?usp=sharing"",""พัทลุง!J378"")"),26399)</f>
        <v>26399</v>
      </c>
      <c r="K483" s="169">
        <f t="shared" ca="1" si="117"/>
        <v>0</v>
      </c>
      <c r="L483" s="189"/>
      <c r="M483" s="189"/>
      <c r="N483" s="189"/>
      <c r="O483" s="189"/>
      <c r="P483" s="189"/>
    </row>
    <row r="484" spans="1:16" ht="21.75" customHeight="1" x14ac:dyDescent="0.35">
      <c r="A484" s="408"/>
      <c r="B484" s="409"/>
      <c r="C484" s="409"/>
      <c r="D484" s="410"/>
      <c r="E484" s="203"/>
      <c r="F484" s="203"/>
      <c r="G484" s="427"/>
      <c r="H484" s="428" t="s">
        <v>36</v>
      </c>
      <c r="I484" s="210">
        <f ca="1">IFERROR(__xludf.DUMMYFUNCTION("IMPORTRANGE(""https://docs.google.com/spreadsheets/d/1IYY_tgx_IHuhSq3AJ5eI5OnqOPBNLWSHKh2a30DoXe8/edit?usp=sharing"",""พัทลุง!I379"")"),0)</f>
        <v>0</v>
      </c>
      <c r="J484" s="196">
        <f ca="1">IFERROR(__xludf.DUMMYFUNCTION("IMPORTRANGE(""https://docs.google.com/spreadsheets/d/1IYY_tgx_IHuhSq3AJ5eI5OnqOPBNLWSHKh2a30DoXe8/edit?usp=sharing"",""พัทลุง!J379"")"),5068)</f>
        <v>5068</v>
      </c>
      <c r="K484" s="169">
        <f t="shared" ca="1" si="117"/>
        <v>0</v>
      </c>
      <c r="L484" s="189"/>
      <c r="M484" s="189"/>
      <c r="N484" s="189"/>
      <c r="O484" s="189"/>
      <c r="P484" s="189"/>
    </row>
    <row r="485" spans="1:16" ht="21.75" customHeight="1" x14ac:dyDescent="0.35">
      <c r="A485" s="408"/>
      <c r="B485" s="409"/>
      <c r="C485" s="409"/>
      <c r="D485" s="410"/>
      <c r="E485" s="203"/>
      <c r="F485" s="202" t="s">
        <v>177</v>
      </c>
      <c r="G485" s="427"/>
      <c r="H485" s="428" t="s">
        <v>122</v>
      </c>
      <c r="I485" s="210">
        <f ca="1">IFERROR(__xludf.DUMMYFUNCTION("IMPORTRANGE(""https://docs.google.com/spreadsheets/d/1IYY_tgx_IHuhSq3AJ5eI5OnqOPBNLWSHKh2a30DoXe8/edit?usp=sharing"",""พัทลุง!I380"")"),0)</f>
        <v>0</v>
      </c>
      <c r="J485" s="196">
        <f ca="1">IFERROR(__xludf.DUMMYFUNCTION("IMPORTRANGE(""https://docs.google.com/spreadsheets/d/1IYY_tgx_IHuhSq3AJ5eI5OnqOPBNLWSHKh2a30DoXe8/edit?usp=sharing"",""พัทลุง!J380"")"),2942)</f>
        <v>2942</v>
      </c>
      <c r="K485" s="169">
        <f t="shared" ca="1" si="117"/>
        <v>0</v>
      </c>
      <c r="L485" s="189"/>
      <c r="M485" s="189"/>
      <c r="N485" s="189"/>
      <c r="O485" s="189"/>
      <c r="P485" s="189"/>
    </row>
    <row r="486" spans="1:16" ht="21.75" customHeight="1" x14ac:dyDescent="0.35">
      <c r="A486" s="408"/>
      <c r="B486" s="409"/>
      <c r="C486" s="409"/>
      <c r="D486" s="410"/>
      <c r="E486" s="203"/>
      <c r="F486" s="203"/>
      <c r="G486" s="427"/>
      <c r="H486" s="428" t="s">
        <v>36</v>
      </c>
      <c r="I486" s="210">
        <f ca="1">IFERROR(__xludf.DUMMYFUNCTION("IMPORTRANGE(""https://docs.google.com/spreadsheets/d/1IYY_tgx_IHuhSq3AJ5eI5OnqOPBNLWSHKh2a30DoXe8/edit?usp=sharing"",""พัทลุง!I381"")"),0)</f>
        <v>0</v>
      </c>
      <c r="J486" s="196">
        <f ca="1">IFERROR(__xludf.DUMMYFUNCTION("IMPORTRANGE(""https://docs.google.com/spreadsheets/d/1IYY_tgx_IHuhSq3AJ5eI5OnqOPBNLWSHKh2a30DoXe8/edit?usp=sharing"",""พัทลุง!J381"")"),404)</f>
        <v>404</v>
      </c>
      <c r="K486" s="169">
        <f t="shared" ca="1" si="117"/>
        <v>0</v>
      </c>
      <c r="L486" s="189"/>
      <c r="M486" s="189"/>
      <c r="N486" s="189"/>
      <c r="O486" s="189"/>
      <c r="P486" s="189"/>
    </row>
    <row r="487" spans="1:16" ht="21.75" customHeight="1" x14ac:dyDescent="0.35">
      <c r="A487" s="408"/>
      <c r="B487" s="409"/>
      <c r="C487" s="409"/>
      <c r="D487" s="410"/>
      <c r="E487" s="203"/>
      <c r="F487" s="202" t="s">
        <v>178</v>
      </c>
      <c r="G487" s="427"/>
      <c r="H487" s="428" t="s">
        <v>122</v>
      </c>
      <c r="I487" s="210">
        <f ca="1">IFERROR(__xludf.DUMMYFUNCTION("IMPORTRANGE(""https://docs.google.com/spreadsheets/d/1IYY_tgx_IHuhSq3AJ5eI5OnqOPBNLWSHKh2a30DoXe8/edit?usp=sharing"",""พัทลุง!I382"")"),0)</f>
        <v>0</v>
      </c>
      <c r="J487" s="426">
        <f ca="1">IFERROR(__xludf.DUMMYFUNCTION("IMPORTRANGE(""https://docs.google.com/spreadsheets/d/1IYY_tgx_IHuhSq3AJ5eI5OnqOPBNLWSHKh2a30DoXe8/edit?usp=sharing"",""พัทลุง!J382"")"),434)</f>
        <v>434</v>
      </c>
      <c r="K487" s="169">
        <f t="shared" ca="1" si="117"/>
        <v>0</v>
      </c>
      <c r="L487" s="189"/>
      <c r="M487" s="189"/>
      <c r="N487" s="189"/>
      <c r="O487" s="189"/>
      <c r="P487" s="189"/>
    </row>
    <row r="488" spans="1:16" ht="21.75" customHeight="1" x14ac:dyDescent="0.35">
      <c r="A488" s="408"/>
      <c r="B488" s="409"/>
      <c r="C488" s="409"/>
      <c r="D488" s="410"/>
      <c r="E488" s="203"/>
      <c r="F488" s="203"/>
      <c r="G488" s="203"/>
      <c r="H488" s="428" t="s">
        <v>36</v>
      </c>
      <c r="I488" s="210">
        <f ca="1">IFERROR(__xludf.DUMMYFUNCTION("IMPORTRANGE(""https://docs.google.com/spreadsheets/d/1IYY_tgx_IHuhSq3AJ5eI5OnqOPBNLWSHKh2a30DoXe8/edit?usp=sharing"",""พัทลุง!I383"")"),0)</f>
        <v>0</v>
      </c>
      <c r="J488" s="426">
        <f ca="1">IFERROR(__xludf.DUMMYFUNCTION("IMPORTRANGE(""https://docs.google.com/spreadsheets/d/1IYY_tgx_IHuhSq3AJ5eI5OnqOPBNLWSHKh2a30DoXe8/edit?usp=sharing"",""พัทลุง!J383"")"),68)</f>
        <v>68</v>
      </c>
      <c r="K488" s="169">
        <f t="shared" ca="1" si="117"/>
        <v>0</v>
      </c>
      <c r="L488" s="189"/>
      <c r="M488" s="189"/>
      <c r="N488" s="189"/>
      <c r="O488" s="189"/>
      <c r="P488" s="189"/>
    </row>
    <row r="489" spans="1:16" ht="21.75" customHeight="1" x14ac:dyDescent="0.35">
      <c r="A489" s="408"/>
      <c r="B489" s="409"/>
      <c r="C489" s="409"/>
      <c r="D489" s="410"/>
      <c r="E489" s="203"/>
      <c r="F489" s="203"/>
      <c r="G489" s="202" t="s">
        <v>179</v>
      </c>
      <c r="H489" s="428" t="s">
        <v>122</v>
      </c>
      <c r="I489" s="210">
        <f ca="1">IFERROR(__xludf.DUMMYFUNCTION("IMPORTRANGE(""https://docs.google.com/spreadsheets/d/1IYY_tgx_IHuhSq3AJ5eI5OnqOPBNLWSHKh2a30DoXe8/edit?usp=sharing"",""พัทลุง!I384"")"),0)</f>
        <v>0</v>
      </c>
      <c r="J489" s="196">
        <f ca="1">IFERROR(__xludf.DUMMYFUNCTION("IMPORTRANGE(""https://docs.google.com/spreadsheets/d/1IYY_tgx_IHuhSq3AJ5eI5OnqOPBNLWSHKh2a30DoXe8/edit?usp=sharing"",""พัทลุง!J384"")"),434)</f>
        <v>434</v>
      </c>
      <c r="K489" s="169">
        <f t="shared" ca="1" si="117"/>
        <v>0</v>
      </c>
      <c r="L489" s="189"/>
      <c r="M489" s="189"/>
      <c r="N489" s="189"/>
      <c r="O489" s="189"/>
      <c r="P489" s="189"/>
    </row>
    <row r="490" spans="1:16" ht="21.75" customHeight="1" x14ac:dyDescent="0.35">
      <c r="A490" s="408"/>
      <c r="B490" s="409"/>
      <c r="C490" s="409"/>
      <c r="D490" s="410"/>
      <c r="E490" s="203"/>
      <c r="F490" s="203"/>
      <c r="G490" s="203"/>
      <c r="H490" s="428" t="s">
        <v>36</v>
      </c>
      <c r="I490" s="210">
        <f ca="1">IFERROR(__xludf.DUMMYFUNCTION("IMPORTRANGE(""https://docs.google.com/spreadsheets/d/1IYY_tgx_IHuhSq3AJ5eI5OnqOPBNLWSHKh2a30DoXe8/edit?usp=sharing"",""พัทลุง!I385"")"),0)</f>
        <v>0</v>
      </c>
      <c r="J490" s="196">
        <f ca="1">IFERROR(__xludf.DUMMYFUNCTION("IMPORTRANGE(""https://docs.google.com/spreadsheets/d/1IYY_tgx_IHuhSq3AJ5eI5OnqOPBNLWSHKh2a30DoXe8/edit?usp=sharing"",""พัทลุง!J385"")"),68)</f>
        <v>68</v>
      </c>
      <c r="K490" s="169">
        <f t="shared" ca="1" si="117"/>
        <v>0</v>
      </c>
      <c r="L490" s="189"/>
      <c r="M490" s="189"/>
      <c r="N490" s="189"/>
      <c r="O490" s="189"/>
      <c r="P490" s="189"/>
    </row>
    <row r="491" spans="1:16" ht="21.75" customHeight="1" x14ac:dyDescent="0.35">
      <c r="A491" s="408"/>
      <c r="B491" s="409"/>
      <c r="C491" s="409"/>
      <c r="D491" s="410"/>
      <c r="E491" s="203"/>
      <c r="F491" s="203"/>
      <c r="G491" s="202" t="s">
        <v>180</v>
      </c>
      <c r="H491" s="428" t="s">
        <v>122</v>
      </c>
      <c r="I491" s="210">
        <f ca="1">IFERROR(__xludf.DUMMYFUNCTION("IMPORTRANGE(""https://docs.google.com/spreadsheets/d/1IYY_tgx_IHuhSq3AJ5eI5OnqOPBNLWSHKh2a30DoXe8/edit?usp=sharing"",""พัทลุง!I386"")"),0)</f>
        <v>0</v>
      </c>
      <c r="J491" s="196">
        <f ca="1">IFERROR(__xludf.DUMMYFUNCTION("IMPORTRANGE(""https://docs.google.com/spreadsheets/d/1IYY_tgx_IHuhSq3AJ5eI5OnqOPBNLWSHKh2a30DoXe8/edit?usp=sharing"",""พัทลุง!J386"")"),0)</f>
        <v>0</v>
      </c>
      <c r="K491" s="169">
        <f t="shared" ca="1" si="117"/>
        <v>0</v>
      </c>
      <c r="L491" s="189"/>
      <c r="M491" s="189"/>
      <c r="N491" s="189"/>
      <c r="O491" s="189"/>
      <c r="P491" s="189"/>
    </row>
    <row r="492" spans="1:16" ht="21.75" customHeight="1" x14ac:dyDescent="0.35">
      <c r="A492" s="408"/>
      <c r="B492" s="409"/>
      <c r="C492" s="409"/>
      <c r="D492" s="410"/>
      <c r="E492" s="203"/>
      <c r="F492" s="203"/>
      <c r="G492" s="204"/>
      <c r="H492" s="428" t="s">
        <v>36</v>
      </c>
      <c r="I492" s="210">
        <f ca="1">IFERROR(__xludf.DUMMYFUNCTION("IMPORTRANGE(""https://docs.google.com/spreadsheets/d/1IYY_tgx_IHuhSq3AJ5eI5OnqOPBNLWSHKh2a30DoXe8/edit?usp=sharing"",""พัทลุง!I387"")"),0)</f>
        <v>0</v>
      </c>
      <c r="J492" s="196">
        <f ca="1">IFERROR(__xludf.DUMMYFUNCTION("IMPORTRANGE(""https://docs.google.com/spreadsheets/d/1IYY_tgx_IHuhSq3AJ5eI5OnqOPBNLWSHKh2a30DoXe8/edit?usp=sharing"",""พัทลุง!J387"")"),0)</f>
        <v>0</v>
      </c>
      <c r="K492" s="169">
        <f t="shared" ca="1" si="117"/>
        <v>0</v>
      </c>
      <c r="L492" s="189"/>
      <c r="M492" s="189"/>
      <c r="N492" s="189"/>
      <c r="O492" s="189"/>
      <c r="P492" s="189"/>
    </row>
    <row r="493" spans="1:16" ht="21.75" customHeight="1" x14ac:dyDescent="0.35">
      <c r="A493" s="408"/>
      <c r="B493" s="409"/>
      <c r="C493" s="409"/>
      <c r="D493" s="410"/>
      <c r="E493" s="203"/>
      <c r="F493" s="202" t="s">
        <v>181</v>
      </c>
      <c r="G493" s="427"/>
      <c r="H493" s="428" t="s">
        <v>122</v>
      </c>
      <c r="I493" s="210">
        <f ca="1">IFERROR(__xludf.DUMMYFUNCTION("IMPORTRANGE(""https://docs.google.com/spreadsheets/d/1IYY_tgx_IHuhSq3AJ5eI5OnqOPBNLWSHKh2a30DoXe8/edit?usp=sharing"",""พัทลุง!I388"")"),0)</f>
        <v>0</v>
      </c>
      <c r="J493" s="196">
        <f ca="1">IFERROR(__xludf.DUMMYFUNCTION("IMPORTRANGE(""https://docs.google.com/spreadsheets/d/1IYY_tgx_IHuhSq3AJ5eI5OnqOPBNLWSHKh2a30DoXe8/edit?usp=sharing"",""พัทลุง!J388"")"),0)</f>
        <v>0</v>
      </c>
      <c r="K493" s="169">
        <f t="shared" ca="1" si="117"/>
        <v>0</v>
      </c>
      <c r="L493" s="189"/>
      <c r="M493" s="189"/>
      <c r="N493" s="189"/>
      <c r="O493" s="189"/>
      <c r="P493" s="189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IFERROR(__xludf.DUMMYFUNCTION("IMPORTRANGE(""https://docs.google.com/spreadsheets/d/1IYY_tgx_IHuhSq3AJ5eI5OnqOPBNLWSHKh2a30DoXe8/edit?usp=sharing"",""พัทลุง!I389"")"),0)</f>
        <v>0</v>
      </c>
      <c r="J494" s="442">
        <f ca="1">IFERROR(__xludf.DUMMYFUNCTION("IMPORTRANGE(""https://docs.google.com/spreadsheets/d/1IYY_tgx_IHuhSq3AJ5eI5OnqOPBNLWSHKh2a30DoXe8/edit?usp=sharing"",""พัทลุง!J389"")"),0)</f>
        <v>0</v>
      </c>
      <c r="K494" s="294">
        <f t="shared" ca="1" si="117"/>
        <v>0</v>
      </c>
      <c r="L494" s="252"/>
      <c r="M494" s="252"/>
      <c r="N494" s="252"/>
      <c r="O494" s="252"/>
      <c r="P494" s="252"/>
    </row>
    <row r="495" spans="1:16" ht="21.75" customHeight="1" x14ac:dyDescent="0.35">
      <c r="A495" s="408"/>
      <c r="B495" s="409"/>
      <c r="C495" s="409"/>
      <c r="D495" s="410"/>
      <c r="E495" s="203"/>
      <c r="F495" s="203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IFERROR(__xludf.DUMMYFUNCTION("IMPORTRANGE(""https://docs.google.com/spreadsheets/d/1IYY_tgx_IHuhSq3AJ5eI5OnqOPBNLWSHKh2a30DoXe8/edit?usp=sharing"",""พัทลุง!I390"")"),0)</f>
        <v>0</v>
      </c>
      <c r="J495" s="442">
        <f ca="1">IFERROR(__xludf.DUMMYFUNCTION("IMPORTRANGE(""https://docs.google.com/spreadsheets/d/1IYY_tgx_IHuhSq3AJ5eI5OnqOPBNLWSHKh2a30DoXe8/edit?usp=sharing"",""พัทลุง!J390"")"),0)</f>
        <v>0</v>
      </c>
      <c r="K495" s="169">
        <f t="shared" ca="1" si="117"/>
        <v>0</v>
      </c>
      <c r="L495" s="189"/>
      <c r="M495" s="189"/>
      <c r="N495" s="189"/>
      <c r="O495" s="189"/>
      <c r="P495" s="189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IFERROR(__xludf.DUMMYFUNCTION("IMPORTRANGE(""https://docs.google.com/spreadsheets/d/1IYY_tgx_IHuhSq3AJ5eI5OnqOPBNLWSHKh2a30DoXe8/edit?usp=sharing"",""พัทลุง!I391"")"),0)</f>
        <v>0</v>
      </c>
      <c r="J496" s="442">
        <f ca="1">IFERROR(__xludf.DUMMYFUNCTION("IMPORTRANGE(""https://docs.google.com/spreadsheets/d/1IYY_tgx_IHuhSq3AJ5eI5OnqOPBNLWSHKh2a30DoXe8/edit?usp=sharing"",""พัทลุง!J391"")"),0)</f>
        <v>0</v>
      </c>
      <c r="K496" s="294">
        <f t="shared" ca="1" si="117"/>
        <v>0</v>
      </c>
      <c r="L496" s="252"/>
      <c r="M496" s="252"/>
      <c r="N496" s="252"/>
      <c r="O496" s="252"/>
      <c r="P496" s="252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IFERROR(__xludf.DUMMYFUNCTION("IMPORTRANGE(""https://docs.google.com/spreadsheets/d/1IYY_tgx_IHuhSq3AJ5eI5OnqOPBNLWSHKh2a30DoXe8/edit?usp=sharing"",""พัทลุง!I392"")"),185)</f>
        <v>185</v>
      </c>
      <c r="J497" s="449">
        <f ca="1">IFERROR(__xludf.DUMMYFUNCTION("IMPORTRANGE(""https://docs.google.com/spreadsheets/d/1IYY_tgx_IHuhSq3AJ5eI5OnqOPBNLWSHKh2a30DoXe8/edit?usp=sharing"",""พัทลุง!J392"")"),0)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3"/>
      <c r="B498" s="184"/>
      <c r="C498" s="184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IFERROR(__xludf.DUMMYFUNCTION("IMPORTRANGE(""https://docs.google.com/spreadsheets/d/1IYY_tgx_IHuhSq3AJ5eI5OnqOPBNLWSHKh2a30DoXe8/edit?usp=sharing"",""พัทลุง!I393"")"),185)</f>
        <v>185</v>
      </c>
      <c r="J498" s="426">
        <f ca="1">IFERROR(__xludf.DUMMYFUNCTION("IMPORTRANGE(""https://docs.google.com/spreadsheets/d/1IYY_tgx_IHuhSq3AJ5eI5OnqOPBNLWSHKh2a30DoXe8/edit?usp=sharing"",""พัทลุง!J393"")"),0)</f>
        <v>0</v>
      </c>
      <c r="K498" s="169">
        <f t="shared" ca="1" si="117"/>
        <v>0</v>
      </c>
      <c r="L498" s="189"/>
      <c r="M498" s="189"/>
      <c r="N498" s="189"/>
      <c r="O498" s="189"/>
      <c r="P498" s="189"/>
    </row>
    <row r="499" spans="1:16" ht="21.75" customHeight="1" x14ac:dyDescent="0.35">
      <c r="A499" s="183"/>
      <c r="B499" s="184"/>
      <c r="C499" s="184"/>
      <c r="D499" s="201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IFERROR(__xludf.DUMMYFUNCTION("IMPORTRANGE(""https://docs.google.com/spreadsheets/d/1IYY_tgx_IHuhSq3AJ5eI5OnqOPBNLWSHKh2a30DoXe8/edit?usp=sharing"",""พัทลุง!I394"")"),48)</f>
        <v>48</v>
      </c>
      <c r="J499" s="426">
        <f ca="1">IFERROR(__xludf.DUMMYFUNCTION("IMPORTRANGE(""https://docs.google.com/spreadsheets/d/1IYY_tgx_IHuhSq3AJ5eI5OnqOPBNLWSHKh2a30DoXe8/edit?usp=sharing"",""พัทลุง!J394"")"),0)</f>
        <v>0</v>
      </c>
      <c r="K499" s="209">
        <f t="shared" ca="1" si="117"/>
        <v>0</v>
      </c>
      <c r="L499" s="189"/>
      <c r="M499" s="189"/>
      <c r="N499" s="189"/>
      <c r="O499" s="189"/>
      <c r="P499" s="189"/>
    </row>
    <row r="500" spans="1:16" ht="21.75" customHeight="1" x14ac:dyDescent="0.35">
      <c r="A500" s="183"/>
      <c r="B500" s="184"/>
      <c r="C500" s="184"/>
      <c r="D500" s="410"/>
      <c r="E500" s="410" t="s">
        <v>185</v>
      </c>
      <c r="F500" s="203"/>
      <c r="G500" s="204"/>
      <c r="H500" s="428" t="s">
        <v>122</v>
      </c>
      <c r="I500" s="210">
        <f ca="1">IFERROR(__xludf.DUMMYFUNCTION("IMPORTRANGE(""https://docs.google.com/spreadsheets/d/1IYY_tgx_IHuhSq3AJ5eI5OnqOPBNLWSHKh2a30DoXe8/edit?usp=sharing"",""พัทลุง!I395"")"),0)</f>
        <v>0</v>
      </c>
      <c r="J500" s="168">
        <f ca="1">IFERROR(__xludf.DUMMYFUNCTION("IMPORTRANGE(""https://docs.google.com/spreadsheets/d/1IYY_tgx_IHuhSq3AJ5eI5OnqOPBNLWSHKh2a30DoXe8/edit?usp=sharing"",""พัทลุง!J395"")"),0)</f>
        <v>0</v>
      </c>
      <c r="K500" s="169">
        <f t="shared" ca="1" si="117"/>
        <v>0</v>
      </c>
      <c r="L500" s="189"/>
      <c r="M500" s="189"/>
      <c r="N500" s="189"/>
      <c r="O500" s="189"/>
      <c r="P500" s="189"/>
    </row>
    <row r="501" spans="1:16" ht="21.75" customHeight="1" x14ac:dyDescent="0.35">
      <c r="A501" s="183"/>
      <c r="B501" s="184"/>
      <c r="C501" s="184"/>
      <c r="D501" s="201"/>
      <c r="E501" s="203"/>
      <c r="F501" s="203"/>
      <c r="G501" s="204"/>
      <c r="H501" s="428" t="s">
        <v>36</v>
      </c>
      <c r="I501" s="210">
        <f ca="1">IFERROR(__xludf.DUMMYFUNCTION("IMPORTRANGE(""https://docs.google.com/spreadsheets/d/1IYY_tgx_IHuhSq3AJ5eI5OnqOPBNLWSHKh2a30DoXe8/edit?usp=sharing"",""พัทลุง!I396"")"),0)</f>
        <v>0</v>
      </c>
      <c r="J501" s="168">
        <f ca="1">IFERROR(__xludf.DUMMYFUNCTION("IMPORTRANGE(""https://docs.google.com/spreadsheets/d/1IYY_tgx_IHuhSq3AJ5eI5OnqOPBNLWSHKh2a30DoXe8/edit?usp=sharing"",""พัทลุง!J396"")"),0)</f>
        <v>0</v>
      </c>
      <c r="K501" s="169">
        <f t="shared" ca="1" si="117"/>
        <v>0</v>
      </c>
      <c r="L501" s="189"/>
      <c r="M501" s="189"/>
      <c r="N501" s="189"/>
      <c r="O501" s="189"/>
      <c r="P501" s="189"/>
    </row>
    <row r="502" spans="1:16" ht="21.75" customHeight="1" x14ac:dyDescent="0.35">
      <c r="A502" s="183"/>
      <c r="B502" s="184"/>
      <c r="C502" s="184"/>
      <c r="D502" s="201"/>
      <c r="E502" s="203"/>
      <c r="F502" s="405" t="s">
        <v>186</v>
      </c>
      <c r="G502" s="427"/>
      <c r="H502" s="428" t="s">
        <v>122</v>
      </c>
      <c r="I502" s="210">
        <f ca="1">IFERROR(__xludf.DUMMYFUNCTION("IMPORTRANGE(""https://docs.google.com/spreadsheets/d/1IYY_tgx_IHuhSq3AJ5eI5OnqOPBNLWSHKh2a30DoXe8/edit?usp=sharing"",""พัทลุง!I397"")"),0)</f>
        <v>0</v>
      </c>
      <c r="J502" s="196">
        <f ca="1">IFERROR(__xludf.DUMMYFUNCTION("IMPORTRANGE(""https://docs.google.com/spreadsheets/d/1IYY_tgx_IHuhSq3AJ5eI5OnqOPBNLWSHKh2a30DoXe8/edit?usp=sharing"",""พัทลุง!J397"")"),0)</f>
        <v>0</v>
      </c>
      <c r="K502" s="169">
        <f t="shared" ca="1" si="117"/>
        <v>0</v>
      </c>
      <c r="L502" s="189"/>
      <c r="M502" s="189"/>
      <c r="N502" s="189"/>
      <c r="O502" s="189"/>
      <c r="P502" s="189"/>
    </row>
    <row r="503" spans="1:16" ht="21.75" customHeight="1" x14ac:dyDescent="0.35">
      <c r="A503" s="183"/>
      <c r="B503" s="184"/>
      <c r="C503" s="184"/>
      <c r="D503" s="201"/>
      <c r="E503" s="203"/>
      <c r="F503" s="203"/>
      <c r="G503" s="427"/>
      <c r="H503" s="428" t="s">
        <v>36</v>
      </c>
      <c r="I503" s="195">
        <f ca="1">IFERROR(__xludf.DUMMYFUNCTION("IMPORTRANGE(""https://docs.google.com/spreadsheets/d/1IYY_tgx_IHuhSq3AJ5eI5OnqOPBNLWSHKh2a30DoXe8/edit?usp=sharing"",""พัทลุง!I398"")"),0)</f>
        <v>0</v>
      </c>
      <c r="J503" s="205">
        <f ca="1">IFERROR(__xludf.DUMMYFUNCTION("IMPORTRANGE(""https://docs.google.com/spreadsheets/d/1IYY_tgx_IHuhSq3AJ5eI5OnqOPBNLWSHKh2a30DoXe8/edit?usp=sharing"",""พัทลุง!J398"")"),0)</f>
        <v>0</v>
      </c>
      <c r="K503" s="169">
        <f t="shared" ca="1" si="117"/>
        <v>0</v>
      </c>
      <c r="L503" s="189"/>
      <c r="M503" s="189"/>
      <c r="N503" s="189"/>
      <c r="O503" s="189"/>
      <c r="P503" s="189"/>
    </row>
    <row r="504" spans="1:16" ht="21.75" customHeight="1" x14ac:dyDescent="0.35">
      <c r="A504" s="183"/>
      <c r="B504" s="184"/>
      <c r="C504" s="184"/>
      <c r="D504" s="201"/>
      <c r="E504" s="203"/>
      <c r="F504" s="396" t="s">
        <v>187</v>
      </c>
      <c r="G504" s="427"/>
      <c r="H504" s="428" t="s">
        <v>122</v>
      </c>
      <c r="I504" s="211">
        <f ca="1">IFERROR(__xludf.DUMMYFUNCTION("IMPORTRANGE(""https://docs.google.com/spreadsheets/d/1IYY_tgx_IHuhSq3AJ5eI5OnqOPBNLWSHKh2a30DoXe8/edit?usp=sharing"",""พัทลุง!I399"")"),0)</f>
        <v>0</v>
      </c>
      <c r="J504" s="196">
        <f ca="1">IFERROR(__xludf.DUMMYFUNCTION("IMPORTRANGE(""https://docs.google.com/spreadsheets/d/1IYY_tgx_IHuhSq3AJ5eI5OnqOPBNLWSHKh2a30DoXe8/edit?usp=sharing"",""พัทลุง!J399"")"),0)</f>
        <v>0</v>
      </c>
      <c r="K504" s="169">
        <f t="shared" ca="1" si="117"/>
        <v>0</v>
      </c>
      <c r="L504" s="189"/>
      <c r="M504" s="189"/>
      <c r="N504" s="189"/>
      <c r="O504" s="189"/>
      <c r="P504" s="189"/>
    </row>
    <row r="505" spans="1:16" ht="21.75" customHeight="1" x14ac:dyDescent="0.35">
      <c r="A505" s="183"/>
      <c r="B505" s="184"/>
      <c r="C505" s="184"/>
      <c r="D505" s="201"/>
      <c r="E505" s="203"/>
      <c r="F505" s="203"/>
      <c r="G505" s="427"/>
      <c r="H505" s="428" t="s">
        <v>36</v>
      </c>
      <c r="I505" s="195">
        <f ca="1">IFERROR(__xludf.DUMMYFUNCTION("IMPORTRANGE(""https://docs.google.com/spreadsheets/d/1IYY_tgx_IHuhSq3AJ5eI5OnqOPBNLWSHKh2a30DoXe8/edit?usp=sharing"",""พัทลุง!I400"")"),0)</f>
        <v>0</v>
      </c>
      <c r="J505" s="205">
        <f ca="1">IFERROR(__xludf.DUMMYFUNCTION("IMPORTRANGE(""https://docs.google.com/spreadsheets/d/1IYY_tgx_IHuhSq3AJ5eI5OnqOPBNLWSHKh2a30DoXe8/edit?usp=sharing"",""พัทลุง!J400"")"),0)</f>
        <v>0</v>
      </c>
      <c r="K505" s="169">
        <f t="shared" ca="1" si="117"/>
        <v>0</v>
      </c>
      <c r="L505" s="189"/>
      <c r="M505" s="189"/>
      <c r="N505" s="189"/>
      <c r="O505" s="189"/>
      <c r="P505" s="189"/>
    </row>
    <row r="506" spans="1:16" ht="21.75" customHeight="1" x14ac:dyDescent="0.35">
      <c r="A506" s="183"/>
      <c r="B506" s="184"/>
      <c r="C506" s="184"/>
      <c r="D506" s="201"/>
      <c r="E506" s="203"/>
      <c r="F506" s="405" t="s">
        <v>188</v>
      </c>
      <c r="G506" s="427"/>
      <c r="H506" s="428" t="s">
        <v>122</v>
      </c>
      <c r="I506" s="211">
        <f ca="1">IFERROR(__xludf.DUMMYFUNCTION("IMPORTRANGE(""https://docs.google.com/spreadsheets/d/1IYY_tgx_IHuhSq3AJ5eI5OnqOPBNLWSHKh2a30DoXe8/edit?usp=sharing"",""พัทลุง!I401"")"),0)</f>
        <v>0</v>
      </c>
      <c r="J506" s="196">
        <f ca="1">IFERROR(__xludf.DUMMYFUNCTION("IMPORTRANGE(""https://docs.google.com/spreadsheets/d/1IYY_tgx_IHuhSq3AJ5eI5OnqOPBNLWSHKh2a30DoXe8/edit?usp=sharing"",""พัทลุง!J401"")"),0)</f>
        <v>0</v>
      </c>
      <c r="K506" s="169">
        <f t="shared" ca="1" si="117"/>
        <v>0</v>
      </c>
      <c r="L506" s="189"/>
      <c r="M506" s="189"/>
      <c r="N506" s="189"/>
      <c r="O506" s="189"/>
      <c r="P506" s="189"/>
    </row>
    <row r="507" spans="1:16" ht="21.75" customHeight="1" x14ac:dyDescent="0.35">
      <c r="A507" s="183"/>
      <c r="B507" s="184"/>
      <c r="C507" s="184"/>
      <c r="D507" s="201"/>
      <c r="E507" s="203"/>
      <c r="F507" s="203"/>
      <c r="G507" s="203"/>
      <c r="H507" s="428" t="s">
        <v>36</v>
      </c>
      <c r="I507" s="195">
        <f ca="1">IFERROR(__xludf.DUMMYFUNCTION("IMPORTRANGE(""https://docs.google.com/spreadsheets/d/1IYY_tgx_IHuhSq3AJ5eI5OnqOPBNLWSHKh2a30DoXe8/edit?usp=sharing"",""พัทลุง!I402"")"),0)</f>
        <v>0</v>
      </c>
      <c r="J507" s="205">
        <f ca="1">IFERROR(__xludf.DUMMYFUNCTION("IMPORTRANGE(""https://docs.google.com/spreadsheets/d/1IYY_tgx_IHuhSq3AJ5eI5OnqOPBNLWSHKh2a30DoXe8/edit?usp=sharing"",""พัทลุง!J402"")"),0)</f>
        <v>0</v>
      </c>
      <c r="K507" s="169">
        <f t="shared" ca="1" si="117"/>
        <v>0</v>
      </c>
      <c r="L507" s="189"/>
      <c r="M507" s="189"/>
      <c r="N507" s="189"/>
      <c r="O507" s="189"/>
      <c r="P507" s="189"/>
    </row>
    <row r="508" spans="1:16" ht="21.75" customHeight="1" x14ac:dyDescent="0.35">
      <c r="A508" s="183"/>
      <c r="B508" s="184"/>
      <c r="C508" s="184"/>
      <c r="D508" s="201"/>
      <c r="E508" s="202" t="s">
        <v>189</v>
      </c>
      <c r="F508" s="203"/>
      <c r="G508" s="427"/>
      <c r="H508" s="428" t="s">
        <v>122</v>
      </c>
      <c r="I508" s="195">
        <f ca="1">IFERROR(__xludf.DUMMYFUNCTION("IMPORTRANGE(""https://docs.google.com/spreadsheets/d/1IYY_tgx_IHuhSq3AJ5eI5OnqOPBNLWSHKh2a30DoXe8/edit?usp=sharing"",""พัทลุง!I403"")"),0)</f>
        <v>0</v>
      </c>
      <c r="J508" s="168">
        <f ca="1">IFERROR(__xludf.DUMMYFUNCTION("IMPORTRANGE(""https://docs.google.com/spreadsheets/d/1IYY_tgx_IHuhSq3AJ5eI5OnqOPBNLWSHKh2a30DoXe8/edit?usp=sharing"",""พัทลุง!J403"")"),0)</f>
        <v>0</v>
      </c>
      <c r="K508" s="169">
        <f t="shared" ca="1" si="117"/>
        <v>0</v>
      </c>
      <c r="L508" s="189"/>
      <c r="M508" s="189"/>
      <c r="N508" s="189"/>
      <c r="O508" s="189"/>
      <c r="P508" s="189"/>
    </row>
    <row r="509" spans="1:16" ht="21.75" customHeight="1" x14ac:dyDescent="0.35">
      <c r="A509" s="183"/>
      <c r="B509" s="184"/>
      <c r="C509" s="184"/>
      <c r="D509" s="201"/>
      <c r="E509" s="203"/>
      <c r="F509" s="203"/>
      <c r="G509" s="203"/>
      <c r="H509" s="428" t="s">
        <v>36</v>
      </c>
      <c r="I509" s="195">
        <f ca="1">IFERROR(__xludf.DUMMYFUNCTION("IMPORTRANGE(""https://docs.google.com/spreadsheets/d/1IYY_tgx_IHuhSq3AJ5eI5OnqOPBNLWSHKh2a30DoXe8/edit?usp=sharing"",""พัทลุง!I404"")"),0)</f>
        <v>0</v>
      </c>
      <c r="J509" s="168">
        <f ca="1">IFERROR(__xludf.DUMMYFUNCTION("IMPORTRANGE(""https://docs.google.com/spreadsheets/d/1IYY_tgx_IHuhSq3AJ5eI5OnqOPBNLWSHKh2a30DoXe8/edit?usp=sharing"",""พัทลุง!J404"")"),0)</f>
        <v>0</v>
      </c>
      <c r="K509" s="169">
        <f t="shared" ca="1" si="117"/>
        <v>0</v>
      </c>
      <c r="L509" s="189"/>
      <c r="M509" s="189"/>
      <c r="N509" s="189"/>
      <c r="O509" s="189"/>
      <c r="P509" s="189"/>
    </row>
    <row r="510" spans="1:16" ht="21.75" customHeight="1" x14ac:dyDescent="0.35">
      <c r="A510" s="183"/>
      <c r="B510" s="184"/>
      <c r="C510" s="184"/>
      <c r="D510" s="201"/>
      <c r="E510" s="203"/>
      <c r="F510" s="202" t="s">
        <v>190</v>
      </c>
      <c r="G510" s="203"/>
      <c r="H510" s="428" t="s">
        <v>122</v>
      </c>
      <c r="I510" s="195">
        <f ca="1">IFERROR(__xludf.DUMMYFUNCTION("IMPORTRANGE(""https://docs.google.com/spreadsheets/d/1IYY_tgx_IHuhSq3AJ5eI5OnqOPBNLWSHKh2a30DoXe8/edit?usp=sharing"",""พัทลุง!I405"")"),0)</f>
        <v>0</v>
      </c>
      <c r="J510" s="205">
        <f ca="1">IFERROR(__xludf.DUMMYFUNCTION("IMPORTRANGE(""https://docs.google.com/spreadsheets/d/1IYY_tgx_IHuhSq3AJ5eI5OnqOPBNLWSHKh2a30DoXe8/edit?usp=sharing"",""พัทลุง!J405"")"),0)</f>
        <v>0</v>
      </c>
      <c r="K510" s="169">
        <f t="shared" ca="1" si="117"/>
        <v>0</v>
      </c>
      <c r="L510" s="189"/>
      <c r="M510" s="189"/>
      <c r="N510" s="189"/>
      <c r="O510" s="189"/>
      <c r="P510" s="189"/>
    </row>
    <row r="511" spans="1:16" ht="21.75" customHeight="1" x14ac:dyDescent="0.35">
      <c r="A511" s="183"/>
      <c r="B511" s="184"/>
      <c r="C511" s="184"/>
      <c r="D511" s="201"/>
      <c r="E511" s="203"/>
      <c r="F511" s="203"/>
      <c r="G511" s="203"/>
      <c r="H511" s="428" t="s">
        <v>36</v>
      </c>
      <c r="I511" s="195">
        <f ca="1">IFERROR(__xludf.DUMMYFUNCTION("IMPORTRANGE(""https://docs.google.com/spreadsheets/d/1IYY_tgx_IHuhSq3AJ5eI5OnqOPBNLWSHKh2a30DoXe8/edit?usp=sharing"",""พัทลุง!I406"")"),0)</f>
        <v>0</v>
      </c>
      <c r="J511" s="205">
        <f ca="1">IFERROR(__xludf.DUMMYFUNCTION("IMPORTRANGE(""https://docs.google.com/spreadsheets/d/1IYY_tgx_IHuhSq3AJ5eI5OnqOPBNLWSHKh2a30DoXe8/edit?usp=sharing"",""พัทลุง!J406"")"),0)</f>
        <v>0</v>
      </c>
      <c r="K511" s="169">
        <f t="shared" ca="1" si="117"/>
        <v>0</v>
      </c>
      <c r="L511" s="189"/>
      <c r="M511" s="189"/>
      <c r="N511" s="189"/>
      <c r="O511" s="189"/>
      <c r="P511" s="189"/>
    </row>
    <row r="512" spans="1:16" ht="21.75" customHeight="1" x14ac:dyDescent="0.35">
      <c r="A512" s="183"/>
      <c r="B512" s="184"/>
      <c r="C512" s="184"/>
      <c r="D512" s="201"/>
      <c r="E512" s="203"/>
      <c r="F512" s="202" t="s">
        <v>191</v>
      </c>
      <c r="G512" s="203"/>
      <c r="H512" s="428" t="s">
        <v>122</v>
      </c>
      <c r="I512" s="195">
        <f ca="1">IFERROR(__xludf.DUMMYFUNCTION("IMPORTRANGE(""https://docs.google.com/spreadsheets/d/1IYY_tgx_IHuhSq3AJ5eI5OnqOPBNLWSHKh2a30DoXe8/edit?usp=sharing"",""พัทลุง!I407"")"),0)</f>
        <v>0</v>
      </c>
      <c r="J512" s="205">
        <f ca="1">IFERROR(__xludf.DUMMYFUNCTION("IMPORTRANGE(""https://docs.google.com/spreadsheets/d/1IYY_tgx_IHuhSq3AJ5eI5OnqOPBNLWSHKh2a30DoXe8/edit?usp=sharing"",""พัทลุง!J407"")"),0)</f>
        <v>0</v>
      </c>
      <c r="K512" s="169">
        <f t="shared" ca="1" si="117"/>
        <v>0</v>
      </c>
      <c r="L512" s="189"/>
      <c r="M512" s="189"/>
      <c r="N512" s="189"/>
      <c r="O512" s="189"/>
      <c r="P512" s="189"/>
    </row>
    <row r="513" spans="1:16" ht="21.75" customHeight="1" x14ac:dyDescent="0.35">
      <c r="A513" s="183"/>
      <c r="B513" s="184"/>
      <c r="C513" s="184"/>
      <c r="D513" s="201"/>
      <c r="E513" s="203"/>
      <c r="F513" s="203"/>
      <c r="G513" s="204"/>
      <c r="H513" s="428" t="s">
        <v>36</v>
      </c>
      <c r="I513" s="195">
        <f ca="1">IFERROR(__xludf.DUMMYFUNCTION("IMPORTRANGE(""https://docs.google.com/spreadsheets/d/1IYY_tgx_IHuhSq3AJ5eI5OnqOPBNLWSHKh2a30DoXe8/edit?usp=sharing"",""พัทลุง!I408"")"),0)</f>
        <v>0</v>
      </c>
      <c r="J513" s="205">
        <f ca="1">IFERROR(__xludf.DUMMYFUNCTION("IMPORTRANGE(""https://docs.google.com/spreadsheets/d/1IYY_tgx_IHuhSq3AJ5eI5OnqOPBNLWSHKh2a30DoXe8/edit?usp=sharing"",""พัทลุง!J408"")"),0)</f>
        <v>0</v>
      </c>
      <c r="K513" s="169">
        <f t="shared" ca="1" si="117"/>
        <v>0</v>
      </c>
      <c r="L513" s="189"/>
      <c r="M513" s="189"/>
      <c r="N513" s="189"/>
      <c r="O513" s="189"/>
      <c r="P513" s="189"/>
    </row>
    <row r="514" spans="1:16" ht="21.75" customHeight="1" x14ac:dyDescent="0.35">
      <c r="A514" s="183"/>
      <c r="B514" s="184"/>
      <c r="C514" s="184"/>
      <c r="D514" s="410"/>
      <c r="E514" s="456" t="s">
        <v>192</v>
      </c>
      <c r="F514" s="203"/>
      <c r="G514" s="204"/>
      <c r="H514" s="428" t="s">
        <v>122</v>
      </c>
      <c r="I514" s="195">
        <f ca="1">IFERROR(__xludf.DUMMYFUNCTION("IMPORTRANGE(""https://docs.google.com/spreadsheets/d/1IYY_tgx_IHuhSq3AJ5eI5OnqOPBNLWSHKh2a30DoXe8/edit?usp=sharing"",""พัทลุง!I409"")"),0)</f>
        <v>0</v>
      </c>
      <c r="J514" s="205">
        <f ca="1">IFERROR(__xludf.DUMMYFUNCTION("IMPORTRANGE(""https://docs.google.com/spreadsheets/d/1IYY_tgx_IHuhSq3AJ5eI5OnqOPBNLWSHKh2a30DoXe8/edit?usp=sharing"",""พัทลุง!J409"")"),0)</f>
        <v>0</v>
      </c>
      <c r="K514" s="169">
        <f t="shared" ca="1" si="117"/>
        <v>0</v>
      </c>
      <c r="L514" s="189"/>
      <c r="M514" s="189"/>
      <c r="N514" s="189"/>
      <c r="O514" s="189"/>
      <c r="P514" s="189"/>
    </row>
    <row r="515" spans="1:16" ht="21.75" customHeight="1" x14ac:dyDescent="0.35">
      <c r="A515" s="183"/>
      <c r="B515" s="184"/>
      <c r="C515" s="184"/>
      <c r="D515" s="201"/>
      <c r="E515" s="203"/>
      <c r="F515" s="203"/>
      <c r="G515" s="204"/>
      <c r="H515" s="428" t="s">
        <v>36</v>
      </c>
      <c r="I515" s="195">
        <f ca="1">IFERROR(__xludf.DUMMYFUNCTION("IMPORTRANGE(""https://docs.google.com/spreadsheets/d/1IYY_tgx_IHuhSq3AJ5eI5OnqOPBNLWSHKh2a30DoXe8/edit?usp=sharing"",""พัทลุง!I410"")"),0)</f>
        <v>0</v>
      </c>
      <c r="J515" s="205">
        <f ca="1">IFERROR(__xludf.DUMMYFUNCTION("IMPORTRANGE(""https://docs.google.com/spreadsheets/d/1IYY_tgx_IHuhSq3AJ5eI5OnqOPBNLWSHKh2a30DoXe8/edit?usp=sharing"",""พัทลุง!J410"")"),0)</f>
        <v>0</v>
      </c>
      <c r="K515" s="169">
        <f t="shared" ca="1" si="117"/>
        <v>0</v>
      </c>
      <c r="L515" s="189"/>
      <c r="M515" s="189"/>
      <c r="N515" s="189"/>
      <c r="O515" s="189"/>
      <c r="P515" s="189"/>
    </row>
    <row r="516" spans="1:16" ht="21.75" customHeight="1" x14ac:dyDescent="0.35">
      <c r="A516" s="183"/>
      <c r="B516" s="184"/>
      <c r="C516" s="421" t="s">
        <v>193</v>
      </c>
      <c r="D516" s="421"/>
      <c r="E516" s="457"/>
      <c r="F516" s="457"/>
      <c r="G516" s="458"/>
      <c r="H516" s="459" t="s">
        <v>122</v>
      </c>
      <c r="I516" s="274">
        <f ca="1">IFERROR(__xludf.DUMMYFUNCTION("IMPORTRANGE(""https://docs.google.com/spreadsheets/d/1IYY_tgx_IHuhSq3AJ5eI5OnqOPBNLWSHKh2a30DoXe8/edit?usp=sharing"",""พัทลุง!I411"")"),0)</f>
        <v>0</v>
      </c>
      <c r="J516" s="274">
        <f ca="1">IFERROR(__xludf.DUMMYFUNCTION("IMPORTRANGE(""https://docs.google.com/spreadsheets/d/1IYY_tgx_IHuhSq3AJ5eI5OnqOPBNLWSHKh2a30DoXe8/edit?usp=sharing"",""พัทลุง!J411"")"),0)</f>
        <v>0</v>
      </c>
      <c r="K516" s="275">
        <v>0</v>
      </c>
      <c r="L516" s="189"/>
      <c r="M516" s="189"/>
      <c r="N516" s="189"/>
      <c r="O516" s="189"/>
      <c r="P516" s="189"/>
    </row>
    <row r="517" spans="1:16" ht="21.75" customHeight="1" x14ac:dyDescent="0.35">
      <c r="A517" s="183"/>
      <c r="B517" s="184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IFERROR(__xludf.DUMMYFUNCTION("IMPORTRANGE(""https://docs.google.com/spreadsheets/d/1IYY_tgx_IHuhSq3AJ5eI5OnqOPBNLWSHKh2a30DoXe8/edit?usp=sharing"",""พัทลุง!I412"")"),0)</f>
        <v>0</v>
      </c>
      <c r="J517" s="290">
        <f ca="1">IFERROR(__xludf.DUMMYFUNCTION("IMPORTRANGE(""https://docs.google.com/spreadsheets/d/1IYY_tgx_IHuhSq3AJ5eI5OnqOPBNLWSHKh2a30DoXe8/edit?usp=sharing"",""พัทลุง!J412"")"),0)</f>
        <v>0</v>
      </c>
      <c r="K517" s="291">
        <v>0</v>
      </c>
      <c r="L517" s="189"/>
      <c r="M517" s="189"/>
      <c r="N517" s="189"/>
      <c r="O517" s="189"/>
      <c r="P517" s="189"/>
    </row>
    <row r="518" spans="1:16" ht="21.75" customHeight="1" x14ac:dyDescent="0.35">
      <c r="A518" s="183"/>
      <c r="B518" s="184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IFERROR(__xludf.DUMMYFUNCTION("IMPORTRANGE(""https://docs.google.com/spreadsheets/d/1IYY_tgx_IHuhSq3AJ5eI5OnqOPBNLWSHKh2a30DoXe8/edit?usp=sharing"",""พัทลุง!I413"")"),0)</f>
        <v>0</v>
      </c>
      <c r="J518" s="290">
        <f ca="1">IFERROR(__xludf.DUMMYFUNCTION("IMPORTRANGE(""https://docs.google.com/spreadsheets/d/1IYY_tgx_IHuhSq3AJ5eI5OnqOPBNLWSHKh2a30DoXe8/edit?usp=sharing"",""พัทลุง!J413"")"),0)</f>
        <v>0</v>
      </c>
      <c r="K518" s="291">
        <v>0</v>
      </c>
      <c r="L518" s="189"/>
      <c r="M518" s="189"/>
      <c r="N518" s="189"/>
      <c r="O518" s="189"/>
      <c r="P518" s="189"/>
    </row>
    <row r="519" spans="1:16" ht="21.75" customHeight="1" x14ac:dyDescent="0.35">
      <c r="A519" s="183"/>
      <c r="B519" s="184"/>
      <c r="C519" s="184"/>
      <c r="D519" s="201"/>
      <c r="E519" s="203"/>
      <c r="F519" s="203"/>
      <c r="G519" s="233" t="s">
        <v>196</v>
      </c>
      <c r="H519" s="428" t="s">
        <v>122</v>
      </c>
      <c r="I519" s="195">
        <f ca="1">IFERROR(__xludf.DUMMYFUNCTION("IMPORTRANGE(""https://docs.google.com/spreadsheets/d/1IYY_tgx_IHuhSq3AJ5eI5OnqOPBNLWSHKh2a30DoXe8/edit?usp=sharing"",""พัทลุง!I414"")"),0)</f>
        <v>0</v>
      </c>
      <c r="J519" s="195">
        <f ca="1">IFERROR(__xludf.DUMMYFUNCTION("IMPORTRANGE(""https://docs.google.com/spreadsheets/d/1IYY_tgx_IHuhSq3AJ5eI5OnqOPBNLWSHKh2a30DoXe8/edit?usp=sharing"",""พัทลุง!J414"")"),0)</f>
        <v>0</v>
      </c>
      <c r="K519" s="169">
        <v>0</v>
      </c>
      <c r="L519" s="189"/>
      <c r="M519" s="189"/>
      <c r="N519" s="189"/>
      <c r="O519" s="189"/>
      <c r="P519" s="189"/>
    </row>
    <row r="520" spans="1:16" ht="21.75" customHeight="1" x14ac:dyDescent="0.35">
      <c r="A520" s="183"/>
      <c r="B520" s="184"/>
      <c r="C520" s="184"/>
      <c r="D520" s="201"/>
      <c r="E520" s="203"/>
      <c r="F520" s="203"/>
      <c r="G520" s="204"/>
      <c r="H520" s="428" t="s">
        <v>36</v>
      </c>
      <c r="I520" s="195">
        <f ca="1">IFERROR(__xludf.DUMMYFUNCTION("IMPORTRANGE(""https://docs.google.com/spreadsheets/d/1IYY_tgx_IHuhSq3AJ5eI5OnqOPBNLWSHKh2a30DoXe8/edit?usp=sharing"",""พัทลุง!I415"")"),0)</f>
        <v>0</v>
      </c>
      <c r="J520" s="195">
        <f ca="1">IFERROR(__xludf.DUMMYFUNCTION("IMPORTRANGE(""https://docs.google.com/spreadsheets/d/1IYY_tgx_IHuhSq3AJ5eI5OnqOPBNLWSHKh2a30DoXe8/edit?usp=sharing"",""พัทลุง!J415"")"),0)</f>
        <v>0</v>
      </c>
      <c r="K520" s="169">
        <v>0</v>
      </c>
      <c r="L520" s="189"/>
      <c r="M520" s="189"/>
      <c r="N520" s="189"/>
      <c r="O520" s="189"/>
      <c r="P520" s="189"/>
    </row>
    <row r="521" spans="1:16" ht="21.75" customHeight="1" x14ac:dyDescent="0.35">
      <c r="A521" s="183"/>
      <c r="B521" s="184"/>
      <c r="C521" s="184"/>
      <c r="D521" s="201"/>
      <c r="E521" s="203"/>
      <c r="F521" s="203"/>
      <c r="G521" s="233" t="s">
        <v>197</v>
      </c>
      <c r="H521" s="428" t="s">
        <v>122</v>
      </c>
      <c r="I521" s="195">
        <f ca="1">IFERROR(__xludf.DUMMYFUNCTION("IMPORTRANGE(""https://docs.google.com/spreadsheets/d/1IYY_tgx_IHuhSq3AJ5eI5OnqOPBNLWSHKh2a30DoXe8/edit?usp=sharing"",""พัทลุง!I416"")"),0)</f>
        <v>0</v>
      </c>
      <c r="J521" s="195">
        <f ca="1">IFERROR(__xludf.DUMMYFUNCTION("IMPORTRANGE(""https://docs.google.com/spreadsheets/d/1IYY_tgx_IHuhSq3AJ5eI5OnqOPBNLWSHKh2a30DoXe8/edit?usp=sharing"",""พัทลุง!J416"")"),0)</f>
        <v>0</v>
      </c>
      <c r="K521" s="169">
        <v>0</v>
      </c>
      <c r="L521" s="189"/>
      <c r="M521" s="189"/>
      <c r="N521" s="189"/>
      <c r="O521" s="189"/>
      <c r="P521" s="189"/>
    </row>
    <row r="522" spans="1:16" ht="21.75" customHeight="1" x14ac:dyDescent="0.35">
      <c r="A522" s="183"/>
      <c r="B522" s="184"/>
      <c r="C522" s="184"/>
      <c r="D522" s="201"/>
      <c r="E522" s="203"/>
      <c r="F522" s="203"/>
      <c r="G522" s="204"/>
      <c r="H522" s="428" t="s">
        <v>36</v>
      </c>
      <c r="I522" s="195">
        <f ca="1">IFERROR(__xludf.DUMMYFUNCTION("IMPORTRANGE(""https://docs.google.com/spreadsheets/d/1IYY_tgx_IHuhSq3AJ5eI5OnqOPBNLWSHKh2a30DoXe8/edit?usp=sharing"",""พัทลุง!I417"")"),0)</f>
        <v>0</v>
      </c>
      <c r="J522" s="195">
        <f ca="1">IFERROR(__xludf.DUMMYFUNCTION("IMPORTRANGE(""https://docs.google.com/spreadsheets/d/1IYY_tgx_IHuhSq3AJ5eI5OnqOPBNLWSHKh2a30DoXe8/edit?usp=sharing"",""พัทลุง!J417"")"),0)</f>
        <v>0</v>
      </c>
      <c r="K522" s="169">
        <v>0</v>
      </c>
      <c r="L522" s="189"/>
      <c r="M522" s="189"/>
      <c r="N522" s="189"/>
      <c r="O522" s="189"/>
      <c r="P522" s="189"/>
    </row>
    <row r="523" spans="1:16" ht="21.75" customHeight="1" x14ac:dyDescent="0.35">
      <c r="A523" s="183"/>
      <c r="B523" s="184"/>
      <c r="C523" s="184"/>
      <c r="D523" s="201"/>
      <c r="E523" s="203"/>
      <c r="F523" s="203"/>
      <c r="G523" s="464" t="s">
        <v>198</v>
      </c>
      <c r="H523" s="428" t="s">
        <v>122</v>
      </c>
      <c r="I523" s="195">
        <f ca="1">IFERROR(__xludf.DUMMYFUNCTION("IMPORTRANGE(""https://docs.google.com/spreadsheets/d/1IYY_tgx_IHuhSq3AJ5eI5OnqOPBNLWSHKh2a30DoXe8/edit?usp=sharing"",""พัทลุง!I418"")"),0)</f>
        <v>0</v>
      </c>
      <c r="J523" s="195">
        <f ca="1">IFERROR(__xludf.DUMMYFUNCTION("IMPORTRANGE(""https://docs.google.com/spreadsheets/d/1IYY_tgx_IHuhSq3AJ5eI5OnqOPBNLWSHKh2a30DoXe8/edit?usp=sharing"",""พัทลุง!J418"")"),29)</f>
        <v>29</v>
      </c>
      <c r="K523" s="169">
        <v>0</v>
      </c>
      <c r="L523" s="189"/>
      <c r="M523" s="189"/>
      <c r="N523" s="189"/>
      <c r="O523" s="189"/>
      <c r="P523" s="189"/>
    </row>
    <row r="524" spans="1:16" ht="21.75" customHeight="1" x14ac:dyDescent="0.35">
      <c r="A524" s="183"/>
      <c r="B524" s="184"/>
      <c r="C524" s="184"/>
      <c r="D524" s="201"/>
      <c r="E524" s="203"/>
      <c r="F524" s="203"/>
      <c r="G524" s="204"/>
      <c r="H524" s="428" t="s">
        <v>36</v>
      </c>
      <c r="I524" s="195">
        <f ca="1">IFERROR(__xludf.DUMMYFUNCTION("IMPORTRANGE(""https://docs.google.com/spreadsheets/d/1IYY_tgx_IHuhSq3AJ5eI5OnqOPBNLWSHKh2a30DoXe8/edit?usp=sharing"",""พัทลุง!I419"")"),0)</f>
        <v>0</v>
      </c>
      <c r="J524" s="195">
        <f ca="1">IFERROR(__xludf.DUMMYFUNCTION("IMPORTRANGE(""https://docs.google.com/spreadsheets/d/1IYY_tgx_IHuhSq3AJ5eI5OnqOPBNLWSHKh2a30DoXe8/edit?usp=sharing"",""พัทลุง!J419"")"),10)</f>
        <v>10</v>
      </c>
      <c r="K524" s="169">
        <v>0</v>
      </c>
      <c r="L524" s="189"/>
      <c r="M524" s="189"/>
      <c r="N524" s="189"/>
      <c r="O524" s="189"/>
      <c r="P524" s="189"/>
    </row>
    <row r="525" spans="1:16" ht="21.75" customHeight="1" x14ac:dyDescent="0.35">
      <c r="A525" s="183"/>
      <c r="B525" s="184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IFERROR(__xludf.DUMMYFUNCTION("IMPORTRANGE(""https://docs.google.com/spreadsheets/d/1IYY_tgx_IHuhSq3AJ5eI5OnqOPBNLWSHKh2a30DoXe8/edit?usp=sharing"",""พัทลุง!I420"")"),29)</f>
        <v>29</v>
      </c>
      <c r="J525" s="290">
        <f ca="1">IFERROR(__xludf.DUMMYFUNCTION("IMPORTRANGE(""https://docs.google.com/spreadsheets/d/1IYY_tgx_IHuhSq3AJ5eI5OnqOPBNLWSHKh2a30DoXe8/edit?usp=sharing"",""พัทลุง!J420"")"),0)</f>
        <v>0</v>
      </c>
      <c r="K525" s="291">
        <v>0</v>
      </c>
      <c r="L525" s="189"/>
      <c r="M525" s="189"/>
      <c r="N525" s="189"/>
      <c r="O525" s="189"/>
      <c r="P525" s="189"/>
    </row>
    <row r="526" spans="1:16" ht="21.75" customHeight="1" x14ac:dyDescent="0.35">
      <c r="A526" s="183"/>
      <c r="B526" s="184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IFERROR(__xludf.DUMMYFUNCTION("IMPORTRANGE(""https://docs.google.com/spreadsheets/d/1IYY_tgx_IHuhSq3AJ5eI5OnqOPBNLWSHKh2a30DoXe8/edit?usp=sharing"",""พัทลุง!I421"")"),10)</f>
        <v>10</v>
      </c>
      <c r="J526" s="290">
        <f ca="1">IFERROR(__xludf.DUMMYFUNCTION("IMPORTRANGE(""https://docs.google.com/spreadsheets/d/1IYY_tgx_IHuhSq3AJ5eI5OnqOPBNLWSHKh2a30DoXe8/edit?usp=sharing"",""พัทลุง!J421"")"),0)</f>
        <v>0</v>
      </c>
      <c r="K526" s="291">
        <v>0</v>
      </c>
      <c r="L526" s="189"/>
      <c r="M526" s="189"/>
      <c r="N526" s="189"/>
      <c r="O526" s="189"/>
      <c r="P526" s="189"/>
    </row>
    <row r="527" spans="1:16" ht="21.75" customHeight="1" x14ac:dyDescent="0.35">
      <c r="A527" s="183"/>
      <c r="B527" s="184"/>
      <c r="C527" s="184"/>
      <c r="D527" s="201"/>
      <c r="E527" s="203"/>
      <c r="F527" s="203"/>
      <c r="G527" s="233" t="s">
        <v>196</v>
      </c>
      <c r="H527" s="428" t="s">
        <v>122</v>
      </c>
      <c r="I527" s="195">
        <f ca="1">IFERROR(__xludf.DUMMYFUNCTION("IMPORTRANGE(""https://docs.google.com/spreadsheets/d/1IYY_tgx_IHuhSq3AJ5eI5OnqOPBNLWSHKh2a30DoXe8/edit?usp=sharing"",""พัทลุง!I422"")"),0)</f>
        <v>0</v>
      </c>
      <c r="J527" s="205">
        <f ca="1">IFERROR(__xludf.DUMMYFUNCTION("IMPORTRANGE(""https://docs.google.com/spreadsheets/d/1IYY_tgx_IHuhSq3AJ5eI5OnqOPBNLWSHKh2a30DoXe8/edit?usp=sharing"",""พัทลุง!J422"")"),0)</f>
        <v>0</v>
      </c>
      <c r="K527" s="169">
        <v>0</v>
      </c>
      <c r="L527" s="189"/>
      <c r="M527" s="189"/>
      <c r="N527" s="189"/>
      <c r="O527" s="189"/>
      <c r="P527" s="189"/>
    </row>
    <row r="528" spans="1:16" ht="21.75" customHeight="1" x14ac:dyDescent="0.35">
      <c r="A528" s="183"/>
      <c r="B528" s="184"/>
      <c r="C528" s="184"/>
      <c r="D528" s="201"/>
      <c r="E528" s="203"/>
      <c r="F528" s="203"/>
      <c r="G528" s="204"/>
      <c r="H528" s="428" t="s">
        <v>36</v>
      </c>
      <c r="I528" s="195">
        <f ca="1">IFERROR(__xludf.DUMMYFUNCTION("IMPORTRANGE(""https://docs.google.com/spreadsheets/d/1IYY_tgx_IHuhSq3AJ5eI5OnqOPBNLWSHKh2a30DoXe8/edit?usp=sharing"",""พัทลุง!I423"")"),0)</f>
        <v>0</v>
      </c>
      <c r="J528" s="205">
        <f ca="1">IFERROR(__xludf.DUMMYFUNCTION("IMPORTRANGE(""https://docs.google.com/spreadsheets/d/1IYY_tgx_IHuhSq3AJ5eI5OnqOPBNLWSHKh2a30DoXe8/edit?usp=sharing"",""พัทลุง!J423"")"),0)</f>
        <v>0</v>
      </c>
      <c r="K528" s="169">
        <v>0</v>
      </c>
      <c r="L528" s="189"/>
      <c r="M528" s="189"/>
      <c r="N528" s="189"/>
      <c r="O528" s="189"/>
      <c r="P528" s="189"/>
    </row>
    <row r="529" spans="1:16" ht="21.75" customHeight="1" x14ac:dyDescent="0.35">
      <c r="A529" s="183"/>
      <c r="B529" s="184"/>
      <c r="C529" s="184"/>
      <c r="D529" s="201"/>
      <c r="E529" s="203"/>
      <c r="F529" s="203"/>
      <c r="G529" s="233" t="s">
        <v>197</v>
      </c>
      <c r="H529" s="428" t="s">
        <v>122</v>
      </c>
      <c r="I529" s="195">
        <f ca="1">IFERROR(__xludf.DUMMYFUNCTION("IMPORTRANGE(""https://docs.google.com/spreadsheets/d/1IYY_tgx_IHuhSq3AJ5eI5OnqOPBNLWSHKh2a30DoXe8/edit?usp=sharing"",""พัทลุง!I424"")"),0)</f>
        <v>0</v>
      </c>
      <c r="J529" s="205">
        <f ca="1">IFERROR(__xludf.DUMMYFUNCTION("IMPORTRANGE(""https://docs.google.com/spreadsheets/d/1IYY_tgx_IHuhSq3AJ5eI5OnqOPBNLWSHKh2a30DoXe8/edit?usp=sharing"",""พัทลุง!J424"")"),0)</f>
        <v>0</v>
      </c>
      <c r="K529" s="169">
        <v>0</v>
      </c>
      <c r="L529" s="189"/>
      <c r="M529" s="189"/>
      <c r="N529" s="189"/>
      <c r="O529" s="189"/>
      <c r="P529" s="189"/>
    </row>
    <row r="530" spans="1:16" ht="21.75" customHeight="1" x14ac:dyDescent="0.35">
      <c r="A530" s="183"/>
      <c r="B530" s="184"/>
      <c r="C530" s="184"/>
      <c r="D530" s="201"/>
      <c r="E530" s="203"/>
      <c r="F530" s="203"/>
      <c r="G530" s="204"/>
      <c r="H530" s="428" t="s">
        <v>36</v>
      </c>
      <c r="I530" s="195">
        <f ca="1">IFERROR(__xludf.DUMMYFUNCTION("IMPORTRANGE(""https://docs.google.com/spreadsheets/d/1IYY_tgx_IHuhSq3AJ5eI5OnqOPBNLWSHKh2a30DoXe8/edit?usp=sharing"",""พัทลุง!I425"")"),0)</f>
        <v>0</v>
      </c>
      <c r="J530" s="205">
        <f ca="1">IFERROR(__xludf.DUMMYFUNCTION("IMPORTRANGE(""https://docs.google.com/spreadsheets/d/1IYY_tgx_IHuhSq3AJ5eI5OnqOPBNLWSHKh2a30DoXe8/edit?usp=sharing"",""พัทลุง!J425"")"),0)</f>
        <v>0</v>
      </c>
      <c r="K530" s="169">
        <v>0</v>
      </c>
      <c r="L530" s="189"/>
      <c r="M530" s="189"/>
      <c r="N530" s="189"/>
      <c r="O530" s="189"/>
      <c r="P530" s="189"/>
    </row>
    <row r="531" spans="1:16" ht="21.75" customHeight="1" x14ac:dyDescent="0.35">
      <c r="A531" s="183"/>
      <c r="B531" s="184"/>
      <c r="C531" s="184"/>
      <c r="D531" s="201"/>
      <c r="E531" s="203"/>
      <c r="F531" s="203"/>
      <c r="G531" s="233" t="s">
        <v>201</v>
      </c>
      <c r="H531" s="428" t="s">
        <v>122</v>
      </c>
      <c r="I531" s="195">
        <f ca="1">IFERROR(__xludf.DUMMYFUNCTION("IMPORTRANGE(""https://docs.google.com/spreadsheets/d/1IYY_tgx_IHuhSq3AJ5eI5OnqOPBNLWSHKh2a30DoXe8/edit?usp=sharing"",""พัทลุง!I426"")"),0)</f>
        <v>0</v>
      </c>
      <c r="J531" s="205">
        <f ca="1">IFERROR(__xludf.DUMMYFUNCTION("IMPORTRANGE(""https://docs.google.com/spreadsheets/d/1IYY_tgx_IHuhSq3AJ5eI5OnqOPBNLWSHKh2a30DoXe8/edit?usp=sharing"",""พัทลุง!J426"")"),0)</f>
        <v>0</v>
      </c>
      <c r="K531" s="169">
        <v>0</v>
      </c>
      <c r="L531" s="189"/>
      <c r="M531" s="189"/>
      <c r="N531" s="189"/>
      <c r="O531" s="189"/>
      <c r="P531" s="189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IFERROR(__xludf.DUMMYFUNCTION("IMPORTRANGE(""https://docs.google.com/spreadsheets/d/1IYY_tgx_IHuhSq3AJ5eI5OnqOPBNLWSHKh2a30DoXe8/edit?usp=sharing"",""พัทลุง!I427"")"),0)</f>
        <v>0</v>
      </c>
      <c r="J532" s="472">
        <f ca="1">IFERROR(__xludf.DUMMYFUNCTION("IMPORTRANGE(""https://docs.google.com/spreadsheets/d/1IYY_tgx_IHuhSq3AJ5eI5OnqOPBNLWSHKh2a30DoXe8/edit?usp=sharing"",""พัทลุง!J427"")"),0)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IFERROR(__xludf.DUMMYFUNCTION("IMPORTRANGE(""https://docs.google.com/spreadsheets/d/1IYY_tgx_IHuhSq3AJ5eI5OnqOPBNLWSHKh2a30DoXe8/edit?usp=sharing"",""พัทลุง!I428"")"),20)</f>
        <v>20</v>
      </c>
      <c r="J533" s="416">
        <f ca="1">IFERROR(__xludf.DUMMYFUNCTION("IMPORTRANGE(""https://docs.google.com/spreadsheets/d/1IYY_tgx_IHuhSq3AJ5eI5OnqOPBNLWSHKh2a30DoXe8/edit?usp=sharing"",""พัทลุง!J428"")"),20)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IFERROR(__xludf.DUMMYFUNCTION("IMPORTRANGE(""https://docs.google.com/spreadsheets/d/1IYY_tgx_IHuhSq3AJ5eI5OnqOPBNLWSHKh2a30DoXe8/edit?usp=sharing"",""พัทลุง!L428"")"),32640)</f>
        <v>32640</v>
      </c>
      <c r="M533" s="418"/>
      <c r="N533" s="418">
        <f ca="1">IFERROR(__xludf.DUMMYFUNCTION("IMPORTRANGE(""https://docs.google.com/spreadsheets/d/1IYY_tgx_IHuhSq3AJ5eI5OnqOPBNLWSHKh2a30DoXe8/edit?usp=sharing"",""พัทลุง!M428"")"),22310)</f>
        <v>22310</v>
      </c>
      <c r="O533" s="418">
        <f t="shared" ref="O533:O537" ca="1" si="118">+IF(L533&gt;0,N533*100/L533,0)</f>
        <v>68.351715686274517</v>
      </c>
      <c r="P533" s="418"/>
    </row>
    <row r="534" spans="1:16" ht="21.75" customHeight="1" x14ac:dyDescent="0.35">
      <c r="A534" s="162"/>
      <c r="B534" s="163"/>
      <c r="C534" s="163" t="s">
        <v>16</v>
      </c>
      <c r="D534" s="164" t="s">
        <v>38</v>
      </c>
      <c r="E534" s="165"/>
      <c r="F534" s="165"/>
      <c r="G534" s="166" t="s">
        <v>39</v>
      </c>
      <c r="H534" s="167" t="s">
        <v>12</v>
      </c>
      <c r="I534" s="168" t="s">
        <v>40</v>
      </c>
      <c r="J534" s="168"/>
      <c r="K534" s="169"/>
      <c r="L534" s="170">
        <f ca="1">IFERROR(__xludf.DUMMYFUNCTION("IMPORTRANGE(""https://docs.google.com/spreadsheets/d/1IYY_tgx_IHuhSq3AJ5eI5OnqOPBNLWSHKh2a30DoXe8/edit?usp=sharing"",""พัทลุง!L429"")"),0)</f>
        <v>0</v>
      </c>
      <c r="M534" s="170"/>
      <c r="N534" s="176">
        <f ca="1">IFERROR(__xludf.DUMMYFUNCTION("IMPORTRANGE(""https://docs.google.com/spreadsheets/d/1IYY_tgx_IHuhSq3AJ5eI5OnqOPBNLWSHKh2a30DoXe8/edit?usp=sharing"",""พัทลุง!M429"")"),0)</f>
        <v>0</v>
      </c>
      <c r="O534" s="176">
        <f t="shared" ca="1" si="118"/>
        <v>0</v>
      </c>
      <c r="P534" s="176"/>
    </row>
    <row r="535" spans="1:16" ht="21.75" customHeight="1" x14ac:dyDescent="0.35">
      <c r="A535" s="162"/>
      <c r="B535" s="163"/>
      <c r="C535" s="163"/>
      <c r="D535" s="172"/>
      <c r="E535" s="165"/>
      <c r="F535" s="165" t="s">
        <v>40</v>
      </c>
      <c r="G535" s="166" t="s">
        <v>41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IFERROR(__xludf.DUMMYFUNCTION("IMPORTRANGE(""https://docs.google.com/spreadsheets/d/1IYY_tgx_IHuhSq3AJ5eI5OnqOPBNLWSHKh2a30DoXe8/edit?usp=sharing"",""พัทลุง!L430"")"),32640)</f>
        <v>32640</v>
      </c>
      <c r="M535" s="171"/>
      <c r="N535" s="176">
        <f ca="1">IFERROR(__xludf.DUMMYFUNCTION("IMPORTRANGE(""https://docs.google.com/spreadsheets/d/1IYY_tgx_IHuhSq3AJ5eI5OnqOPBNLWSHKh2a30DoXe8/edit?usp=sharing"",""พัทลุง!M430"")"),22310)</f>
        <v>22310</v>
      </c>
      <c r="O535" s="176">
        <f t="shared" ca="1" si="118"/>
        <v>68.351715686274517</v>
      </c>
      <c r="P535" s="176"/>
    </row>
    <row r="536" spans="1:16" ht="21.75" customHeight="1" x14ac:dyDescent="0.35">
      <c r="A536" s="162"/>
      <c r="B536" s="163"/>
      <c r="C536" s="163"/>
      <c r="D536" s="172"/>
      <c r="E536" s="165"/>
      <c r="F536" s="165"/>
      <c r="G536" s="380" t="s">
        <v>129</v>
      </c>
      <c r="H536" s="167" t="s">
        <v>12</v>
      </c>
      <c r="I536" s="168"/>
      <c r="J536" s="168"/>
      <c r="K536" s="169"/>
      <c r="L536" s="176">
        <f ca="1">IFERROR(__xludf.DUMMYFUNCTION("IMPORTRANGE(""https://docs.google.com/spreadsheets/d/1IYY_tgx_IHuhSq3AJ5eI5OnqOPBNLWSHKh2a30DoXe8/edit?usp=sharing"",""พัทลุง!L431"")"),0)</f>
        <v>0</v>
      </c>
      <c r="M536" s="176"/>
      <c r="N536" s="176">
        <f ca="1">IFERROR(__xludf.DUMMYFUNCTION("IMPORTRANGE(""https://docs.google.com/spreadsheets/d/1IYY_tgx_IHuhSq3AJ5eI5OnqOPBNLWSHKh2a30DoXe8/edit?usp=sharing"",""พัทลุง!M431"")"),0)</f>
        <v>0</v>
      </c>
      <c r="O536" s="176">
        <f t="shared" ca="1" si="118"/>
        <v>0</v>
      </c>
      <c r="P536" s="176"/>
    </row>
    <row r="537" spans="1:16" ht="21.75" customHeight="1" x14ac:dyDescent="0.35">
      <c r="A537" s="162"/>
      <c r="B537" s="163"/>
      <c r="C537" s="163"/>
      <c r="D537" s="172"/>
      <c r="E537" s="165"/>
      <c r="F537" s="165"/>
      <c r="G537" s="380" t="s">
        <v>130</v>
      </c>
      <c r="H537" s="167" t="s">
        <v>12</v>
      </c>
      <c r="I537" s="168"/>
      <c r="J537" s="168"/>
      <c r="K537" s="169"/>
      <c r="L537" s="176">
        <f ca="1">IFERROR(__xludf.DUMMYFUNCTION("IMPORTRANGE(""https://docs.google.com/spreadsheets/d/1IYY_tgx_IHuhSq3AJ5eI5OnqOPBNLWSHKh2a30DoXe8/edit?usp=sharing"",""พัทลุง!L432"")"),32640)</f>
        <v>32640</v>
      </c>
      <c r="M537" s="176"/>
      <c r="N537" s="176">
        <f ca="1">IFERROR(__xludf.DUMMYFUNCTION("IMPORTRANGE(""https://docs.google.com/spreadsheets/d/1IYY_tgx_IHuhSq3AJ5eI5OnqOPBNLWSHKh2a30DoXe8/edit?usp=sharing"",""พัทลุง!M432"")"),22310)</f>
        <v>22310</v>
      </c>
      <c r="O537" s="176">
        <f t="shared" ca="1" si="118"/>
        <v>68.351715686274517</v>
      </c>
      <c r="P537" s="176"/>
    </row>
    <row r="538" spans="1:16" ht="21.75" customHeight="1" x14ac:dyDescent="0.35">
      <c r="A538" s="381"/>
      <c r="B538" s="382"/>
      <c r="C538" s="163"/>
      <c r="D538" s="383"/>
      <c r="E538" s="165"/>
      <c r="F538" s="165"/>
      <c r="G538" s="384" t="s">
        <v>131</v>
      </c>
      <c r="H538" s="167" t="s">
        <v>12</v>
      </c>
      <c r="I538" s="195"/>
      <c r="J538" s="195"/>
      <c r="K538" s="231"/>
      <c r="L538" s="176"/>
      <c r="M538" s="176"/>
      <c r="N538" s="385">
        <f ca="1">IFERROR(__xludf.DUMMYFUNCTION("IMPORTRANGE(""https://docs.google.com/spreadsheets/d/1IYY_tgx_IHuhSq3AJ5eI5OnqOPBNLWSHKh2a30DoXe8/edit?usp=sharing"",""พัทลุง!M433"")"),14560)</f>
        <v>14560</v>
      </c>
      <c r="O538" s="176"/>
      <c r="P538" s="176"/>
    </row>
    <row r="539" spans="1:16" ht="21.75" customHeight="1" x14ac:dyDescent="0.35">
      <c r="A539" s="381"/>
      <c r="B539" s="382"/>
      <c r="C539" s="163"/>
      <c r="D539" s="383"/>
      <c r="E539" s="165"/>
      <c r="F539" s="165"/>
      <c r="G539" s="384" t="s">
        <v>132</v>
      </c>
      <c r="H539" s="167" t="s">
        <v>12</v>
      </c>
      <c r="I539" s="195"/>
      <c r="J539" s="195"/>
      <c r="K539" s="231"/>
      <c r="L539" s="176"/>
      <c r="M539" s="176"/>
      <c r="N539" s="385">
        <f ca="1">IFERROR(__xludf.DUMMYFUNCTION("IMPORTRANGE(""https://docs.google.com/spreadsheets/d/1IYY_tgx_IHuhSq3AJ5eI5OnqOPBNLWSHKh2a30DoXe8/edit?usp=sharing"",""พัทลุง!M434"")"),0)</f>
        <v>0</v>
      </c>
      <c r="O539" s="176"/>
      <c r="P539" s="176"/>
    </row>
    <row r="540" spans="1:16" ht="21.75" customHeight="1" x14ac:dyDescent="0.35">
      <c r="A540" s="381"/>
      <c r="B540" s="382"/>
      <c r="C540" s="163"/>
      <c r="D540" s="383"/>
      <c r="E540" s="165"/>
      <c r="F540" s="165"/>
      <c r="G540" s="384" t="s">
        <v>133</v>
      </c>
      <c r="H540" s="167" t="s">
        <v>12</v>
      </c>
      <c r="I540" s="195"/>
      <c r="J540" s="195"/>
      <c r="K540" s="231"/>
      <c r="L540" s="176"/>
      <c r="M540" s="176"/>
      <c r="N540" s="385">
        <f ca="1">IFERROR(__xludf.DUMMYFUNCTION("IMPORTRANGE(""https://docs.google.com/spreadsheets/d/1IYY_tgx_IHuhSq3AJ5eI5OnqOPBNLWSHKh2a30DoXe8/edit?usp=sharing"",""พัทลุง!M435"")"),0)</f>
        <v>0</v>
      </c>
      <c r="O540" s="176"/>
      <c r="P540" s="176"/>
    </row>
    <row r="541" spans="1:16" ht="21.75" customHeight="1" x14ac:dyDescent="0.35">
      <c r="A541" s="381"/>
      <c r="B541" s="382"/>
      <c r="C541" s="163"/>
      <c r="D541" s="383"/>
      <c r="E541" s="165"/>
      <c r="F541" s="165"/>
      <c r="G541" s="384" t="s">
        <v>134</v>
      </c>
      <c r="H541" s="167" t="s">
        <v>12</v>
      </c>
      <c r="I541" s="195"/>
      <c r="J541" s="195"/>
      <c r="K541" s="231"/>
      <c r="L541" s="176"/>
      <c r="M541" s="176"/>
      <c r="N541" s="385">
        <f ca="1">IFERROR(__xludf.DUMMYFUNCTION("IMPORTRANGE(""https://docs.google.com/spreadsheets/d/1IYY_tgx_IHuhSq3AJ5eI5OnqOPBNLWSHKh2a30DoXe8/edit?usp=sharing"",""พัทลุง!M436"")"),7750)</f>
        <v>7750</v>
      </c>
      <c r="O541" s="176"/>
      <c r="P541" s="176"/>
    </row>
    <row r="542" spans="1:16" ht="21.75" customHeight="1" x14ac:dyDescent="0.35">
      <c r="A542" s="183"/>
      <c r="B542" s="184"/>
      <c r="C542" s="163" t="s">
        <v>16</v>
      </c>
      <c r="D542" s="185" t="s">
        <v>44</v>
      </c>
      <c r="E542" s="186"/>
      <c r="F542" s="186"/>
      <c r="G542" s="187"/>
      <c r="H542" s="188"/>
      <c r="I542" s="168"/>
      <c r="J542" s="168"/>
      <c r="K542" s="169"/>
      <c r="L542" s="189"/>
      <c r="M542" s="189"/>
      <c r="N542" s="189"/>
      <c r="O542" s="189"/>
      <c r="P542" s="189"/>
    </row>
    <row r="543" spans="1:16" ht="21.75" customHeight="1" x14ac:dyDescent="0.35">
      <c r="A543" s="183"/>
      <c r="B543" s="184"/>
      <c r="C543" s="184"/>
      <c r="D543" s="190">
        <v>1</v>
      </c>
      <c r="E543" s="191" t="s">
        <v>45</v>
      </c>
      <c r="F543" s="192"/>
      <c r="G543" s="193"/>
      <c r="H543" s="194"/>
      <c r="I543" s="195"/>
      <c r="J543" s="205">
        <f ca="1">IFERROR(__xludf.DUMMYFUNCTION("IMPORTRANGE(""https://docs.google.com/spreadsheets/d/1IYY_tgx_IHuhSq3AJ5eI5OnqOPBNLWSHKh2a30DoXe8/edit?usp=sharing"",""พัทลุง!J438"")"),0)</f>
        <v>0</v>
      </c>
      <c r="K543" s="169"/>
      <c r="L543" s="189"/>
      <c r="M543" s="189"/>
      <c r="N543" s="189"/>
      <c r="O543" s="189"/>
      <c r="P543" s="189"/>
    </row>
    <row r="544" spans="1:16" ht="21.75" customHeight="1" x14ac:dyDescent="0.35">
      <c r="A544" s="183"/>
      <c r="B544" s="184"/>
      <c r="C544" s="184"/>
      <c r="D544" s="197">
        <v>2</v>
      </c>
      <c r="E544" s="198" t="s">
        <v>46</v>
      </c>
      <c r="F544" s="199"/>
      <c r="G544" s="200"/>
      <c r="H544" s="194"/>
      <c r="I544" s="195"/>
      <c r="J544" s="196">
        <f ca="1">IFERROR(__xludf.DUMMYFUNCTION("IMPORTRANGE(""https://docs.google.com/spreadsheets/d/1IYY_tgx_IHuhSq3AJ5eI5OnqOPBNLWSHKh2a30DoXe8/edit?usp=sharing"",""พัทลุง!J439"")"),1)</f>
        <v>1</v>
      </c>
      <c r="K544" s="169"/>
      <c r="L544" s="189" t="s">
        <v>40</v>
      </c>
      <c r="M544" s="189"/>
      <c r="N544" s="189" t="s">
        <v>40</v>
      </c>
      <c r="O544" s="189"/>
      <c r="P544" s="189"/>
    </row>
    <row r="545" spans="1:16" ht="21.75" customHeight="1" x14ac:dyDescent="0.35">
      <c r="A545" s="183"/>
      <c r="B545" s="184"/>
      <c r="C545" s="184"/>
      <c r="D545" s="201"/>
      <c r="E545" s="202" t="s">
        <v>47</v>
      </c>
      <c r="F545" s="203"/>
      <c r="G545" s="204"/>
      <c r="H545" s="194"/>
      <c r="I545" s="195"/>
      <c r="J545" s="196">
        <f ca="1">IFERROR(__xludf.DUMMYFUNCTION("IMPORTRANGE(""https://docs.google.com/spreadsheets/d/1IYY_tgx_IHuhSq3AJ5eI5OnqOPBNLWSHKh2a30DoXe8/edit?usp=sharing"",""พัทลุง!J440"")"),1)</f>
        <v>1</v>
      </c>
      <c r="K545" s="169"/>
      <c r="L545" s="189"/>
      <c r="M545" s="189"/>
      <c r="N545" s="189"/>
      <c r="O545" s="189"/>
      <c r="P545" s="189"/>
    </row>
    <row r="546" spans="1:16" ht="21.75" customHeight="1" x14ac:dyDescent="0.35">
      <c r="A546" s="183"/>
      <c r="B546" s="184"/>
      <c r="C546" s="184"/>
      <c r="D546" s="201"/>
      <c r="E546" s="202" t="s">
        <v>48</v>
      </c>
      <c r="F546" s="203"/>
      <c r="G546" s="204"/>
      <c r="H546" s="194"/>
      <c r="I546" s="195"/>
      <c r="J546" s="205">
        <f ca="1">IFERROR(__xludf.DUMMYFUNCTION("IMPORTRANGE(""https://docs.google.com/spreadsheets/d/1IYY_tgx_IHuhSq3AJ5eI5OnqOPBNLWSHKh2a30DoXe8/edit?usp=sharing"",""พัทลุง!J441"")"),1)</f>
        <v>1</v>
      </c>
      <c r="K546" s="169"/>
      <c r="L546" s="189"/>
      <c r="M546" s="189"/>
      <c r="N546" s="189"/>
      <c r="O546" s="189"/>
      <c r="P546" s="189"/>
    </row>
    <row r="547" spans="1:16" ht="21.75" customHeight="1" x14ac:dyDescent="0.35">
      <c r="A547" s="183"/>
      <c r="B547" s="184"/>
      <c r="C547" s="184"/>
      <c r="D547" s="201"/>
      <c r="E547" s="206"/>
      <c r="F547" s="203"/>
      <c r="G547" s="233" t="s">
        <v>203</v>
      </c>
      <c r="H547" s="194" t="s">
        <v>37</v>
      </c>
      <c r="I547" s="211">
        <f ca="1">IFERROR(__xludf.DUMMYFUNCTION("IMPORTRANGE(""https://docs.google.com/spreadsheets/d/1IYY_tgx_IHuhSq3AJ5eI5OnqOPBNLWSHKh2a30DoXe8/edit?usp=sharing"",""พัทลุง!I442"")"),20)</f>
        <v>20</v>
      </c>
      <c r="J547" s="196">
        <f ca="1">IFERROR(__xludf.DUMMYFUNCTION("IMPORTRANGE(""https://docs.google.com/spreadsheets/d/1IYY_tgx_IHuhSq3AJ5eI5OnqOPBNLWSHKh2a30DoXe8/edit?usp=sharing"",""พัทลุง!J442"")"),20)</f>
        <v>20</v>
      </c>
      <c r="K547" s="169">
        <f t="shared" ref="K547:K548" ca="1" si="119">IF(I547&gt;0,J547*100/I547,0)</f>
        <v>100</v>
      </c>
      <c r="L547" s="189"/>
      <c r="M547" s="189"/>
      <c r="N547" s="189"/>
      <c r="O547" s="189"/>
      <c r="P547" s="189"/>
    </row>
    <row r="548" spans="1:16" ht="21.75" hidden="1" customHeight="1" x14ac:dyDescent="0.35">
      <c r="A548" s="183"/>
      <c r="B548" s="184"/>
      <c r="C548" s="184"/>
      <c r="D548" s="201"/>
      <c r="E548" s="206"/>
      <c r="F548" s="203"/>
      <c r="G548" s="233" t="s">
        <v>204</v>
      </c>
      <c r="H548" s="194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5">
        <f ca="1">IFERROR(__xludf.DUMMYFUNCTION("IMPORTRANGE(""https://docs.google.com/spreadsheets/d/1IYY_tgx_IHuhSq3AJ5eI5OnqOPBNLWSHKh2a30DoXe8/edit?usp=sharing"",""พัทลุง!J166"")"),0)</f>
        <v>0</v>
      </c>
      <c r="K548" s="169">
        <f t="shared" ca="1" si="119"/>
        <v>0</v>
      </c>
      <c r="L548" s="189"/>
      <c r="M548" s="189"/>
      <c r="N548" s="189"/>
      <c r="O548" s="189"/>
      <c r="P548" s="189"/>
    </row>
    <row r="549" spans="1:16" ht="21.75" customHeight="1" x14ac:dyDescent="0.35">
      <c r="A549" s="183"/>
      <c r="B549" s="184"/>
      <c r="C549" s="184"/>
      <c r="D549" s="201"/>
      <c r="E549" s="202" t="s">
        <v>54</v>
      </c>
      <c r="F549" s="203"/>
      <c r="G549" s="204"/>
      <c r="H549" s="194"/>
      <c r="I549" s="195"/>
      <c r="J549" s="205">
        <f ca="1">IFERROR(__xludf.DUMMYFUNCTION("IMPORTRANGE(""https://docs.google.com/spreadsheets/d/1IYY_tgx_IHuhSq3AJ5eI5OnqOPBNLWSHKh2a30DoXe8/edit?usp=sharing"",""พัทลุง!J444"")"),0)</f>
        <v>0</v>
      </c>
      <c r="K549" s="169"/>
      <c r="L549" s="189"/>
      <c r="M549" s="189"/>
      <c r="N549" s="189"/>
      <c r="O549" s="189"/>
      <c r="P549" s="189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IFERROR(__xludf.DUMMYFUNCTION("IMPORTRANGE(""https://docs.google.com/spreadsheets/d/1IYY_tgx_IHuhSq3AJ5eI5OnqOPBNLWSHKh2a30DoXe8/edit?usp=sharing"",""พัทลุง!J445"")"),0)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IFERROR(__xludf.DUMMYFUNCTION("IMPORTRANGE(""https://docs.google.com/spreadsheets/d/1IYY_tgx_IHuhSq3AJ5eI5OnqOPBNLWSHKh2a30DoXe8/edit?usp=sharing"",""พัทลุง!I446"")"),0)</f>
        <v>0</v>
      </c>
      <c r="J551" s="416">
        <f ca="1">IFERROR(__xludf.DUMMYFUNCTION("IMPORTRANGE(""https://docs.google.com/spreadsheets/d/1IYY_tgx_IHuhSq3AJ5eI5OnqOPBNLWSHKh2a30DoXe8/edit?usp=sharing"",""พัทลุง!J446"")"),0)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IFERROR(__xludf.DUMMYFUNCTION("IMPORTRANGE(""https://docs.google.com/spreadsheets/d/1IYY_tgx_IHuhSq3AJ5eI5OnqOPBNLWSHKh2a30DoXe8/edit?usp=sharing"",""พัทลุง!L446"")"),0)</f>
        <v>0</v>
      </c>
      <c r="M551" s="418"/>
      <c r="N551" s="418">
        <f ca="1">IFERROR(__xludf.DUMMYFUNCTION("IMPORTRANGE(""https://docs.google.com/spreadsheets/d/1IYY_tgx_IHuhSq3AJ5eI5OnqOPBNLWSHKh2a30DoXe8/edit?usp=sharing"",""พัทลุง!M446"")"),0)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164" t="s">
        <v>38</v>
      </c>
      <c r="E552" s="165"/>
      <c r="F552" s="165"/>
      <c r="G552" s="166" t="s">
        <v>39</v>
      </c>
      <c r="H552" s="167" t="s">
        <v>12</v>
      </c>
      <c r="I552" s="168" t="s">
        <v>40</v>
      </c>
      <c r="J552" s="168"/>
      <c r="K552" s="169"/>
      <c r="L552" s="170">
        <f ca="1">IFERROR(__xludf.DUMMYFUNCTION("IMPORTRANGE(""https://docs.google.com/spreadsheets/d/1IYY_tgx_IHuhSq3AJ5eI5OnqOPBNLWSHKh2a30DoXe8/edit?usp=sharing"",""พัทลุง!L447"")"),0)</f>
        <v>0</v>
      </c>
      <c r="M552" s="170"/>
      <c r="N552" s="176">
        <f ca="1">IFERROR(__xludf.DUMMYFUNCTION("IMPORTRANGE(""https://docs.google.com/spreadsheets/d/1IYY_tgx_IHuhSq3AJ5eI5OnqOPBNLWSHKh2a30DoXe8/edit?usp=sharing"",""พัทลุง!M447"")"),0)</f>
        <v>0</v>
      </c>
      <c r="O552" s="176">
        <f t="shared" ca="1" si="120"/>
        <v>0</v>
      </c>
      <c r="P552" s="176"/>
    </row>
    <row r="553" spans="1:16" ht="21.75" customHeight="1" x14ac:dyDescent="0.35">
      <c r="A553" s="162"/>
      <c r="B553" s="163"/>
      <c r="C553" s="163"/>
      <c r="D553" s="172"/>
      <c r="E553" s="165"/>
      <c r="F553" s="165" t="s">
        <v>40</v>
      </c>
      <c r="G553" s="166" t="s">
        <v>41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IFERROR(__xludf.DUMMYFUNCTION("IMPORTRANGE(""https://docs.google.com/spreadsheets/d/1IYY_tgx_IHuhSq3AJ5eI5OnqOPBNLWSHKh2a30DoXe8/edit?usp=sharing"",""พัทลุง!L448"")"),0)</f>
        <v>0</v>
      </c>
      <c r="M553" s="171"/>
      <c r="N553" s="176">
        <f ca="1">IFERROR(__xludf.DUMMYFUNCTION("IMPORTRANGE(""https://docs.google.com/spreadsheets/d/1IYY_tgx_IHuhSq3AJ5eI5OnqOPBNLWSHKh2a30DoXe8/edit?usp=sharing"",""พัทลุง!M448"")"),0)</f>
        <v>0</v>
      </c>
      <c r="O553" s="176">
        <f t="shared" ca="1" si="120"/>
        <v>0</v>
      </c>
      <c r="P553" s="176"/>
    </row>
    <row r="554" spans="1:16" ht="21.75" customHeight="1" x14ac:dyDescent="0.35">
      <c r="A554" s="162"/>
      <c r="B554" s="163"/>
      <c r="C554" s="163"/>
      <c r="D554" s="172"/>
      <c r="E554" s="165"/>
      <c r="F554" s="165"/>
      <c r="G554" s="380" t="s">
        <v>129</v>
      </c>
      <c r="H554" s="167" t="s">
        <v>12</v>
      </c>
      <c r="I554" s="168"/>
      <c r="J554" s="168"/>
      <c r="K554" s="169"/>
      <c r="L554" s="176">
        <f ca="1">IFERROR(__xludf.DUMMYFUNCTION("IMPORTRANGE(""https://docs.google.com/spreadsheets/d/1IYY_tgx_IHuhSq3AJ5eI5OnqOPBNLWSHKh2a30DoXe8/edit?usp=sharing"",""พัทลุง!L449"")"),0)</f>
        <v>0</v>
      </c>
      <c r="M554" s="176"/>
      <c r="N554" s="176">
        <f ca="1">IFERROR(__xludf.DUMMYFUNCTION("IMPORTRANGE(""https://docs.google.com/spreadsheets/d/1IYY_tgx_IHuhSq3AJ5eI5OnqOPBNLWSHKh2a30DoXe8/edit?usp=sharing"",""พัทลุง!M449"")"),0)</f>
        <v>0</v>
      </c>
      <c r="O554" s="176">
        <f t="shared" ca="1" si="120"/>
        <v>0</v>
      </c>
      <c r="P554" s="176"/>
    </row>
    <row r="555" spans="1:16" ht="21.75" customHeight="1" x14ac:dyDescent="0.35">
      <c r="A555" s="162"/>
      <c r="B555" s="163"/>
      <c r="C555" s="163"/>
      <c r="D555" s="172"/>
      <c r="E555" s="165"/>
      <c r="F555" s="165"/>
      <c r="G555" s="380" t="s">
        <v>130</v>
      </c>
      <c r="H555" s="167" t="s">
        <v>12</v>
      </c>
      <c r="I555" s="168"/>
      <c r="J555" s="168"/>
      <c r="K555" s="169"/>
      <c r="L555" s="176">
        <f ca="1">IFERROR(__xludf.DUMMYFUNCTION("IMPORTRANGE(""https://docs.google.com/spreadsheets/d/1IYY_tgx_IHuhSq3AJ5eI5OnqOPBNLWSHKh2a30DoXe8/edit?usp=sharing"",""พัทลุง!L450"")"),0)</f>
        <v>0</v>
      </c>
      <c r="M555" s="176"/>
      <c r="N555" s="176">
        <f ca="1">IFERROR(__xludf.DUMMYFUNCTION("IMPORTRANGE(""https://docs.google.com/spreadsheets/d/1IYY_tgx_IHuhSq3AJ5eI5OnqOPBNLWSHKh2a30DoXe8/edit?usp=sharing"",""พัทลุง!M450"")"),0)</f>
        <v>0</v>
      </c>
      <c r="O555" s="176">
        <f t="shared" ca="1" si="120"/>
        <v>0</v>
      </c>
      <c r="P555" s="176"/>
    </row>
    <row r="556" spans="1:16" ht="21.75" customHeight="1" x14ac:dyDescent="0.35">
      <c r="A556" s="381"/>
      <c r="B556" s="382"/>
      <c r="C556" s="163"/>
      <c r="D556" s="383"/>
      <c r="E556" s="165"/>
      <c r="F556" s="165"/>
      <c r="G556" s="384" t="s">
        <v>131</v>
      </c>
      <c r="H556" s="167" t="s">
        <v>12</v>
      </c>
      <c r="I556" s="195"/>
      <c r="J556" s="195"/>
      <c r="K556" s="231"/>
      <c r="L556" s="176"/>
      <c r="M556" s="176"/>
      <c r="N556" s="173">
        <f ca="1">IFERROR(__xludf.DUMMYFUNCTION("IMPORTRANGE(""https://docs.google.com/spreadsheets/d/1IYY_tgx_IHuhSq3AJ5eI5OnqOPBNLWSHKh2a30DoXe8/edit?usp=sharing"",""พัทลุง!M451"")"),0)</f>
        <v>0</v>
      </c>
      <c r="O556" s="176"/>
      <c r="P556" s="176"/>
    </row>
    <row r="557" spans="1:16" ht="21.75" customHeight="1" x14ac:dyDescent="0.35">
      <c r="A557" s="381"/>
      <c r="B557" s="382"/>
      <c r="C557" s="163"/>
      <c r="D557" s="383"/>
      <c r="E557" s="165"/>
      <c r="F557" s="165"/>
      <c r="G557" s="384" t="s">
        <v>132</v>
      </c>
      <c r="H557" s="167" t="s">
        <v>12</v>
      </c>
      <c r="I557" s="195"/>
      <c r="J557" s="195"/>
      <c r="K557" s="231"/>
      <c r="L557" s="176"/>
      <c r="M557" s="176"/>
      <c r="N557" s="173">
        <f ca="1">IFERROR(__xludf.DUMMYFUNCTION("IMPORTRANGE(""https://docs.google.com/spreadsheets/d/1IYY_tgx_IHuhSq3AJ5eI5OnqOPBNLWSHKh2a30DoXe8/edit?usp=sharing"",""พัทลุง!M452"")"),0)</f>
        <v>0</v>
      </c>
      <c r="O557" s="176"/>
      <c r="P557" s="176"/>
    </row>
    <row r="558" spans="1:16" ht="21.75" customHeight="1" x14ac:dyDescent="0.35">
      <c r="A558" s="381"/>
      <c r="B558" s="382"/>
      <c r="C558" s="163"/>
      <c r="D558" s="383"/>
      <c r="E558" s="165"/>
      <c r="F558" s="165"/>
      <c r="G558" s="384" t="s">
        <v>133</v>
      </c>
      <c r="H558" s="167" t="s">
        <v>12</v>
      </c>
      <c r="I558" s="195"/>
      <c r="J558" s="195"/>
      <c r="K558" s="231"/>
      <c r="L558" s="176"/>
      <c r="M558" s="176"/>
      <c r="N558" s="173">
        <f ca="1">IFERROR(__xludf.DUMMYFUNCTION("IMPORTRANGE(""https://docs.google.com/spreadsheets/d/1IYY_tgx_IHuhSq3AJ5eI5OnqOPBNLWSHKh2a30DoXe8/edit?usp=sharing"",""พัทลุง!M453"")"),0)</f>
        <v>0</v>
      </c>
      <c r="O558" s="176"/>
      <c r="P558" s="176"/>
    </row>
    <row r="559" spans="1:16" ht="21.75" customHeight="1" x14ac:dyDescent="0.35">
      <c r="A559" s="381"/>
      <c r="B559" s="382"/>
      <c r="C559" s="163"/>
      <c r="D559" s="383"/>
      <c r="E559" s="165"/>
      <c r="F559" s="165"/>
      <c r="G559" s="384" t="s">
        <v>134</v>
      </c>
      <c r="H559" s="167" t="s">
        <v>12</v>
      </c>
      <c r="I559" s="195"/>
      <c r="J559" s="195"/>
      <c r="K559" s="231"/>
      <c r="L559" s="176"/>
      <c r="M559" s="176"/>
      <c r="N559" s="173">
        <f ca="1">IFERROR(__xludf.DUMMYFUNCTION("IMPORTRANGE(""https://docs.google.com/spreadsheets/d/1IYY_tgx_IHuhSq3AJ5eI5OnqOPBNLWSHKh2a30DoXe8/edit?usp=sharing"",""พัทลุง!M454"")"),0)</f>
        <v>0</v>
      </c>
      <c r="O559" s="176"/>
      <c r="P559" s="176"/>
    </row>
    <row r="560" spans="1:16" ht="21.75" customHeight="1" x14ac:dyDescent="0.35">
      <c r="A560" s="183"/>
      <c r="B560" s="184"/>
      <c r="C560" s="184"/>
      <c r="D560" s="201"/>
      <c r="E560" s="203"/>
      <c r="F560" s="285" t="s">
        <v>206</v>
      </c>
      <c r="G560" s="204"/>
      <c r="H560" s="481" t="s">
        <v>122</v>
      </c>
      <c r="I560" s="168">
        <f ca="1">IFERROR(__xludf.DUMMYFUNCTION("IMPORTRANGE(""https://docs.google.com/spreadsheets/d/1IYY_tgx_IHuhSq3AJ5eI5OnqOPBNLWSHKh2a30DoXe8/edit?usp=sharing"",""พัทลุง!I455"")"),0)</f>
        <v>0</v>
      </c>
      <c r="J560" s="168">
        <f ca="1">IFERROR(__xludf.DUMMYFUNCTION("IMPORTRANGE(""https://docs.google.com/spreadsheets/d/1IYY_tgx_IHuhSq3AJ5eI5OnqOPBNLWSHKh2a30DoXe8/edit?usp=sharing"",""พัทลุง!J455"")"),0)</f>
        <v>0</v>
      </c>
      <c r="K560" s="231">
        <f t="shared" ref="K560:K564" ca="1" si="121">IF(I560&gt;0,J560*100/I560,0)</f>
        <v>0</v>
      </c>
      <c r="L560" s="176"/>
      <c r="M560" s="176"/>
      <c r="N560" s="176"/>
      <c r="O560" s="189"/>
      <c r="P560" s="189"/>
    </row>
    <row r="561" spans="1:16" ht="21.75" customHeight="1" x14ac:dyDescent="0.35">
      <c r="A561" s="183"/>
      <c r="B561" s="184"/>
      <c r="C561" s="184"/>
      <c r="D561" s="201"/>
      <c r="E561" s="203"/>
      <c r="F561" s="203"/>
      <c r="G561" s="204"/>
      <c r="H561" s="481" t="s">
        <v>36</v>
      </c>
      <c r="I561" s="168">
        <f ca="1">IFERROR(__xludf.DUMMYFUNCTION("IMPORTRANGE(""https://docs.google.com/spreadsheets/d/1IYY_tgx_IHuhSq3AJ5eI5OnqOPBNLWSHKh2a30DoXe8/edit?usp=sharing"",""พัทลุง!I456"")"),0)</f>
        <v>0</v>
      </c>
      <c r="J561" s="211">
        <f ca="1">IFERROR(__xludf.DUMMYFUNCTION("IMPORTRANGE(""https://docs.google.com/spreadsheets/d/1IYY_tgx_IHuhSq3AJ5eI5OnqOPBNLWSHKh2a30DoXe8/edit?usp=sharing"",""พัทลุง!J456"")"),0)</f>
        <v>0</v>
      </c>
      <c r="K561" s="231">
        <f t="shared" ca="1" si="121"/>
        <v>0</v>
      </c>
      <c r="L561" s="176"/>
      <c r="M561" s="176"/>
      <c r="N561" s="176"/>
      <c r="O561" s="189"/>
      <c r="P561" s="189"/>
    </row>
    <row r="562" spans="1:16" ht="21.75" customHeight="1" x14ac:dyDescent="0.35">
      <c r="A562" s="183"/>
      <c r="B562" s="184"/>
      <c r="C562" s="184"/>
      <c r="D562" s="201"/>
      <c r="E562" s="203"/>
      <c r="F562" s="203" t="s">
        <v>207</v>
      </c>
      <c r="G562" s="204"/>
      <c r="H562" s="481" t="s">
        <v>122</v>
      </c>
      <c r="I562" s="168">
        <f ca="1">IFERROR(__xludf.DUMMYFUNCTION("IMPORTRANGE(""https://docs.google.com/spreadsheets/d/1IYY_tgx_IHuhSq3AJ5eI5OnqOPBNLWSHKh2a30DoXe8/edit?usp=sharing"",""พัทลุง!I457"")"),0)</f>
        <v>0</v>
      </c>
      <c r="J562" s="211" t="str">
        <f ca="1">IFERROR(__xludf.DUMMYFUNCTION("IMPORTRANGE(""https://docs.google.com/spreadsheets/d/1IYY_tgx_IHuhSq3AJ5eI5OnqOPBNLWSHKh2a30DoXe8/edit?usp=sharing"",""พัทลุง!J457"")"),"")</f>
        <v/>
      </c>
      <c r="K562" s="169">
        <f t="shared" ca="1" si="121"/>
        <v>0</v>
      </c>
      <c r="L562" s="189"/>
      <c r="M562" s="189"/>
      <c r="N562" s="189"/>
      <c r="O562" s="189"/>
      <c r="P562" s="189"/>
    </row>
    <row r="563" spans="1:16" ht="21.75" customHeight="1" x14ac:dyDescent="0.35">
      <c r="A563" s="183"/>
      <c r="B563" s="184"/>
      <c r="C563" s="184"/>
      <c r="D563" s="201"/>
      <c r="E563" s="203"/>
      <c r="F563" s="203"/>
      <c r="G563" s="204"/>
      <c r="H563" s="481" t="s">
        <v>36</v>
      </c>
      <c r="I563" s="168">
        <f ca="1">IFERROR(__xludf.DUMMYFUNCTION("IMPORTRANGE(""https://docs.google.com/spreadsheets/d/1IYY_tgx_IHuhSq3AJ5eI5OnqOPBNLWSHKh2a30DoXe8/edit?usp=sharing"",""พัทลุง!I458"")"),0)</f>
        <v>0</v>
      </c>
      <c r="J563" s="195" t="str">
        <f ca="1">IFERROR(__xludf.DUMMYFUNCTION("IMPORTRANGE(""https://docs.google.com/spreadsheets/d/1IYY_tgx_IHuhSq3AJ5eI5OnqOPBNLWSHKh2a30DoXe8/edit?usp=sharing"",""พัทลุง!J458"")"),"")</f>
        <v/>
      </c>
      <c r="K563" s="169">
        <f t="shared" ca="1" si="121"/>
        <v>0</v>
      </c>
      <c r="L563" s="189"/>
      <c r="M563" s="189"/>
      <c r="N563" s="189"/>
      <c r="O563" s="189"/>
      <c r="P563" s="189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IFERROR(__xludf.DUMMYFUNCTION("IMPORTRANGE(""https://docs.google.com/spreadsheets/d/1IYY_tgx_IHuhSq3AJ5eI5OnqOPBNLWSHKh2a30DoXe8/edit?usp=sharing"",""พัทลุง!I459"")"),1150)</f>
        <v>1150</v>
      </c>
      <c r="J564" s="377">
        <f ca="1">IFERROR(__xludf.DUMMYFUNCTION("IMPORTRANGE(""https://docs.google.com/spreadsheets/d/1IYY_tgx_IHuhSq3AJ5eI5OnqOPBNLWSHKh2a30DoXe8/edit?usp=sharing"",""พัทลุง!J459"")"),1130)</f>
        <v>1130</v>
      </c>
      <c r="K564" s="378">
        <f t="shared" ca="1" si="121"/>
        <v>98.260869565217391</v>
      </c>
      <c r="L564" s="379">
        <f ca="1">IFERROR(__xludf.DUMMYFUNCTION("IMPORTRANGE(""https://docs.google.com/spreadsheets/d/1IYY_tgx_IHuhSq3AJ5eI5OnqOPBNLWSHKh2a30DoXe8/edit?usp=sharing"",""พัทลุง!L459"")"),120320)</f>
        <v>120320</v>
      </c>
      <c r="M564" s="379"/>
      <c r="N564" s="379">
        <f ca="1">IFERROR(__xludf.DUMMYFUNCTION("IMPORTRANGE(""https://docs.google.com/spreadsheets/d/1IYY_tgx_IHuhSq3AJ5eI5OnqOPBNLWSHKh2a30DoXe8/edit?usp=sharing"",""พัทลุง!M459"")"),53677.84)</f>
        <v>53677.84</v>
      </c>
      <c r="O564" s="379">
        <f t="shared" ref="O564:O568" ca="1" si="122">+IF(L564&gt;0,N564*100/L564,0)</f>
        <v>44.612566489361704</v>
      </c>
      <c r="P564" s="379"/>
    </row>
    <row r="565" spans="1:16" ht="21.75" customHeight="1" x14ac:dyDescent="0.35">
      <c r="A565" s="162"/>
      <c r="B565" s="163"/>
      <c r="C565" s="163" t="s">
        <v>16</v>
      </c>
      <c r="D565" s="164" t="s">
        <v>38</v>
      </c>
      <c r="E565" s="165"/>
      <c r="F565" s="165"/>
      <c r="G565" s="166" t="s">
        <v>39</v>
      </c>
      <c r="H565" s="167" t="s">
        <v>12</v>
      </c>
      <c r="I565" s="168" t="s">
        <v>40</v>
      </c>
      <c r="J565" s="168"/>
      <c r="K565" s="169"/>
      <c r="L565" s="170">
        <f ca="1">IFERROR(__xludf.DUMMYFUNCTION("IMPORTRANGE(""https://docs.google.com/spreadsheets/d/1IYY_tgx_IHuhSq3AJ5eI5OnqOPBNLWSHKh2a30DoXe8/edit?usp=sharing"",""พัทลุง!L460"")"),0)</f>
        <v>0</v>
      </c>
      <c r="M565" s="170"/>
      <c r="N565" s="176">
        <f ca="1">IFERROR(__xludf.DUMMYFUNCTION("IMPORTRANGE(""https://docs.google.com/spreadsheets/d/1IYY_tgx_IHuhSq3AJ5eI5OnqOPBNLWSHKh2a30DoXe8/edit?usp=sharing"",""พัทลุง!M460"")"),0)</f>
        <v>0</v>
      </c>
      <c r="O565" s="176">
        <f t="shared" ca="1" si="122"/>
        <v>0</v>
      </c>
      <c r="P565" s="176"/>
    </row>
    <row r="566" spans="1:16" ht="21.75" customHeight="1" x14ac:dyDescent="0.35">
      <c r="A566" s="162"/>
      <c r="B566" s="163"/>
      <c r="C566" s="163"/>
      <c r="D566" s="172"/>
      <c r="E566" s="165"/>
      <c r="F566" s="165" t="s">
        <v>40</v>
      </c>
      <c r="G566" s="166" t="s">
        <v>41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IFERROR(__xludf.DUMMYFUNCTION("IMPORTRANGE(""https://docs.google.com/spreadsheets/d/1IYY_tgx_IHuhSq3AJ5eI5OnqOPBNLWSHKh2a30DoXe8/edit?usp=sharing"",""พัทลุง!L461"")"),120320)</f>
        <v>120320</v>
      </c>
      <c r="M566" s="171"/>
      <c r="N566" s="176">
        <f ca="1">IFERROR(__xludf.DUMMYFUNCTION("IMPORTRANGE(""https://docs.google.com/spreadsheets/d/1IYY_tgx_IHuhSq3AJ5eI5OnqOPBNLWSHKh2a30DoXe8/edit?usp=sharing"",""พัทลุง!M461"")"),53677.84)</f>
        <v>53677.84</v>
      </c>
      <c r="O566" s="176">
        <f t="shared" ca="1" si="122"/>
        <v>44.612566489361704</v>
      </c>
      <c r="P566" s="176"/>
    </row>
    <row r="567" spans="1:16" ht="21.75" customHeight="1" x14ac:dyDescent="0.35">
      <c r="A567" s="162"/>
      <c r="B567" s="163"/>
      <c r="C567" s="163"/>
      <c r="D567" s="172"/>
      <c r="E567" s="165"/>
      <c r="F567" s="165"/>
      <c r="G567" s="380" t="s">
        <v>129</v>
      </c>
      <c r="H567" s="167" t="s">
        <v>12</v>
      </c>
      <c r="I567" s="168"/>
      <c r="J567" s="168"/>
      <c r="K567" s="169"/>
      <c r="L567" s="176">
        <f ca="1">IFERROR(__xludf.DUMMYFUNCTION("IMPORTRANGE(""https://docs.google.com/spreadsheets/d/1IYY_tgx_IHuhSq3AJ5eI5OnqOPBNLWSHKh2a30DoXe8/edit?usp=sharing"",""พัทลุง!L462"")"),0)</f>
        <v>0</v>
      </c>
      <c r="M567" s="176"/>
      <c r="N567" s="176">
        <f ca="1">IFERROR(__xludf.DUMMYFUNCTION("IMPORTRANGE(""https://docs.google.com/spreadsheets/d/1IYY_tgx_IHuhSq3AJ5eI5OnqOPBNLWSHKh2a30DoXe8/edit?usp=sharing"",""พัทลุง!M462"")"),0)</f>
        <v>0</v>
      </c>
      <c r="O567" s="176">
        <f t="shared" ca="1" si="122"/>
        <v>0</v>
      </c>
      <c r="P567" s="176"/>
    </row>
    <row r="568" spans="1:16" ht="21.75" customHeight="1" x14ac:dyDescent="0.35">
      <c r="A568" s="162"/>
      <c r="B568" s="163"/>
      <c r="C568" s="163"/>
      <c r="D568" s="172"/>
      <c r="E568" s="165"/>
      <c r="F568" s="165"/>
      <c r="G568" s="380" t="s">
        <v>130</v>
      </c>
      <c r="H568" s="167" t="s">
        <v>12</v>
      </c>
      <c r="I568" s="168"/>
      <c r="J568" s="168"/>
      <c r="K568" s="169"/>
      <c r="L568" s="176">
        <f ca="1">IFERROR(__xludf.DUMMYFUNCTION("IMPORTRANGE(""https://docs.google.com/spreadsheets/d/1IYY_tgx_IHuhSq3AJ5eI5OnqOPBNLWSHKh2a30DoXe8/edit?usp=sharing"",""พัทลุง!L463"")"),120320)</f>
        <v>120320</v>
      </c>
      <c r="M568" s="176"/>
      <c r="N568" s="176">
        <f ca="1">IFERROR(__xludf.DUMMYFUNCTION("IMPORTRANGE(""https://docs.google.com/spreadsheets/d/1IYY_tgx_IHuhSq3AJ5eI5OnqOPBNLWSHKh2a30DoXe8/edit?usp=sharing"",""พัทลุง!M463"")"),53677.84)</f>
        <v>53677.84</v>
      </c>
      <c r="O568" s="176">
        <f t="shared" ca="1" si="122"/>
        <v>44.612566489361704</v>
      </c>
      <c r="P568" s="176"/>
    </row>
    <row r="569" spans="1:16" ht="21.75" customHeight="1" x14ac:dyDescent="0.35">
      <c r="A569" s="381"/>
      <c r="B569" s="382"/>
      <c r="C569" s="163"/>
      <c r="D569" s="383"/>
      <c r="E569" s="165"/>
      <c r="F569" s="165"/>
      <c r="G569" s="384" t="s">
        <v>131</v>
      </c>
      <c r="H569" s="167" t="s">
        <v>12</v>
      </c>
      <c r="I569" s="195"/>
      <c r="J569" s="195"/>
      <c r="K569" s="231"/>
      <c r="L569" s="176"/>
      <c r="M569" s="176"/>
      <c r="N569" s="173">
        <f ca="1">IFERROR(__xludf.DUMMYFUNCTION("IMPORTRANGE(""https://docs.google.com/spreadsheets/d/1IYY_tgx_IHuhSq3AJ5eI5OnqOPBNLWSHKh2a30DoXe8/edit?usp=sharing"",""พัทลุง!M464"")"),0)</f>
        <v>0</v>
      </c>
      <c r="O569" s="176"/>
      <c r="P569" s="176"/>
    </row>
    <row r="570" spans="1:16" ht="21.75" customHeight="1" x14ac:dyDescent="0.35">
      <c r="A570" s="381"/>
      <c r="B570" s="382"/>
      <c r="C570" s="163"/>
      <c r="D570" s="383"/>
      <c r="E570" s="165"/>
      <c r="F570" s="165"/>
      <c r="G570" s="384" t="s">
        <v>132</v>
      </c>
      <c r="H570" s="167" t="s">
        <v>12</v>
      </c>
      <c r="I570" s="195"/>
      <c r="J570" s="195"/>
      <c r="K570" s="231"/>
      <c r="L570" s="176"/>
      <c r="M570" s="176"/>
      <c r="N570" s="173">
        <f ca="1">IFERROR(__xludf.DUMMYFUNCTION("IMPORTRANGE(""https://docs.google.com/spreadsheets/d/1IYY_tgx_IHuhSq3AJ5eI5OnqOPBNLWSHKh2a30DoXe8/edit?usp=sharing"",""พัทลุง!M465"")"),0)</f>
        <v>0</v>
      </c>
      <c r="O570" s="176"/>
      <c r="P570" s="176"/>
    </row>
    <row r="571" spans="1:16" ht="21.75" customHeight="1" x14ac:dyDescent="0.35">
      <c r="A571" s="381"/>
      <c r="B571" s="382"/>
      <c r="C571" s="163"/>
      <c r="D571" s="383"/>
      <c r="E571" s="165"/>
      <c r="F571" s="165"/>
      <c r="G571" s="384" t="s">
        <v>133</v>
      </c>
      <c r="H571" s="167" t="s">
        <v>12</v>
      </c>
      <c r="I571" s="195"/>
      <c r="J571" s="195"/>
      <c r="K571" s="231"/>
      <c r="L571" s="176"/>
      <c r="M571" s="176"/>
      <c r="N571" s="385">
        <f ca="1">IFERROR(__xludf.DUMMYFUNCTION("IMPORTRANGE(""https://docs.google.com/spreadsheets/d/1IYY_tgx_IHuhSq3AJ5eI5OnqOPBNLWSHKh2a30DoXe8/edit?usp=sharing"",""พัทลุง!M466"")"),41137.84)</f>
        <v>41137.839999999997</v>
      </c>
      <c r="O571" s="176"/>
      <c r="P571" s="176"/>
    </row>
    <row r="572" spans="1:16" ht="21.75" customHeight="1" x14ac:dyDescent="0.35">
      <c r="A572" s="381"/>
      <c r="B572" s="382"/>
      <c r="C572" s="163"/>
      <c r="D572" s="383"/>
      <c r="E572" s="165"/>
      <c r="F572" s="165"/>
      <c r="G572" s="384" t="s">
        <v>134</v>
      </c>
      <c r="H572" s="167" t="s">
        <v>12</v>
      </c>
      <c r="I572" s="195"/>
      <c r="J572" s="195"/>
      <c r="K572" s="231"/>
      <c r="L572" s="176"/>
      <c r="M572" s="176"/>
      <c r="N572" s="385">
        <f ca="1">IFERROR(__xludf.DUMMYFUNCTION("IMPORTRANGE(""https://docs.google.com/spreadsheets/d/1IYY_tgx_IHuhSq3AJ5eI5OnqOPBNLWSHKh2a30DoXe8/edit?usp=sharing"",""พัทลุง!M467"")"),12540)</f>
        <v>12540</v>
      </c>
      <c r="O572" s="176"/>
      <c r="P572" s="176"/>
    </row>
    <row r="573" spans="1:16" ht="21.75" customHeight="1" x14ac:dyDescent="0.35">
      <c r="A573" s="183"/>
      <c r="B573" s="184"/>
      <c r="C573" s="184"/>
      <c r="D573" s="203"/>
      <c r="E573" s="202" t="s">
        <v>40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IFERROR(__xludf.DUMMYFUNCTION("IMPORTRANGE(""https://docs.google.com/spreadsheets/d/1IYY_tgx_IHuhSq3AJ5eI5OnqOPBNLWSHKh2a30DoXe8/edit?usp=sharing"",""พัทลุง!I468"")"),1150)</f>
        <v>1150</v>
      </c>
      <c r="J573" s="426">
        <f ca="1">IFERROR(__xludf.DUMMYFUNCTION("IMPORTRANGE(""https://docs.google.com/spreadsheets/d/1IYY_tgx_IHuhSq3AJ5eI5OnqOPBNLWSHKh2a30DoXe8/edit?usp=sharing"",""พัทลุง!J468"")"),1130)</f>
        <v>1130</v>
      </c>
      <c r="K573" s="209">
        <f ca="1">IF(I573&gt;0,J573*100/I573,0)</f>
        <v>98.260869565217391</v>
      </c>
      <c r="L573" s="189"/>
      <c r="M573" s="189"/>
      <c r="N573" s="189"/>
      <c r="O573" s="189"/>
      <c r="P573" s="189"/>
    </row>
    <row r="574" spans="1:16" ht="21.75" customHeight="1" x14ac:dyDescent="0.35">
      <c r="A574" s="183"/>
      <c r="B574" s="184"/>
      <c r="C574" s="184"/>
      <c r="D574" s="203"/>
      <c r="E574" s="203"/>
      <c r="F574" s="202" t="s">
        <v>210</v>
      </c>
      <c r="G574" s="204"/>
      <c r="H574" s="481"/>
      <c r="I574" s="168"/>
      <c r="J574" s="168"/>
      <c r="K574" s="169"/>
      <c r="L574" s="189"/>
      <c r="M574" s="189"/>
      <c r="N574" s="189"/>
      <c r="O574" s="189"/>
      <c r="P574" s="189"/>
    </row>
    <row r="575" spans="1:16" ht="21.75" customHeight="1" x14ac:dyDescent="0.35">
      <c r="A575" s="183"/>
      <c r="B575" s="184"/>
      <c r="C575" s="184"/>
      <c r="D575" s="203"/>
      <c r="E575" s="202" t="s">
        <v>40</v>
      </c>
      <c r="F575" s="202" t="s">
        <v>211</v>
      </c>
      <c r="G575" s="204"/>
      <c r="H575" s="481" t="s">
        <v>77</v>
      </c>
      <c r="I575" s="210">
        <f ca="1">IFERROR(__xludf.DUMMYFUNCTION("IMPORTRANGE(""https://docs.google.com/spreadsheets/d/1IYY_tgx_IHuhSq3AJ5eI5OnqOPBNLWSHKh2a30DoXe8/edit?usp=sharing"",""พัทลุง!I470"")"),0)</f>
        <v>0</v>
      </c>
      <c r="J575" s="205">
        <f ca="1">IFERROR(__xludf.DUMMYFUNCTION("IMPORTRANGE(""https://docs.google.com/spreadsheets/d/1IYY_tgx_IHuhSq3AJ5eI5OnqOPBNLWSHKh2a30DoXe8/edit?usp=sharing"",""พัทลุง!J470"")"),4)</f>
        <v>4</v>
      </c>
      <c r="K575" s="169">
        <f t="shared" ref="K575:K579" ca="1" si="123">IF(I575&gt;0,J575*100/I575,0)</f>
        <v>0</v>
      </c>
      <c r="L575" s="189"/>
      <c r="M575" s="189"/>
      <c r="N575" s="189"/>
      <c r="O575" s="189"/>
      <c r="P575" s="189"/>
    </row>
    <row r="576" spans="1:16" ht="21.75" customHeight="1" x14ac:dyDescent="0.35">
      <c r="A576" s="183"/>
      <c r="B576" s="184"/>
      <c r="C576" s="184"/>
      <c r="D576" s="203"/>
      <c r="E576" s="203"/>
      <c r="F576" s="202" t="s">
        <v>212</v>
      </c>
      <c r="G576" s="204"/>
      <c r="H576" s="481" t="s">
        <v>37</v>
      </c>
      <c r="I576" s="210">
        <f ca="1">IFERROR(__xludf.DUMMYFUNCTION("IMPORTRANGE(""https://docs.google.com/spreadsheets/d/1IYY_tgx_IHuhSq3AJ5eI5OnqOPBNLWSHKh2a30DoXe8/edit?usp=sharing"",""พัทลุง!I471"")"),0)</f>
        <v>0</v>
      </c>
      <c r="J576" s="205">
        <f ca="1">IFERROR(__xludf.DUMMYFUNCTION("IMPORTRANGE(""https://docs.google.com/spreadsheets/d/1IYY_tgx_IHuhSq3AJ5eI5OnqOPBNLWSHKh2a30DoXe8/edit?usp=sharing"",""พัทลุง!J471"")"),117)</f>
        <v>117</v>
      </c>
      <c r="K576" s="169">
        <f t="shared" ca="1" si="123"/>
        <v>0</v>
      </c>
      <c r="L576" s="189"/>
      <c r="M576" s="189"/>
      <c r="N576" s="189"/>
      <c r="O576" s="189"/>
      <c r="P576" s="189"/>
    </row>
    <row r="577" spans="1:16" ht="21.75" customHeight="1" x14ac:dyDescent="0.35">
      <c r="A577" s="183"/>
      <c r="B577" s="184"/>
      <c r="C577" s="184"/>
      <c r="D577" s="203"/>
      <c r="E577" s="203"/>
      <c r="F577" s="202" t="s">
        <v>213</v>
      </c>
      <c r="G577" s="204"/>
      <c r="H577" s="481" t="s">
        <v>37</v>
      </c>
      <c r="I577" s="210">
        <f ca="1">IFERROR(__xludf.DUMMYFUNCTION("IMPORTRANGE(""https://docs.google.com/spreadsheets/d/1IYY_tgx_IHuhSq3AJ5eI5OnqOPBNLWSHKh2a30DoXe8/edit?usp=sharing"",""พัทลุง!I472"")"),0)</f>
        <v>0</v>
      </c>
      <c r="J577" s="196">
        <f ca="1">IFERROR(__xludf.DUMMYFUNCTION("IMPORTRANGE(""https://docs.google.com/spreadsheets/d/1IYY_tgx_IHuhSq3AJ5eI5OnqOPBNLWSHKh2a30DoXe8/edit?usp=sharing"",""พัทลุง!J472"")"),1013)</f>
        <v>1013</v>
      </c>
      <c r="K577" s="169">
        <f t="shared" ca="1" si="123"/>
        <v>0</v>
      </c>
      <c r="L577" s="189"/>
      <c r="M577" s="189"/>
      <c r="N577" s="189"/>
      <c r="O577" s="189"/>
      <c r="P577" s="189"/>
    </row>
    <row r="578" spans="1:16" ht="21.75" customHeight="1" x14ac:dyDescent="0.35">
      <c r="A578" s="183"/>
      <c r="B578" s="184"/>
      <c r="C578" s="184"/>
      <c r="D578" s="203"/>
      <c r="E578" s="203"/>
      <c r="F578" s="202" t="s">
        <v>214</v>
      </c>
      <c r="G578" s="427"/>
      <c r="H578" s="481" t="s">
        <v>37</v>
      </c>
      <c r="I578" s="210">
        <f ca="1">IFERROR(__xludf.DUMMYFUNCTION("IMPORTRANGE(""https://docs.google.com/spreadsheets/d/1IYY_tgx_IHuhSq3AJ5eI5OnqOPBNLWSHKh2a30DoXe8/edit?usp=sharing"",""พัทลุง!I473"")"),0)</f>
        <v>0</v>
      </c>
      <c r="J578" s="205">
        <f ca="1">IFERROR(__xludf.DUMMYFUNCTION("IMPORTRANGE(""https://docs.google.com/spreadsheets/d/1IYY_tgx_IHuhSq3AJ5eI5OnqOPBNLWSHKh2a30DoXe8/edit?usp=sharing"",""พัทลุง!J473"")"),0)</f>
        <v>0</v>
      </c>
      <c r="K578" s="169">
        <f t="shared" ca="1" si="123"/>
        <v>0</v>
      </c>
      <c r="L578" s="189"/>
      <c r="M578" s="189"/>
      <c r="N578" s="189"/>
      <c r="O578" s="189"/>
      <c r="P578" s="189"/>
    </row>
    <row r="579" spans="1:16" ht="21.75" customHeight="1" x14ac:dyDescent="0.35">
      <c r="A579" s="183"/>
      <c r="B579" s="184"/>
      <c r="C579" s="184"/>
      <c r="D579" s="203"/>
      <c r="E579" s="203"/>
      <c r="F579" s="202" t="s">
        <v>215</v>
      </c>
      <c r="G579" s="427"/>
      <c r="H579" s="481" t="s">
        <v>37</v>
      </c>
      <c r="I579" s="210">
        <f ca="1">IFERROR(__xludf.DUMMYFUNCTION("IMPORTRANGE(""https://docs.google.com/spreadsheets/d/1IYY_tgx_IHuhSq3AJ5eI5OnqOPBNLWSHKh2a30DoXe8/edit?usp=sharing"",""พัทลุง!I474"")"),0)</f>
        <v>0</v>
      </c>
      <c r="J579" s="205">
        <f ca="1">IFERROR(__xludf.DUMMYFUNCTION("IMPORTRANGE(""https://docs.google.com/spreadsheets/d/1IYY_tgx_IHuhSq3AJ5eI5OnqOPBNLWSHKh2a30DoXe8/edit?usp=sharing"",""พัทลุง!J474"")"),0)</f>
        <v>0</v>
      </c>
      <c r="K579" s="169">
        <f t="shared" ca="1" si="123"/>
        <v>0</v>
      </c>
      <c r="L579" s="189"/>
      <c r="M579" s="189"/>
      <c r="N579" s="189"/>
      <c r="O579" s="189"/>
      <c r="P579" s="189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IFERROR(__xludf.DUMMYFUNCTION("IMPORTRANGE(""https://docs.google.com/spreadsheets/d/1IYY_tgx_IHuhSq3AJ5eI5OnqOPBNLWSHKh2a30DoXe8/edit?usp=sharing"",""พัทลุง!I475"")"),45)</f>
        <v>45</v>
      </c>
      <c r="J580" s="377">
        <f ca="1">IFERROR(__xludf.DUMMYFUNCTION("IMPORTRANGE(""https://docs.google.com/spreadsheets/d/1IYY_tgx_IHuhSq3AJ5eI5OnqOPBNLWSHKh2a30DoXe8/edit?usp=sharing"",""พัทลุง!J475"")"),0)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IFERROR(__xludf.DUMMYFUNCTION("IMPORTRANGE(""https://docs.google.com/spreadsheets/d/1IYY_tgx_IHuhSq3AJ5eI5OnqOPBNLWSHKh2a30DoXe8/edit?usp=sharing"",""พัทลุง!L475"")"),143795)</f>
        <v>143795</v>
      </c>
      <c r="M580" s="379"/>
      <c r="N580" s="379">
        <f ca="1">IFERROR(__xludf.DUMMYFUNCTION("IMPORTRANGE(""https://docs.google.com/spreadsheets/d/1IYY_tgx_IHuhSq3AJ5eI5OnqOPBNLWSHKh2a30DoXe8/edit?usp=sharing"",""พัทลุง!M475"")"),0)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164" t="s">
        <v>38</v>
      </c>
      <c r="E581" s="165"/>
      <c r="F581" s="165"/>
      <c r="G581" s="166" t="s">
        <v>39</v>
      </c>
      <c r="H581" s="167" t="s">
        <v>12</v>
      </c>
      <c r="I581" s="168" t="s">
        <v>40</v>
      </c>
      <c r="J581" s="168"/>
      <c r="K581" s="169"/>
      <c r="L581" s="170">
        <f ca="1">IFERROR(__xludf.DUMMYFUNCTION("IMPORTRANGE(""https://docs.google.com/spreadsheets/d/1IYY_tgx_IHuhSq3AJ5eI5OnqOPBNLWSHKh2a30DoXe8/edit?usp=sharing"",""พัทลุง!L476"")"),0)</f>
        <v>0</v>
      </c>
      <c r="M581" s="170"/>
      <c r="N581" s="176">
        <f ca="1">IFERROR(__xludf.DUMMYFUNCTION("IMPORTRANGE(""https://docs.google.com/spreadsheets/d/1IYY_tgx_IHuhSq3AJ5eI5OnqOPBNLWSHKh2a30DoXe8/edit?usp=sharing"",""พัทลุง!M476"")"),0)</f>
        <v>0</v>
      </c>
      <c r="O581" s="176">
        <f t="shared" ca="1" si="124"/>
        <v>0</v>
      </c>
      <c r="P581" s="176"/>
    </row>
    <row r="582" spans="1:16" ht="21.75" customHeight="1" x14ac:dyDescent="0.35">
      <c r="A582" s="162"/>
      <c r="B582" s="163"/>
      <c r="C582" s="163"/>
      <c r="D582" s="172"/>
      <c r="E582" s="165"/>
      <c r="F582" s="165" t="s">
        <v>40</v>
      </c>
      <c r="G582" s="166" t="s">
        <v>41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IFERROR(__xludf.DUMMYFUNCTION("IMPORTRANGE(""https://docs.google.com/spreadsheets/d/1IYY_tgx_IHuhSq3AJ5eI5OnqOPBNLWSHKh2a30DoXe8/edit?usp=sharing"",""พัทลุง!L477"")"),143795)</f>
        <v>143795</v>
      </c>
      <c r="M582" s="171"/>
      <c r="N582" s="176">
        <f ca="1">IFERROR(__xludf.DUMMYFUNCTION("IMPORTRANGE(""https://docs.google.com/spreadsheets/d/1IYY_tgx_IHuhSq3AJ5eI5OnqOPBNLWSHKh2a30DoXe8/edit?usp=sharing"",""พัทลุง!M477"")"),0)</f>
        <v>0</v>
      </c>
      <c r="O582" s="176">
        <f t="shared" ca="1" si="124"/>
        <v>0</v>
      </c>
      <c r="P582" s="176"/>
    </row>
    <row r="583" spans="1:16" ht="21.75" customHeight="1" x14ac:dyDescent="0.35">
      <c r="A583" s="162"/>
      <c r="B583" s="163"/>
      <c r="C583" s="163"/>
      <c r="D583" s="172"/>
      <c r="E583" s="165"/>
      <c r="F583" s="165"/>
      <c r="G583" s="380" t="s">
        <v>129</v>
      </c>
      <c r="H583" s="167" t="s">
        <v>12</v>
      </c>
      <c r="I583" s="168"/>
      <c r="J583" s="168"/>
      <c r="K583" s="169"/>
      <c r="L583" s="176">
        <f ca="1">IFERROR(__xludf.DUMMYFUNCTION("IMPORTRANGE(""https://docs.google.com/spreadsheets/d/1IYY_tgx_IHuhSq3AJ5eI5OnqOPBNLWSHKh2a30DoXe8/edit?usp=sharing"",""พัทลุง!L478"")"),0)</f>
        <v>0</v>
      </c>
      <c r="M583" s="176"/>
      <c r="N583" s="176">
        <f ca="1">IFERROR(__xludf.DUMMYFUNCTION("IMPORTRANGE(""https://docs.google.com/spreadsheets/d/1IYY_tgx_IHuhSq3AJ5eI5OnqOPBNLWSHKh2a30DoXe8/edit?usp=sharing"",""พัทลุง!M478"")"),0)</f>
        <v>0</v>
      </c>
      <c r="O583" s="176">
        <f t="shared" ca="1" si="124"/>
        <v>0</v>
      </c>
      <c r="P583" s="176"/>
    </row>
    <row r="584" spans="1:16" ht="21.75" customHeight="1" x14ac:dyDescent="0.35">
      <c r="A584" s="162"/>
      <c r="B584" s="163"/>
      <c r="C584" s="163"/>
      <c r="D584" s="172"/>
      <c r="E584" s="165"/>
      <c r="F584" s="165"/>
      <c r="G584" s="380" t="s">
        <v>130</v>
      </c>
      <c r="H584" s="167" t="s">
        <v>12</v>
      </c>
      <c r="I584" s="168"/>
      <c r="J584" s="168"/>
      <c r="K584" s="169"/>
      <c r="L584" s="176">
        <f ca="1">IFERROR(__xludf.DUMMYFUNCTION("IMPORTRANGE(""https://docs.google.com/spreadsheets/d/1IYY_tgx_IHuhSq3AJ5eI5OnqOPBNLWSHKh2a30DoXe8/edit?usp=sharing"",""พัทลุง!L479"")"),143795)</f>
        <v>143795</v>
      </c>
      <c r="M584" s="176"/>
      <c r="N584" s="176">
        <f ca="1">IFERROR(__xludf.DUMMYFUNCTION("IMPORTRANGE(""https://docs.google.com/spreadsheets/d/1IYY_tgx_IHuhSq3AJ5eI5OnqOPBNLWSHKh2a30DoXe8/edit?usp=sharing"",""พัทลุง!M479"")"),0)</f>
        <v>0</v>
      </c>
      <c r="O584" s="176">
        <f t="shared" ca="1" si="124"/>
        <v>0</v>
      </c>
      <c r="P584" s="176"/>
    </row>
    <row r="585" spans="1:16" ht="21.75" customHeight="1" x14ac:dyDescent="0.35">
      <c r="A585" s="381"/>
      <c r="B585" s="382"/>
      <c r="C585" s="163"/>
      <c r="D585" s="383"/>
      <c r="E585" s="165"/>
      <c r="F585" s="165"/>
      <c r="G585" s="384" t="s">
        <v>131</v>
      </c>
      <c r="H585" s="167" t="s">
        <v>12</v>
      </c>
      <c r="I585" s="195"/>
      <c r="J585" s="195"/>
      <c r="K585" s="231"/>
      <c r="L585" s="176"/>
      <c r="M585" s="176"/>
      <c r="N585" s="173">
        <f ca="1">IFERROR(__xludf.DUMMYFUNCTION("IMPORTRANGE(""https://docs.google.com/spreadsheets/d/1IYY_tgx_IHuhSq3AJ5eI5OnqOPBNLWSHKh2a30DoXe8/edit?usp=sharing"",""พัทลุง!M480"")"),0)</f>
        <v>0</v>
      </c>
      <c r="O585" s="176"/>
      <c r="P585" s="176"/>
    </row>
    <row r="586" spans="1:16" ht="21.75" customHeight="1" x14ac:dyDescent="0.35">
      <c r="A586" s="381"/>
      <c r="B586" s="382"/>
      <c r="C586" s="163"/>
      <c r="D586" s="383"/>
      <c r="E586" s="165"/>
      <c r="F586" s="165"/>
      <c r="G586" s="384" t="s">
        <v>132</v>
      </c>
      <c r="H586" s="167" t="s">
        <v>12</v>
      </c>
      <c r="I586" s="195"/>
      <c r="J586" s="195"/>
      <c r="K586" s="231"/>
      <c r="L586" s="176"/>
      <c r="M586" s="176"/>
      <c r="N586" s="173">
        <f ca="1">IFERROR(__xludf.DUMMYFUNCTION("IMPORTRANGE(""https://docs.google.com/spreadsheets/d/1IYY_tgx_IHuhSq3AJ5eI5OnqOPBNLWSHKh2a30DoXe8/edit?usp=sharing"",""พัทลุง!M481"")"),0)</f>
        <v>0</v>
      </c>
      <c r="O586" s="176"/>
      <c r="P586" s="176"/>
    </row>
    <row r="587" spans="1:16" ht="21.75" customHeight="1" x14ac:dyDescent="0.35">
      <c r="A587" s="381"/>
      <c r="B587" s="382"/>
      <c r="C587" s="163"/>
      <c r="D587" s="383"/>
      <c r="E587" s="165"/>
      <c r="F587" s="165"/>
      <c r="G587" s="384" t="s">
        <v>133</v>
      </c>
      <c r="H587" s="167" t="s">
        <v>12</v>
      </c>
      <c r="I587" s="195"/>
      <c r="J587" s="195"/>
      <c r="K587" s="231"/>
      <c r="L587" s="176"/>
      <c r="M587" s="176"/>
      <c r="N587" s="173">
        <f ca="1">IFERROR(__xludf.DUMMYFUNCTION("IMPORTRANGE(""https://docs.google.com/spreadsheets/d/1IYY_tgx_IHuhSq3AJ5eI5OnqOPBNLWSHKh2a30DoXe8/edit?usp=sharing"",""พัทลุง!M482"")"),0)</f>
        <v>0</v>
      </c>
      <c r="O587" s="176"/>
      <c r="P587" s="176"/>
    </row>
    <row r="588" spans="1:16" ht="21.75" customHeight="1" x14ac:dyDescent="0.35">
      <c r="A588" s="381"/>
      <c r="B588" s="382"/>
      <c r="C588" s="163"/>
      <c r="D588" s="383"/>
      <c r="E588" s="165"/>
      <c r="F588" s="165"/>
      <c r="G588" s="384" t="s">
        <v>134</v>
      </c>
      <c r="H588" s="167" t="s">
        <v>12</v>
      </c>
      <c r="I588" s="195"/>
      <c r="J588" s="195"/>
      <c r="K588" s="231"/>
      <c r="L588" s="176"/>
      <c r="M588" s="176"/>
      <c r="N588" s="173">
        <f ca="1">IFERROR(__xludf.DUMMYFUNCTION("IMPORTRANGE(""https://docs.google.com/spreadsheets/d/1IYY_tgx_IHuhSq3AJ5eI5OnqOPBNLWSHKh2a30DoXe8/edit?usp=sharing"",""พัทลุง!M483"")"),0)</f>
        <v>0</v>
      </c>
      <c r="O588" s="176"/>
      <c r="P588" s="176"/>
    </row>
    <row r="589" spans="1:16" ht="21.75" customHeight="1" x14ac:dyDescent="0.35">
      <c r="A589" s="484"/>
      <c r="B589" s="172"/>
      <c r="C589" s="163"/>
      <c r="D589" s="297"/>
      <c r="E589" s="202" t="s">
        <v>217</v>
      </c>
      <c r="F589" s="203"/>
      <c r="G589" s="204"/>
      <c r="H589" s="188" t="s">
        <v>36</v>
      </c>
      <c r="I589" s="347">
        <f ca="1">IFERROR(__xludf.DUMMYFUNCTION("IMPORTRANGE(""https://docs.google.com/spreadsheets/d/1IYY_tgx_IHuhSq3AJ5eI5OnqOPBNLWSHKh2a30DoXe8/edit?usp=sharing"",""พัทลุง!I484"")"),45)</f>
        <v>45</v>
      </c>
      <c r="J589" s="195">
        <f ca="1">IFERROR(__xludf.DUMMYFUNCTION("IMPORTRANGE(""https://docs.google.com/spreadsheets/d/1IYY_tgx_IHuhSq3AJ5eI5OnqOPBNLWSHKh2a30DoXe8/edit?usp=sharing"",""พัทลุง!J484"")"),0)</f>
        <v>0</v>
      </c>
      <c r="K589" s="169">
        <f t="shared" ref="K589:K596" ca="1" si="125">IF(I589&gt;0,J589*100/I589,0)</f>
        <v>0</v>
      </c>
      <c r="L589" s="189"/>
      <c r="M589" s="189"/>
      <c r="N589" s="176"/>
      <c r="O589" s="189"/>
      <c r="P589" s="189"/>
    </row>
    <row r="590" spans="1:16" ht="21.75" customHeight="1" x14ac:dyDescent="0.35">
      <c r="A590" s="484"/>
      <c r="B590" s="172"/>
      <c r="C590" s="163"/>
      <c r="D590" s="297"/>
      <c r="E590" s="203"/>
      <c r="F590" s="203"/>
      <c r="G590" s="204"/>
      <c r="H590" s="188" t="s">
        <v>122</v>
      </c>
      <c r="I590" s="351">
        <f ca="1">IFERROR(__xludf.DUMMYFUNCTION("IMPORTRANGE(""https://docs.google.com/spreadsheets/d/1IYY_tgx_IHuhSq3AJ5eI5OnqOPBNLWSHKh2a30DoXe8/edit?usp=sharing"",""พัทลุง!I485"")"),0)</f>
        <v>0</v>
      </c>
      <c r="J590" s="195">
        <f ca="1">IFERROR(__xludf.DUMMYFUNCTION("IMPORTRANGE(""https://docs.google.com/spreadsheets/d/1IYY_tgx_IHuhSq3AJ5eI5OnqOPBNLWSHKh2a30DoXe8/edit?usp=sharing"",""พัทลุง!J485"")"),0)</f>
        <v>0</v>
      </c>
      <c r="K590" s="485">
        <f t="shared" ca="1" si="125"/>
        <v>0</v>
      </c>
      <c r="L590" s="189"/>
      <c r="M590" s="189"/>
      <c r="N590" s="176"/>
      <c r="O590" s="189"/>
      <c r="P590" s="189"/>
    </row>
    <row r="591" spans="1:16" ht="21.75" customHeight="1" x14ac:dyDescent="0.35">
      <c r="A591" s="484"/>
      <c r="B591" s="172"/>
      <c r="C591" s="163"/>
      <c r="D591" s="297"/>
      <c r="E591" s="202" t="s">
        <v>123</v>
      </c>
      <c r="F591" s="203"/>
      <c r="G591" s="204"/>
      <c r="H591" s="188" t="s">
        <v>37</v>
      </c>
      <c r="I591" s="347">
        <f ca="1">IFERROR(__xludf.DUMMYFUNCTION("IMPORTRANGE(""https://docs.google.com/spreadsheets/d/1IYY_tgx_IHuhSq3AJ5eI5OnqOPBNLWSHKh2a30DoXe8/edit?usp=sharing"",""พัทลุง!I486"")"),45)</f>
        <v>45</v>
      </c>
      <c r="J591" s="195">
        <f ca="1">IFERROR(__xludf.DUMMYFUNCTION("IMPORTRANGE(""https://docs.google.com/spreadsheets/d/1IYY_tgx_IHuhSq3AJ5eI5OnqOPBNLWSHKh2a30DoXe8/edit?usp=sharing"",""พัทลุง!J486"")"),0)</f>
        <v>0</v>
      </c>
      <c r="K591" s="169">
        <f t="shared" ca="1" si="125"/>
        <v>0</v>
      </c>
      <c r="L591" s="189"/>
      <c r="M591" s="189"/>
      <c r="N591" s="189"/>
      <c r="O591" s="189"/>
      <c r="P591" s="189"/>
    </row>
    <row r="592" spans="1:16" ht="21.75" customHeight="1" x14ac:dyDescent="0.35">
      <c r="A592" s="484"/>
      <c r="B592" s="172"/>
      <c r="C592" s="163"/>
      <c r="D592" s="297"/>
      <c r="E592" s="203"/>
      <c r="F592" s="203"/>
      <c r="G592" s="204"/>
      <c r="H592" s="188" t="s">
        <v>122</v>
      </c>
      <c r="I592" s="351">
        <f ca="1">IFERROR(__xludf.DUMMYFUNCTION("IMPORTRANGE(""https://docs.google.com/spreadsheets/d/1IYY_tgx_IHuhSq3AJ5eI5OnqOPBNLWSHKh2a30DoXe8/edit?usp=sharing"",""พัทลุง!I487"")"),0)</f>
        <v>0</v>
      </c>
      <c r="J592" s="195">
        <f ca="1">IFERROR(__xludf.DUMMYFUNCTION("IMPORTRANGE(""https://docs.google.com/spreadsheets/d/1IYY_tgx_IHuhSq3AJ5eI5OnqOPBNLWSHKh2a30DoXe8/edit?usp=sharing"",""พัทลุง!J487"")"),0)</f>
        <v>0</v>
      </c>
      <c r="K592" s="348">
        <f t="shared" ca="1" si="125"/>
        <v>0</v>
      </c>
      <c r="L592" s="189"/>
      <c r="M592" s="189"/>
      <c r="N592" s="189"/>
      <c r="O592" s="189"/>
      <c r="P592" s="189"/>
    </row>
    <row r="593" spans="1:16" ht="21.75" customHeight="1" x14ac:dyDescent="0.35">
      <c r="A593" s="484"/>
      <c r="B593" s="172"/>
      <c r="C593" s="163"/>
      <c r="D593" s="297"/>
      <c r="E593" s="202" t="s">
        <v>124</v>
      </c>
      <c r="F593" s="203"/>
      <c r="G593" s="204"/>
      <c r="H593" s="188" t="s">
        <v>37</v>
      </c>
      <c r="I593" s="347">
        <f ca="1">IFERROR(__xludf.DUMMYFUNCTION("IMPORTRANGE(""https://docs.google.com/spreadsheets/d/1IYY_tgx_IHuhSq3AJ5eI5OnqOPBNLWSHKh2a30DoXe8/edit?usp=sharing"",""พัทลุง!I488"")"),45)</f>
        <v>45</v>
      </c>
      <c r="J593" s="195">
        <f ca="1">IFERROR(__xludf.DUMMYFUNCTION("IMPORTRANGE(""https://docs.google.com/spreadsheets/d/1IYY_tgx_IHuhSq3AJ5eI5OnqOPBNLWSHKh2a30DoXe8/edit?usp=sharing"",""พัทลุง!J488"")"),0)</f>
        <v>0</v>
      </c>
      <c r="K593" s="169">
        <f t="shared" ca="1" si="125"/>
        <v>0</v>
      </c>
      <c r="L593" s="189"/>
      <c r="M593" s="189"/>
      <c r="N593" s="189"/>
      <c r="O593" s="189"/>
      <c r="P593" s="189"/>
    </row>
    <row r="594" spans="1:16" ht="21.75" customHeight="1" x14ac:dyDescent="0.35">
      <c r="A594" s="484"/>
      <c r="B594" s="172"/>
      <c r="C594" s="163"/>
      <c r="D594" s="297"/>
      <c r="E594" s="203"/>
      <c r="F594" s="203"/>
      <c r="G594" s="204"/>
      <c r="H594" s="188" t="s">
        <v>122</v>
      </c>
      <c r="I594" s="351">
        <f ca="1">IFERROR(__xludf.DUMMYFUNCTION("IMPORTRANGE(""https://docs.google.com/spreadsheets/d/1IYY_tgx_IHuhSq3AJ5eI5OnqOPBNLWSHKh2a30DoXe8/edit?usp=sharing"",""พัทลุง!I489"")"),0)</f>
        <v>0</v>
      </c>
      <c r="J594" s="195">
        <f ca="1">IFERROR(__xludf.DUMMYFUNCTION("IMPORTRANGE(""https://docs.google.com/spreadsheets/d/1IYY_tgx_IHuhSq3AJ5eI5OnqOPBNLWSHKh2a30DoXe8/edit?usp=sharing"",""พัทลุง!J489"")"),0)</f>
        <v>0</v>
      </c>
      <c r="K594" s="348">
        <f t="shared" ca="1" si="125"/>
        <v>0</v>
      </c>
      <c r="L594" s="189"/>
      <c r="M594" s="189"/>
      <c r="N594" s="189"/>
      <c r="O594" s="189"/>
      <c r="P594" s="189"/>
    </row>
    <row r="595" spans="1:16" ht="21.75" customHeight="1" x14ac:dyDescent="0.35">
      <c r="A595" s="484"/>
      <c r="B595" s="172"/>
      <c r="C595" s="163"/>
      <c r="D595" s="297"/>
      <c r="E595" s="202" t="s">
        <v>125</v>
      </c>
      <c r="F595" s="203"/>
      <c r="G595" s="204"/>
      <c r="H595" s="188" t="s">
        <v>37</v>
      </c>
      <c r="I595" s="347">
        <f ca="1">IFERROR(__xludf.DUMMYFUNCTION("IMPORTRANGE(""https://docs.google.com/spreadsheets/d/1IYY_tgx_IHuhSq3AJ5eI5OnqOPBNLWSHKh2a30DoXe8/edit?usp=sharing"",""พัทลุง!I490"")"),45)</f>
        <v>45</v>
      </c>
      <c r="J595" s="195">
        <f ca="1">IFERROR(__xludf.DUMMYFUNCTION("IMPORTRANGE(""https://docs.google.com/spreadsheets/d/1IYY_tgx_IHuhSq3AJ5eI5OnqOPBNLWSHKh2a30DoXe8/edit?usp=sharing"",""พัทลุง!J490"")"),0)</f>
        <v>0</v>
      </c>
      <c r="K595" s="169">
        <f t="shared" ca="1" si="125"/>
        <v>0</v>
      </c>
      <c r="L595" s="189"/>
      <c r="M595" s="189"/>
      <c r="N595" s="189"/>
      <c r="O595" s="189"/>
      <c r="P595" s="189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IFERROR(__xludf.DUMMYFUNCTION("IMPORTRANGE(""https://docs.google.com/spreadsheets/d/1IYY_tgx_IHuhSq3AJ5eI5OnqOPBNLWSHKh2a30DoXe8/edit?usp=sharing"",""พัทลุง!I491"")"),0)</f>
        <v>0</v>
      </c>
      <c r="J596" s="248">
        <f ca="1">IFERROR(__xludf.DUMMYFUNCTION("IMPORTRANGE(""https://docs.google.com/spreadsheets/d/1IYY_tgx_IHuhSq3AJ5eI5OnqOPBNLWSHKh2a30DoXe8/edit?usp=sharing"",""พัทลุง!J491"")"),0)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IFERROR(__xludf.DUMMYFUNCTION("IMPORTRANGE(""https://docs.google.com/spreadsheets/d/1IYY_tgx_IHuhSq3AJ5eI5OnqOPBNLWSHKh2a30DoXe8/edit?usp=sharing"",""พัทลุง!I492"")"),50)</f>
        <v>50</v>
      </c>
      <c r="J597" s="493">
        <f ca="1">IFERROR(__xludf.DUMMYFUNCTION("IMPORTRANGE(""https://docs.google.com/spreadsheets/d/1IYY_tgx_IHuhSq3AJ5eI5OnqOPBNLWSHKh2a30DoXe8/edit?usp=sharing"",""พัทลุง!J492"")"),0)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IFERROR(__xludf.DUMMYFUNCTION("IMPORTRANGE(""https://docs.google.com/spreadsheets/d/1IYY_tgx_IHuhSq3AJ5eI5OnqOPBNLWSHKh2a30DoXe8/edit?usp=sharing"",""พัทลุง!L492"")"),4550)</f>
        <v>4550</v>
      </c>
      <c r="M597" s="418"/>
      <c r="N597" s="418">
        <f ca="1">IFERROR(__xludf.DUMMYFUNCTION("IMPORTRANGE(""https://docs.google.com/spreadsheets/d/1IYY_tgx_IHuhSq3AJ5eI5OnqOPBNLWSHKh2a30DoXe8/edit?usp=sharing"",""พัทลุง!M492"")"),1400)</f>
        <v>1400</v>
      </c>
      <c r="O597" s="418">
        <f t="shared" ref="O597:O601" ca="1" si="126">+IF(L597&gt;0,N597*100/L597,0)</f>
        <v>30.76923076923077</v>
      </c>
      <c r="P597" s="418"/>
    </row>
    <row r="598" spans="1:16" ht="21.75" customHeight="1" x14ac:dyDescent="0.35">
      <c r="A598" s="162"/>
      <c r="B598" s="163"/>
      <c r="C598" s="163" t="s">
        <v>16</v>
      </c>
      <c r="D598" s="164" t="s">
        <v>38</v>
      </c>
      <c r="E598" s="165"/>
      <c r="F598" s="165"/>
      <c r="G598" s="166" t="s">
        <v>39</v>
      </c>
      <c r="H598" s="167" t="s">
        <v>12</v>
      </c>
      <c r="I598" s="168" t="s">
        <v>40</v>
      </c>
      <c r="J598" s="168"/>
      <c r="K598" s="169"/>
      <c r="L598" s="170">
        <f ca="1">IFERROR(__xludf.DUMMYFUNCTION("IMPORTRANGE(""https://docs.google.com/spreadsheets/d/1IYY_tgx_IHuhSq3AJ5eI5OnqOPBNLWSHKh2a30DoXe8/edit?usp=sharing"",""พัทลุง!L493"")"),0)</f>
        <v>0</v>
      </c>
      <c r="M598" s="170"/>
      <c r="N598" s="176">
        <f ca="1">IFERROR(__xludf.DUMMYFUNCTION("IMPORTRANGE(""https://docs.google.com/spreadsheets/d/1IYY_tgx_IHuhSq3AJ5eI5OnqOPBNLWSHKh2a30DoXe8/edit?usp=sharing"",""พัทลุง!M493"")"),0)</f>
        <v>0</v>
      </c>
      <c r="O598" s="176">
        <f t="shared" ca="1" si="126"/>
        <v>0</v>
      </c>
      <c r="P598" s="176"/>
    </row>
    <row r="599" spans="1:16" ht="21.75" customHeight="1" x14ac:dyDescent="0.35">
      <c r="A599" s="162"/>
      <c r="B599" s="163"/>
      <c r="C599" s="163"/>
      <c r="D599" s="172"/>
      <c r="E599" s="165"/>
      <c r="F599" s="165" t="s">
        <v>40</v>
      </c>
      <c r="G599" s="166" t="s">
        <v>41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IFERROR(__xludf.DUMMYFUNCTION("IMPORTRANGE(""https://docs.google.com/spreadsheets/d/1IYY_tgx_IHuhSq3AJ5eI5OnqOPBNLWSHKh2a30DoXe8/edit?usp=sharing"",""พัทลุง!L494"")"),4550)</f>
        <v>4550</v>
      </c>
      <c r="M599" s="171"/>
      <c r="N599" s="176">
        <f ca="1">IFERROR(__xludf.DUMMYFUNCTION("IMPORTRANGE(""https://docs.google.com/spreadsheets/d/1IYY_tgx_IHuhSq3AJ5eI5OnqOPBNLWSHKh2a30DoXe8/edit?usp=sharing"",""พัทลุง!M494"")"),1400)</f>
        <v>1400</v>
      </c>
      <c r="O599" s="176">
        <f t="shared" ca="1" si="126"/>
        <v>30.76923076923077</v>
      </c>
      <c r="P599" s="176"/>
    </row>
    <row r="600" spans="1:16" ht="21.75" customHeight="1" x14ac:dyDescent="0.35">
      <c r="A600" s="162"/>
      <c r="B600" s="163"/>
      <c r="C600" s="163"/>
      <c r="D600" s="172"/>
      <c r="E600" s="165"/>
      <c r="F600" s="165"/>
      <c r="G600" s="380" t="s">
        <v>129</v>
      </c>
      <c r="H600" s="167" t="s">
        <v>12</v>
      </c>
      <c r="I600" s="168"/>
      <c r="J600" s="168"/>
      <c r="K600" s="169"/>
      <c r="L600" s="176">
        <f ca="1">IFERROR(__xludf.DUMMYFUNCTION("IMPORTRANGE(""https://docs.google.com/spreadsheets/d/1IYY_tgx_IHuhSq3AJ5eI5OnqOPBNLWSHKh2a30DoXe8/edit?usp=sharing"",""พัทลุง!L495"")"),0)</f>
        <v>0</v>
      </c>
      <c r="M600" s="176"/>
      <c r="N600" s="176">
        <f ca="1">IFERROR(__xludf.DUMMYFUNCTION("IMPORTRANGE(""https://docs.google.com/spreadsheets/d/1IYY_tgx_IHuhSq3AJ5eI5OnqOPBNLWSHKh2a30DoXe8/edit?usp=sharing"",""พัทลุง!M495"")"),0)</f>
        <v>0</v>
      </c>
      <c r="O600" s="176">
        <f t="shared" ca="1" si="126"/>
        <v>0</v>
      </c>
      <c r="P600" s="176"/>
    </row>
    <row r="601" spans="1:16" ht="21.75" customHeight="1" x14ac:dyDescent="0.35">
      <c r="A601" s="162"/>
      <c r="B601" s="163"/>
      <c r="C601" s="163"/>
      <c r="D601" s="172"/>
      <c r="E601" s="165"/>
      <c r="F601" s="165"/>
      <c r="G601" s="380" t="s">
        <v>130</v>
      </c>
      <c r="H601" s="167" t="s">
        <v>12</v>
      </c>
      <c r="I601" s="168"/>
      <c r="J601" s="168"/>
      <c r="K601" s="169"/>
      <c r="L601" s="176">
        <f ca="1">IFERROR(__xludf.DUMMYFUNCTION("IMPORTRANGE(""https://docs.google.com/spreadsheets/d/1IYY_tgx_IHuhSq3AJ5eI5OnqOPBNLWSHKh2a30DoXe8/edit?usp=sharing"",""พัทลุง!L496"")"),4550)</f>
        <v>4550</v>
      </c>
      <c r="M601" s="176"/>
      <c r="N601" s="176">
        <f ca="1">IFERROR(__xludf.DUMMYFUNCTION("IMPORTRANGE(""https://docs.google.com/spreadsheets/d/1IYY_tgx_IHuhSq3AJ5eI5OnqOPBNLWSHKh2a30DoXe8/edit?usp=sharing"",""พัทลุง!M496"")"),1400)</f>
        <v>1400</v>
      </c>
      <c r="O601" s="176">
        <f t="shared" ca="1" si="126"/>
        <v>30.76923076923077</v>
      </c>
      <c r="P601" s="176"/>
    </row>
    <row r="602" spans="1:16" ht="21.75" customHeight="1" x14ac:dyDescent="0.35">
      <c r="A602" s="381"/>
      <c r="B602" s="382"/>
      <c r="C602" s="163"/>
      <c r="D602" s="383"/>
      <c r="E602" s="165"/>
      <c r="F602" s="165"/>
      <c r="G602" s="384" t="s">
        <v>131</v>
      </c>
      <c r="H602" s="167" t="s">
        <v>12</v>
      </c>
      <c r="I602" s="195"/>
      <c r="J602" s="195"/>
      <c r="K602" s="231"/>
      <c r="L602" s="176"/>
      <c r="M602" s="176"/>
      <c r="N602" s="173">
        <f ca="1">IFERROR(__xludf.DUMMYFUNCTION("IMPORTRANGE(""https://docs.google.com/spreadsheets/d/1IYY_tgx_IHuhSq3AJ5eI5OnqOPBNLWSHKh2a30DoXe8/edit?usp=sharing"",""พัทลุง!M497"")"),0)</f>
        <v>0</v>
      </c>
      <c r="O602" s="176"/>
      <c r="P602" s="176"/>
    </row>
    <row r="603" spans="1:16" ht="21.75" customHeight="1" x14ac:dyDescent="0.35">
      <c r="A603" s="381"/>
      <c r="B603" s="382"/>
      <c r="C603" s="163"/>
      <c r="D603" s="383"/>
      <c r="E603" s="165"/>
      <c r="F603" s="165"/>
      <c r="G603" s="384" t="s">
        <v>132</v>
      </c>
      <c r="H603" s="167" t="s">
        <v>12</v>
      </c>
      <c r="I603" s="195"/>
      <c r="J603" s="195"/>
      <c r="K603" s="231"/>
      <c r="L603" s="176"/>
      <c r="M603" s="176"/>
      <c r="N603" s="173">
        <f ca="1">IFERROR(__xludf.DUMMYFUNCTION("IMPORTRANGE(""https://docs.google.com/spreadsheets/d/1IYY_tgx_IHuhSq3AJ5eI5OnqOPBNLWSHKh2a30DoXe8/edit?usp=sharing"",""พัทลุง!M498"")"),0)</f>
        <v>0</v>
      </c>
      <c r="O603" s="176"/>
      <c r="P603" s="176"/>
    </row>
    <row r="604" spans="1:16" ht="21.75" customHeight="1" x14ac:dyDescent="0.35">
      <c r="A604" s="381"/>
      <c r="B604" s="382"/>
      <c r="C604" s="163"/>
      <c r="D604" s="383"/>
      <c r="E604" s="165"/>
      <c r="F604" s="165"/>
      <c r="G604" s="384" t="s">
        <v>133</v>
      </c>
      <c r="H604" s="167" t="s">
        <v>12</v>
      </c>
      <c r="I604" s="195"/>
      <c r="J604" s="195"/>
      <c r="K604" s="231"/>
      <c r="L604" s="176"/>
      <c r="M604" s="176"/>
      <c r="N604" s="385">
        <f ca="1">IFERROR(__xludf.DUMMYFUNCTION("IMPORTRANGE(""https://docs.google.com/spreadsheets/d/1IYY_tgx_IHuhSq3AJ5eI5OnqOPBNLWSHKh2a30DoXe8/edit?usp=sharing"",""พัทลุง!M499"")"),0)</f>
        <v>0</v>
      </c>
      <c r="O604" s="176"/>
      <c r="P604" s="176"/>
    </row>
    <row r="605" spans="1:16" ht="21.75" customHeight="1" x14ac:dyDescent="0.35">
      <c r="A605" s="381"/>
      <c r="B605" s="382"/>
      <c r="C605" s="163"/>
      <c r="D605" s="383"/>
      <c r="E605" s="165"/>
      <c r="F605" s="165"/>
      <c r="G605" s="384" t="s">
        <v>134</v>
      </c>
      <c r="H605" s="167" t="s">
        <v>12</v>
      </c>
      <c r="I605" s="195"/>
      <c r="J605" s="195"/>
      <c r="K605" s="231"/>
      <c r="L605" s="176"/>
      <c r="M605" s="176"/>
      <c r="N605" s="385">
        <f ca="1">IFERROR(__xludf.DUMMYFUNCTION("IMPORTRANGE(""https://docs.google.com/spreadsheets/d/1IYY_tgx_IHuhSq3AJ5eI5OnqOPBNLWSHKh2a30DoXe8/edit?usp=sharing"",""พัทลุง!M500"")"),1400)</f>
        <v>1400</v>
      </c>
      <c r="O605" s="176"/>
      <c r="P605" s="176"/>
    </row>
    <row r="606" spans="1:16" ht="21.75" customHeight="1" x14ac:dyDescent="0.35">
      <c r="A606" s="183"/>
      <c r="B606" s="184"/>
      <c r="C606" s="163" t="s">
        <v>16</v>
      </c>
      <c r="D606" s="185" t="s">
        <v>44</v>
      </c>
      <c r="E606" s="186"/>
      <c r="F606" s="186"/>
      <c r="G606" s="187"/>
      <c r="H606" s="188"/>
      <c r="I606" s="168"/>
      <c r="J606" s="168"/>
      <c r="K606" s="169"/>
      <c r="L606" s="189"/>
      <c r="M606" s="189"/>
      <c r="N606" s="189"/>
      <c r="O606" s="189"/>
      <c r="P606" s="189"/>
    </row>
    <row r="607" spans="1:16" ht="21.75" customHeight="1" x14ac:dyDescent="0.35">
      <c r="A607" s="183"/>
      <c r="B607" s="184"/>
      <c r="C607" s="184"/>
      <c r="D607" s="190">
        <v>1</v>
      </c>
      <c r="E607" s="191" t="s">
        <v>45</v>
      </c>
      <c r="F607" s="192"/>
      <c r="G607" s="193"/>
      <c r="H607" s="194"/>
      <c r="I607" s="195"/>
      <c r="J607" s="205">
        <f ca="1">IFERROR(__xludf.DUMMYFUNCTION("IMPORTRANGE(""https://docs.google.com/spreadsheets/d/1IYY_tgx_IHuhSq3AJ5eI5OnqOPBNLWSHKh2a30DoXe8/edit?usp=sharing"",""พัทลุง!J502"")"),0)</f>
        <v>0</v>
      </c>
      <c r="K607" s="169"/>
      <c r="L607" s="189"/>
      <c r="M607" s="189"/>
      <c r="N607" s="189"/>
      <c r="O607" s="189"/>
      <c r="P607" s="189"/>
    </row>
    <row r="608" spans="1:16" ht="21.75" customHeight="1" x14ac:dyDescent="0.35">
      <c r="A608" s="183"/>
      <c r="B608" s="184"/>
      <c r="C608" s="184"/>
      <c r="D608" s="197">
        <v>2</v>
      </c>
      <c r="E608" s="198" t="s">
        <v>46</v>
      </c>
      <c r="F608" s="199"/>
      <c r="G608" s="200"/>
      <c r="H608" s="194"/>
      <c r="I608" s="195"/>
      <c r="J608" s="205">
        <f ca="1">IFERROR(__xludf.DUMMYFUNCTION("IMPORTRANGE(""https://docs.google.com/spreadsheets/d/1IYY_tgx_IHuhSq3AJ5eI5OnqOPBNLWSHKh2a30DoXe8/edit?usp=sharing"",""พัทลุง!J503"")"),1)</f>
        <v>1</v>
      </c>
      <c r="K608" s="169"/>
      <c r="L608" s="189" t="s">
        <v>40</v>
      </c>
      <c r="M608" s="189"/>
      <c r="N608" s="189" t="s">
        <v>40</v>
      </c>
      <c r="O608" s="189"/>
      <c r="P608" s="189"/>
    </row>
    <row r="609" spans="1:16" ht="21.75" hidden="1" customHeight="1" x14ac:dyDescent="0.35">
      <c r="A609" s="494"/>
      <c r="B609" s="495"/>
      <c r="C609" s="495"/>
      <c r="D609" s="496"/>
      <c r="E609" s="497" t="s">
        <v>47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IFERROR(__xludf.DUMMYFUNCTION("IMPORTRANGE(""https://docs.google.com/spreadsheets/d/1IYY_tgx_IHuhSq3AJ5eI5OnqOPBNLWSHKh2a30DoXe8/edit?usp=sharing"",""พัทลุง!J166"")"),0)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48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IFERROR(__xludf.DUMMYFUNCTION("IMPORTRANGE(""https://docs.google.com/spreadsheets/d/1IYY_tgx_IHuhSq3AJ5eI5OnqOPBNLWSHKh2a30DoXe8/edit?usp=sharing"",""พัทลุง!J166"")"),0)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3"/>
      <c r="B611" s="184"/>
      <c r="C611" s="184"/>
      <c r="D611" s="201"/>
      <c r="E611" s="203"/>
      <c r="F611" s="203" t="s">
        <v>219</v>
      </c>
      <c r="G611" s="204"/>
      <c r="H611" s="188" t="s">
        <v>122</v>
      </c>
      <c r="I611" s="195">
        <f ca="1">IFERROR(__xludf.DUMMYFUNCTION("IMPORTRANGE(""https://docs.google.com/spreadsheets/d/1IYY_tgx_IHuhSq3AJ5eI5OnqOPBNLWSHKh2a30DoXe8/edit?usp=sharing"",""พัทลุง!I506"")"),50)</f>
        <v>50</v>
      </c>
      <c r="J611" s="168">
        <f ca="1">IFERROR(__xludf.DUMMYFUNCTION("IMPORTRANGE(""https://docs.google.com/spreadsheets/d/1IYY_tgx_IHuhSq3AJ5eI5OnqOPBNLWSHKh2a30DoXe8/edit?usp=sharing"",""พัทลุง!J506"")"),0)</f>
        <v>0</v>
      </c>
      <c r="K611" s="169">
        <f t="shared" ref="K611:K619" ca="1" si="127">IF(I$611&gt;0,J611*100/I$611,0)</f>
        <v>0</v>
      </c>
      <c r="L611" s="189"/>
      <c r="M611" s="189"/>
      <c r="N611" s="189"/>
      <c r="O611" s="189"/>
      <c r="P611" s="189"/>
    </row>
    <row r="612" spans="1:16" ht="21.75" customHeight="1" x14ac:dyDescent="0.35">
      <c r="A612" s="183"/>
      <c r="B612" s="184"/>
      <c r="C612" s="184"/>
      <c r="D612" s="201"/>
      <c r="E612" s="206"/>
      <c r="F612" s="203"/>
      <c r="G612" s="233" t="s">
        <v>220</v>
      </c>
      <c r="H612" s="188" t="s">
        <v>122</v>
      </c>
      <c r="I612" s="211">
        <f ca="1">IFERROR(__xludf.DUMMYFUNCTION("IMPORTRANGE(""https://docs.google.com/spreadsheets/d/1IYY_tgx_IHuhSq3AJ5eI5OnqOPBNLWSHKh2a30DoXe8/edit?usp=sharing"",""พัทลุง!I507"")"),0)</f>
        <v>0</v>
      </c>
      <c r="J612" s="205">
        <f ca="1">IFERROR(__xludf.DUMMYFUNCTION("IMPORTRANGE(""https://docs.google.com/spreadsheets/d/1IYY_tgx_IHuhSq3AJ5eI5OnqOPBNLWSHKh2a30DoXe8/edit?usp=sharing"",""พัทลุง!J507"")"),30)</f>
        <v>30</v>
      </c>
      <c r="K612" s="169">
        <f t="shared" ca="1" si="127"/>
        <v>60</v>
      </c>
      <c r="L612" s="189"/>
      <c r="M612" s="189"/>
      <c r="N612" s="189"/>
      <c r="O612" s="189"/>
      <c r="P612" s="189"/>
    </row>
    <row r="613" spans="1:16" ht="21.75" customHeight="1" x14ac:dyDescent="0.35">
      <c r="A613" s="183"/>
      <c r="B613" s="184"/>
      <c r="C613" s="184"/>
      <c r="D613" s="201"/>
      <c r="E613" s="206"/>
      <c r="F613" s="203"/>
      <c r="G613" s="233" t="s">
        <v>221</v>
      </c>
      <c r="H613" s="188" t="s">
        <v>122</v>
      </c>
      <c r="I613" s="211">
        <f ca="1">IFERROR(__xludf.DUMMYFUNCTION("IMPORTRANGE(""https://docs.google.com/spreadsheets/d/1IYY_tgx_IHuhSq3AJ5eI5OnqOPBNLWSHKh2a30DoXe8/edit?usp=sharing"",""พัทลุง!I508"")"),0)</f>
        <v>0</v>
      </c>
      <c r="J613" s="205">
        <f ca="1">IFERROR(__xludf.DUMMYFUNCTION("IMPORTRANGE(""https://docs.google.com/spreadsheets/d/1IYY_tgx_IHuhSq3AJ5eI5OnqOPBNLWSHKh2a30DoXe8/edit?usp=sharing"",""พัทลุง!J508"")"),30)</f>
        <v>30</v>
      </c>
      <c r="K613" s="169">
        <f t="shared" ca="1" si="127"/>
        <v>60</v>
      </c>
      <c r="L613" s="189"/>
      <c r="M613" s="189"/>
      <c r="N613" s="189"/>
      <c r="O613" s="189"/>
      <c r="P613" s="189"/>
    </row>
    <row r="614" spans="1:16" ht="21.75" customHeight="1" x14ac:dyDescent="0.35">
      <c r="A614" s="183"/>
      <c r="B614" s="184"/>
      <c r="C614" s="184"/>
      <c r="D614" s="201"/>
      <c r="E614" s="206"/>
      <c r="F614" s="203"/>
      <c r="G614" s="233" t="s">
        <v>222</v>
      </c>
      <c r="H614" s="188" t="s">
        <v>122</v>
      </c>
      <c r="I614" s="211">
        <f ca="1">IFERROR(__xludf.DUMMYFUNCTION("IMPORTRANGE(""https://docs.google.com/spreadsheets/d/1IYY_tgx_IHuhSq3AJ5eI5OnqOPBNLWSHKh2a30DoXe8/edit?usp=sharing"",""พัทลุง!I509"")"),0)</f>
        <v>0</v>
      </c>
      <c r="J614" s="205">
        <f ca="1">IFERROR(__xludf.DUMMYFUNCTION("IMPORTRANGE(""https://docs.google.com/spreadsheets/d/1IYY_tgx_IHuhSq3AJ5eI5OnqOPBNLWSHKh2a30DoXe8/edit?usp=sharing"",""พัทลุง!J509"")"),30)</f>
        <v>30</v>
      </c>
      <c r="K614" s="169">
        <f t="shared" ca="1" si="127"/>
        <v>60</v>
      </c>
      <c r="L614" s="189"/>
      <c r="M614" s="189"/>
      <c r="N614" s="189"/>
      <c r="O614" s="189"/>
      <c r="P614" s="189"/>
    </row>
    <row r="615" spans="1:16" ht="21.75" customHeight="1" x14ac:dyDescent="0.35">
      <c r="A615" s="183"/>
      <c r="B615" s="184"/>
      <c r="C615" s="184"/>
      <c r="D615" s="201"/>
      <c r="E615" s="206"/>
      <c r="F615" s="203"/>
      <c r="G615" s="233" t="s">
        <v>223</v>
      </c>
      <c r="H615" s="188" t="s">
        <v>122</v>
      </c>
      <c r="I615" s="211">
        <f ca="1">IFERROR(__xludf.DUMMYFUNCTION("IMPORTRANGE(""https://docs.google.com/spreadsheets/d/1IYY_tgx_IHuhSq3AJ5eI5OnqOPBNLWSHKh2a30DoXe8/edit?usp=sharing"",""พัทลุง!I510"")"),0)</f>
        <v>0</v>
      </c>
      <c r="J615" s="205">
        <f ca="1">IFERROR(__xludf.DUMMYFUNCTION("IMPORTRANGE(""https://docs.google.com/spreadsheets/d/1IYY_tgx_IHuhSq3AJ5eI5OnqOPBNLWSHKh2a30DoXe8/edit?usp=sharing"",""พัทลุง!J510"")"),30)</f>
        <v>30</v>
      </c>
      <c r="K615" s="169">
        <f t="shared" ca="1" si="127"/>
        <v>60</v>
      </c>
      <c r="L615" s="189"/>
      <c r="M615" s="189"/>
      <c r="N615" s="189"/>
      <c r="O615" s="189"/>
      <c r="P615" s="189"/>
    </row>
    <row r="616" spans="1:16" ht="21.75" customHeight="1" x14ac:dyDescent="0.35">
      <c r="A616" s="183"/>
      <c r="B616" s="184"/>
      <c r="C616" s="184"/>
      <c r="D616" s="201"/>
      <c r="E616" s="206"/>
      <c r="F616" s="203"/>
      <c r="G616" s="202" t="s">
        <v>224</v>
      </c>
      <c r="H616" s="188" t="s">
        <v>122</v>
      </c>
      <c r="I616" s="211">
        <f ca="1">IFERROR(__xludf.DUMMYFUNCTION("IMPORTRANGE(""https://docs.google.com/spreadsheets/d/1IYY_tgx_IHuhSq3AJ5eI5OnqOPBNLWSHKh2a30DoXe8/edit?usp=sharing"",""พัทลุง!I511"")"),0)</f>
        <v>0</v>
      </c>
      <c r="J616" s="205">
        <f ca="1">IFERROR(__xludf.DUMMYFUNCTION("IMPORTRANGE(""https://docs.google.com/spreadsheets/d/1IYY_tgx_IHuhSq3AJ5eI5OnqOPBNLWSHKh2a30DoXe8/edit?usp=sharing"",""พัทลุง!J511"")"),0)</f>
        <v>0</v>
      </c>
      <c r="K616" s="169">
        <f t="shared" ca="1" si="127"/>
        <v>0</v>
      </c>
      <c r="L616" s="189"/>
      <c r="M616" s="189"/>
      <c r="N616" s="189"/>
      <c r="O616" s="189"/>
      <c r="P616" s="189"/>
    </row>
    <row r="617" spans="1:16" ht="21.75" customHeight="1" x14ac:dyDescent="0.35">
      <c r="A617" s="183"/>
      <c r="B617" s="184"/>
      <c r="C617" s="184"/>
      <c r="D617" s="201"/>
      <c r="E617" s="206"/>
      <c r="F617" s="203"/>
      <c r="G617" s="202" t="s">
        <v>225</v>
      </c>
      <c r="H617" s="188" t="s">
        <v>122</v>
      </c>
      <c r="I617" s="195">
        <f ca="1">IFERROR(__xludf.DUMMYFUNCTION("IMPORTRANGE(""https://docs.google.com/spreadsheets/d/1IYY_tgx_IHuhSq3AJ5eI5OnqOPBNLWSHKh2a30DoXe8/edit?usp=sharing"",""พัทลุง!I512"")"),0)</f>
        <v>0</v>
      </c>
      <c r="J617" s="195">
        <f ca="1">IFERROR(__xludf.DUMMYFUNCTION("IMPORTRANGE(""https://docs.google.com/spreadsheets/d/1IYY_tgx_IHuhSq3AJ5eI5OnqOPBNLWSHKh2a30DoXe8/edit?usp=sharing"",""พัทลุง!J512"")"),0)</f>
        <v>0</v>
      </c>
      <c r="K617" s="169">
        <f t="shared" ca="1" si="127"/>
        <v>0</v>
      </c>
      <c r="L617" s="189"/>
      <c r="M617" s="189"/>
      <c r="N617" s="189"/>
      <c r="O617" s="189"/>
      <c r="P617" s="189"/>
    </row>
    <row r="618" spans="1:16" ht="21.75" customHeight="1" x14ac:dyDescent="0.35">
      <c r="A618" s="183"/>
      <c r="B618" s="184"/>
      <c r="C618" s="184"/>
      <c r="D618" s="201"/>
      <c r="E618" s="206"/>
      <c r="F618" s="203"/>
      <c r="G618" s="504" t="s">
        <v>226</v>
      </c>
      <c r="H618" s="188" t="s">
        <v>122</v>
      </c>
      <c r="I618" s="211">
        <f ca="1">IFERROR(__xludf.DUMMYFUNCTION("IMPORTRANGE(""https://docs.google.com/spreadsheets/d/1IYY_tgx_IHuhSq3AJ5eI5OnqOPBNLWSHKh2a30DoXe8/edit?usp=sharing"",""พัทลุง!I513"")"),0)</f>
        <v>0</v>
      </c>
      <c r="J618" s="196">
        <f ca="1">IFERROR(__xludf.DUMMYFUNCTION("IMPORTRANGE(""https://docs.google.com/spreadsheets/d/1IYY_tgx_IHuhSq3AJ5eI5OnqOPBNLWSHKh2a30DoXe8/edit?usp=sharing"",""พัทลุง!J513"")"),0)</f>
        <v>0</v>
      </c>
      <c r="K618" s="169">
        <f t="shared" ca="1" si="127"/>
        <v>0</v>
      </c>
      <c r="L618" s="189"/>
      <c r="M618" s="189"/>
      <c r="N618" s="189"/>
      <c r="O618" s="189"/>
      <c r="P618" s="189"/>
    </row>
    <row r="619" spans="1:16" ht="21.75" customHeight="1" x14ac:dyDescent="0.35">
      <c r="A619" s="183"/>
      <c r="B619" s="184"/>
      <c r="C619" s="184"/>
      <c r="D619" s="201"/>
      <c r="E619" s="206"/>
      <c r="F619" s="203"/>
      <c r="G619" s="504" t="s">
        <v>227</v>
      </c>
      <c r="H619" s="188" t="s">
        <v>122</v>
      </c>
      <c r="I619" s="211">
        <f ca="1">IFERROR(__xludf.DUMMYFUNCTION("IMPORTRANGE(""https://docs.google.com/spreadsheets/d/1IYY_tgx_IHuhSq3AJ5eI5OnqOPBNLWSHKh2a30DoXe8/edit?usp=sharing"",""พัทลุง!I514"")"),0)</f>
        <v>0</v>
      </c>
      <c r="J619" s="196">
        <f ca="1">IFERROR(__xludf.DUMMYFUNCTION("IMPORTRANGE(""https://docs.google.com/spreadsheets/d/1IYY_tgx_IHuhSq3AJ5eI5OnqOPBNLWSHKh2a30DoXe8/edit?usp=sharing"",""พัทลุง!J514"")"),0)</f>
        <v>0</v>
      </c>
      <c r="K619" s="169">
        <f t="shared" ca="1" si="127"/>
        <v>0</v>
      </c>
      <c r="L619" s="189"/>
      <c r="M619" s="189"/>
      <c r="N619" s="189"/>
      <c r="O619" s="189"/>
      <c r="P619" s="189"/>
    </row>
    <row r="620" spans="1:16" ht="21.75" customHeight="1" x14ac:dyDescent="0.35">
      <c r="A620" s="183"/>
      <c r="B620" s="184"/>
      <c r="C620" s="184"/>
      <c r="D620" s="201"/>
      <c r="E620" s="203"/>
      <c r="F620" s="202" t="s">
        <v>228</v>
      </c>
      <c r="G620" s="204"/>
      <c r="H620" s="188" t="s">
        <v>122</v>
      </c>
      <c r="I620" s="195">
        <f ca="1">IFERROR(__xludf.DUMMYFUNCTION("IMPORTRANGE(""https://docs.google.com/spreadsheets/d/1IYY_tgx_IHuhSq3AJ5eI5OnqOPBNLWSHKh2a30DoXe8/edit?usp=sharing"",""พัทลุง!I515"")"),0)</f>
        <v>0</v>
      </c>
      <c r="J620" s="210">
        <f ca="1">IFERROR(__xludf.DUMMYFUNCTION("IMPORTRANGE(""https://docs.google.com/spreadsheets/d/1IYY_tgx_IHuhSq3AJ5eI5OnqOPBNLWSHKh2a30DoXe8/edit?usp=sharing"",""พัทลุง!J515"")"),0)</f>
        <v>0</v>
      </c>
      <c r="K620" s="169">
        <f t="shared" ref="K620:K626" ca="1" si="128">IF(I$620&gt;0,J620*100/I$620,0)</f>
        <v>0</v>
      </c>
      <c r="L620" s="189"/>
      <c r="M620" s="189"/>
      <c r="N620" s="189"/>
      <c r="O620" s="189"/>
      <c r="P620" s="189"/>
    </row>
    <row r="621" spans="1:16" ht="21.75" customHeight="1" x14ac:dyDescent="0.35">
      <c r="A621" s="183"/>
      <c r="B621" s="184"/>
      <c r="C621" s="184"/>
      <c r="D621" s="201"/>
      <c r="E621" s="206"/>
      <c r="F621" s="203"/>
      <c r="G621" s="233" t="s">
        <v>225</v>
      </c>
      <c r="H621" s="188" t="s">
        <v>122</v>
      </c>
      <c r="I621" s="210">
        <f ca="1">IFERROR(__xludf.DUMMYFUNCTION("IMPORTRANGE(""https://docs.google.com/spreadsheets/d/1IYY_tgx_IHuhSq3AJ5eI5OnqOPBNLWSHKh2a30DoXe8/edit?usp=sharing"",""พัทลุง!I516"")"),0)</f>
        <v>0</v>
      </c>
      <c r="J621" s="210">
        <f ca="1">IFERROR(__xludf.DUMMYFUNCTION("IMPORTRANGE(""https://docs.google.com/spreadsheets/d/1IYY_tgx_IHuhSq3AJ5eI5OnqOPBNLWSHKh2a30DoXe8/edit?usp=sharing"",""พัทลุง!J516"")"),0)</f>
        <v>0</v>
      </c>
      <c r="K621" s="169">
        <f t="shared" ca="1" si="128"/>
        <v>0</v>
      </c>
      <c r="L621" s="189"/>
      <c r="M621" s="189"/>
      <c r="N621" s="189"/>
      <c r="O621" s="189"/>
      <c r="P621" s="189"/>
    </row>
    <row r="622" spans="1:16" ht="21.75" customHeight="1" x14ac:dyDescent="0.35">
      <c r="A622" s="183"/>
      <c r="B622" s="184"/>
      <c r="C622" s="184"/>
      <c r="D622" s="201"/>
      <c r="E622" s="206"/>
      <c r="F622" s="203"/>
      <c r="G622" s="504" t="s">
        <v>226</v>
      </c>
      <c r="H622" s="188" t="s">
        <v>122</v>
      </c>
      <c r="I622" s="211">
        <f ca="1">IFERROR(__xludf.DUMMYFUNCTION("IMPORTRANGE(""https://docs.google.com/spreadsheets/d/1IYY_tgx_IHuhSq3AJ5eI5OnqOPBNLWSHKh2a30DoXe8/edit?usp=sharing"",""พัทลุง!I517"")"),0)</f>
        <v>0</v>
      </c>
      <c r="J622" s="196">
        <f ca="1">IFERROR(__xludf.DUMMYFUNCTION("IMPORTRANGE(""https://docs.google.com/spreadsheets/d/1IYY_tgx_IHuhSq3AJ5eI5OnqOPBNLWSHKh2a30DoXe8/edit?usp=sharing"",""พัทลุง!J517"")"),0)</f>
        <v>0</v>
      </c>
      <c r="K622" s="169">
        <f t="shared" ca="1" si="128"/>
        <v>0</v>
      </c>
      <c r="L622" s="189"/>
      <c r="M622" s="189"/>
      <c r="N622" s="189"/>
      <c r="O622" s="189"/>
      <c r="P622" s="189"/>
    </row>
    <row r="623" spans="1:16" ht="21.75" customHeight="1" x14ac:dyDescent="0.35">
      <c r="A623" s="183"/>
      <c r="B623" s="184"/>
      <c r="C623" s="184"/>
      <c r="D623" s="201"/>
      <c r="E623" s="206"/>
      <c r="F623" s="203"/>
      <c r="G623" s="504" t="s">
        <v>227</v>
      </c>
      <c r="H623" s="188" t="s">
        <v>122</v>
      </c>
      <c r="I623" s="211">
        <f ca="1">IFERROR(__xludf.DUMMYFUNCTION("IMPORTRANGE(""https://docs.google.com/spreadsheets/d/1IYY_tgx_IHuhSq3AJ5eI5OnqOPBNLWSHKh2a30DoXe8/edit?usp=sharing"",""พัทลุง!I518"")"),0)</f>
        <v>0</v>
      </c>
      <c r="J623" s="196">
        <f ca="1">IFERROR(__xludf.DUMMYFUNCTION("IMPORTRANGE(""https://docs.google.com/spreadsheets/d/1IYY_tgx_IHuhSq3AJ5eI5OnqOPBNLWSHKh2a30DoXe8/edit?usp=sharing"",""พัทลุง!J518"")"),0)</f>
        <v>0</v>
      </c>
      <c r="K623" s="169">
        <f t="shared" ca="1" si="128"/>
        <v>0</v>
      </c>
      <c r="L623" s="189"/>
      <c r="M623" s="189"/>
      <c r="N623" s="189"/>
      <c r="O623" s="189"/>
      <c r="P623" s="189"/>
    </row>
    <row r="624" spans="1:16" ht="21.75" customHeight="1" x14ac:dyDescent="0.35">
      <c r="A624" s="183"/>
      <c r="B624" s="184"/>
      <c r="C624" s="184"/>
      <c r="D624" s="201"/>
      <c r="E624" s="206"/>
      <c r="F624" s="203"/>
      <c r="G624" s="233" t="s">
        <v>229</v>
      </c>
      <c r="H624" s="188" t="s">
        <v>122</v>
      </c>
      <c r="I624" s="195">
        <f ca="1">IFERROR(__xludf.DUMMYFUNCTION("IMPORTRANGE(""https://docs.google.com/spreadsheets/d/1IYY_tgx_IHuhSq3AJ5eI5OnqOPBNLWSHKh2a30DoXe8/edit?usp=sharing"",""พัทลุง!I519"")"),0)</f>
        <v>0</v>
      </c>
      <c r="J624" s="195">
        <f ca="1">IFERROR(__xludf.DUMMYFUNCTION("IMPORTRANGE(""https://docs.google.com/spreadsheets/d/1IYY_tgx_IHuhSq3AJ5eI5OnqOPBNLWSHKh2a30DoXe8/edit?usp=sharing"",""พัทลุง!J519"")"),0)</f>
        <v>0</v>
      </c>
      <c r="K624" s="169">
        <f t="shared" ca="1" si="128"/>
        <v>0</v>
      </c>
      <c r="L624" s="189"/>
      <c r="M624" s="189"/>
      <c r="N624" s="189"/>
      <c r="O624" s="189"/>
      <c r="P624" s="189"/>
    </row>
    <row r="625" spans="1:16" ht="21.75" customHeight="1" x14ac:dyDescent="0.35">
      <c r="A625" s="183"/>
      <c r="B625" s="184"/>
      <c r="C625" s="184"/>
      <c r="D625" s="201"/>
      <c r="E625" s="206"/>
      <c r="F625" s="203"/>
      <c r="G625" s="504" t="s">
        <v>230</v>
      </c>
      <c r="H625" s="188" t="s">
        <v>122</v>
      </c>
      <c r="I625" s="211">
        <f ca="1">IFERROR(__xludf.DUMMYFUNCTION("IMPORTRANGE(""https://docs.google.com/spreadsheets/d/1IYY_tgx_IHuhSq3AJ5eI5OnqOPBNLWSHKh2a30DoXe8/edit?usp=sharing"",""พัทลุง!I520"")"),0)</f>
        <v>0</v>
      </c>
      <c r="J625" s="196">
        <f ca="1">IFERROR(__xludf.DUMMYFUNCTION("IMPORTRANGE(""https://docs.google.com/spreadsheets/d/1IYY_tgx_IHuhSq3AJ5eI5OnqOPBNLWSHKh2a30DoXe8/edit?usp=sharing"",""พัทลุง!J520"")"),0)</f>
        <v>0</v>
      </c>
      <c r="K625" s="169">
        <f t="shared" ca="1" si="128"/>
        <v>0</v>
      </c>
      <c r="L625" s="189"/>
      <c r="M625" s="189"/>
      <c r="N625" s="189"/>
      <c r="O625" s="189"/>
      <c r="P625" s="189"/>
    </row>
    <row r="626" spans="1:16" ht="21.75" customHeight="1" x14ac:dyDescent="0.35">
      <c r="A626" s="183"/>
      <c r="B626" s="184"/>
      <c r="C626" s="184"/>
      <c r="D626" s="201"/>
      <c r="E626" s="206"/>
      <c r="F626" s="203"/>
      <c r="G626" s="504" t="s">
        <v>231</v>
      </c>
      <c r="H626" s="188" t="s">
        <v>122</v>
      </c>
      <c r="I626" s="211">
        <f ca="1">IFERROR(__xludf.DUMMYFUNCTION("IMPORTRANGE(""https://docs.google.com/spreadsheets/d/1IYY_tgx_IHuhSq3AJ5eI5OnqOPBNLWSHKh2a30DoXe8/edit?usp=sharing"",""พัทลุง!I521"")"),0)</f>
        <v>0</v>
      </c>
      <c r="J626" s="196">
        <f ca="1">IFERROR(__xludf.DUMMYFUNCTION("IMPORTRANGE(""https://docs.google.com/spreadsheets/d/1IYY_tgx_IHuhSq3AJ5eI5OnqOPBNLWSHKh2a30DoXe8/edit?usp=sharing"",""พัทลุง!J521"")"),0)</f>
        <v>0</v>
      </c>
      <c r="K626" s="169">
        <f t="shared" ca="1" si="128"/>
        <v>0</v>
      </c>
      <c r="L626" s="189"/>
      <c r="M626" s="189"/>
      <c r="N626" s="189"/>
      <c r="O626" s="189"/>
      <c r="P626" s="189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2"/>
      <c r="E628" s="165"/>
      <c r="F628" s="165"/>
      <c r="G628" s="166"/>
      <c r="H628" s="513" t="s">
        <v>12</v>
      </c>
      <c r="I628" s="347">
        <f ca="1">IFERROR(__xludf.DUMMYFUNCTION("IMPORTRANGE(""https://docs.google.com/spreadsheets/d/1IYY_tgx_IHuhSq3AJ5eI5OnqOPBNLWSHKh2a30DoXe8/edit?usp=sharing"",""พัทลุง!I523"")"),1565319.63)</f>
        <v>1565319.63</v>
      </c>
      <c r="J628" s="347">
        <f ca="1">IFERROR(__xludf.DUMMYFUNCTION("IMPORTRANGE(""https://docs.google.com/spreadsheets/d/1IYY_tgx_IHuhSq3AJ5eI5OnqOPBNLWSHKh2a30DoXe8/edit?usp=sharing"",""พัทลุง!J523"")"),595797.57)</f>
        <v>595797.56999999995</v>
      </c>
      <c r="K628" s="348">
        <f t="shared" ref="K628:K635" ca="1" si="129">IF(I628&gt;0,J628*100/I628,0)</f>
        <v>38.062358548458242</v>
      </c>
      <c r="L628" s="348"/>
      <c r="M628" s="348"/>
      <c r="N628" s="348"/>
      <c r="O628" s="176"/>
      <c r="P628" s="176"/>
    </row>
    <row r="629" spans="1:16" ht="21.75" customHeight="1" x14ac:dyDescent="0.35">
      <c r="A629" s="484"/>
      <c r="B629" s="163"/>
      <c r="C629" s="163"/>
      <c r="D629" s="172"/>
      <c r="E629" s="165"/>
      <c r="F629" s="165"/>
      <c r="G629" s="166"/>
      <c r="H629" s="513" t="s">
        <v>37</v>
      </c>
      <c r="I629" s="347">
        <f ca="1">IFERROR(__xludf.DUMMYFUNCTION("IMPORTRANGE(""https://docs.google.com/spreadsheets/d/1IYY_tgx_IHuhSq3AJ5eI5OnqOPBNLWSHKh2a30DoXe8/edit?usp=sharing"",""พัทลุง!I524"")"),158)</f>
        <v>158</v>
      </c>
      <c r="J629" s="347">
        <f ca="1">IFERROR(__xludf.DUMMYFUNCTION("IMPORTRANGE(""https://docs.google.com/spreadsheets/d/1IYY_tgx_IHuhSq3AJ5eI5OnqOPBNLWSHKh2a30DoXe8/edit?usp=sharing"",""พัทลุง!J524"")"),57)</f>
        <v>57</v>
      </c>
      <c r="K629" s="348">
        <f t="shared" ca="1" si="129"/>
        <v>36.075949367088604</v>
      </c>
      <c r="L629" s="348"/>
      <c r="M629" s="348"/>
      <c r="N629" s="348"/>
      <c r="O629" s="176"/>
      <c r="P629" s="176"/>
    </row>
    <row r="630" spans="1:16" ht="21.75" customHeight="1" x14ac:dyDescent="0.35">
      <c r="A630" s="484"/>
      <c r="B630" s="512" t="s">
        <v>234</v>
      </c>
      <c r="C630" s="163"/>
      <c r="D630" s="172"/>
      <c r="E630" s="165"/>
      <c r="F630" s="165"/>
      <c r="G630" s="166"/>
      <c r="H630" s="513" t="s">
        <v>12</v>
      </c>
      <c r="I630" s="347">
        <f ca="1">IFERROR(__xludf.DUMMYFUNCTION("IMPORTRANGE(""https://docs.google.com/spreadsheets/d/1IYY_tgx_IHuhSq3AJ5eI5OnqOPBNLWSHKh2a30DoXe8/edit?usp=sharing"",""พัทลุง!I525"")"),1351205.29)</f>
        <v>1351205.29</v>
      </c>
      <c r="J630" s="347">
        <f ca="1">IFERROR(__xludf.DUMMYFUNCTION("IMPORTRANGE(""https://docs.google.com/spreadsheets/d/1IYY_tgx_IHuhSq3AJ5eI5OnqOPBNLWSHKh2a30DoXe8/edit?usp=sharing"",""พัทลุง!J525"")"),54472)</f>
        <v>54472</v>
      </c>
      <c r="K630" s="348">
        <f t="shared" ca="1" si="129"/>
        <v>4.0313637315614708</v>
      </c>
      <c r="L630" s="348"/>
      <c r="M630" s="348"/>
      <c r="N630" s="348"/>
      <c r="O630" s="176"/>
      <c r="P630" s="176"/>
    </row>
    <row r="631" spans="1:16" ht="21.75" customHeight="1" x14ac:dyDescent="0.35">
      <c r="A631" s="484"/>
      <c r="B631" s="163"/>
      <c r="C631" s="163"/>
      <c r="D631" s="172"/>
      <c r="E631" s="165"/>
      <c r="F631" s="165"/>
      <c r="G631" s="166"/>
      <c r="H631" s="513" t="s">
        <v>37</v>
      </c>
      <c r="I631" s="347">
        <f ca="1">IFERROR(__xludf.DUMMYFUNCTION("IMPORTRANGE(""https://docs.google.com/spreadsheets/d/1IYY_tgx_IHuhSq3AJ5eI5OnqOPBNLWSHKh2a30DoXe8/edit?usp=sharing"",""พัทลุง!I526"")"),57)</f>
        <v>57</v>
      </c>
      <c r="J631" s="347">
        <f ca="1">IFERROR(__xludf.DUMMYFUNCTION("IMPORTRANGE(""https://docs.google.com/spreadsheets/d/1IYY_tgx_IHuhSq3AJ5eI5OnqOPBNLWSHKh2a30DoXe8/edit?usp=sharing"",""พัทลุง!J526"")"),34)</f>
        <v>34</v>
      </c>
      <c r="K631" s="348">
        <f t="shared" ca="1" si="129"/>
        <v>59.649122807017541</v>
      </c>
      <c r="L631" s="348"/>
      <c r="M631" s="348"/>
      <c r="N631" s="348"/>
      <c r="O631" s="176"/>
      <c r="P631" s="176"/>
    </row>
    <row r="632" spans="1:16" ht="21.75" customHeight="1" x14ac:dyDescent="0.35">
      <c r="A632" s="484"/>
      <c r="B632" s="512" t="s">
        <v>235</v>
      </c>
      <c r="C632" s="163"/>
      <c r="D632" s="172"/>
      <c r="E632" s="165"/>
      <c r="F632" s="165"/>
      <c r="G632" s="166"/>
      <c r="H632" s="513" t="s">
        <v>12</v>
      </c>
      <c r="I632" s="347">
        <f ca="1">IFERROR(__xludf.DUMMYFUNCTION("IMPORTRANGE(""https://docs.google.com/spreadsheets/d/1IYY_tgx_IHuhSq3AJ5eI5OnqOPBNLWSHKh2a30DoXe8/edit?usp=sharing"",""พัทลุง!I527"")"),0)</f>
        <v>0</v>
      </c>
      <c r="J632" s="347">
        <f ca="1">IFERROR(__xludf.DUMMYFUNCTION("IMPORTRANGE(""https://docs.google.com/spreadsheets/d/1IYY_tgx_IHuhSq3AJ5eI5OnqOPBNLWSHKh2a30DoXe8/edit?usp=sharing"",""พัทลุง!J527"")"),0)</f>
        <v>0</v>
      </c>
      <c r="K632" s="348">
        <f t="shared" ca="1" si="129"/>
        <v>0</v>
      </c>
      <c r="L632" s="348"/>
      <c r="M632" s="348"/>
      <c r="N632" s="348"/>
      <c r="O632" s="176"/>
      <c r="P632" s="176"/>
    </row>
    <row r="633" spans="1:16" ht="21.75" customHeight="1" x14ac:dyDescent="0.35">
      <c r="A633" s="484"/>
      <c r="B633" s="512"/>
      <c r="C633" s="163"/>
      <c r="D633" s="172"/>
      <c r="E633" s="165"/>
      <c r="F633" s="165"/>
      <c r="G633" s="166"/>
      <c r="H633" s="513" t="s">
        <v>37</v>
      </c>
      <c r="I633" s="347">
        <f ca="1">IFERROR(__xludf.DUMMYFUNCTION("IMPORTRANGE(""https://docs.google.com/spreadsheets/d/1IYY_tgx_IHuhSq3AJ5eI5OnqOPBNLWSHKh2a30DoXe8/edit?usp=sharing"",""พัทลุง!I528"")"),0)</f>
        <v>0</v>
      </c>
      <c r="J633" s="347">
        <f ca="1">IFERROR(__xludf.DUMMYFUNCTION("IMPORTRANGE(""https://docs.google.com/spreadsheets/d/1IYY_tgx_IHuhSq3AJ5eI5OnqOPBNLWSHKh2a30DoXe8/edit?usp=sharing"",""พัทลุง!J528"")"),0)</f>
        <v>0</v>
      </c>
      <c r="K633" s="348">
        <f t="shared" ca="1" si="129"/>
        <v>0</v>
      </c>
      <c r="L633" s="348"/>
      <c r="M633" s="348"/>
      <c r="N633" s="348"/>
      <c r="O633" s="176"/>
      <c r="P633" s="176"/>
    </row>
    <row r="634" spans="1:16" ht="21.75" customHeight="1" x14ac:dyDescent="0.35">
      <c r="A634" s="484"/>
      <c r="B634" s="512" t="s">
        <v>236</v>
      </c>
      <c r="C634" s="163"/>
      <c r="D634" s="172"/>
      <c r="E634" s="165"/>
      <c r="F634" s="165"/>
      <c r="G634" s="166"/>
      <c r="H634" s="513" t="s">
        <v>12</v>
      </c>
      <c r="I634" s="347">
        <f ca="1">IFERROR(__xludf.DUMMYFUNCTION("IMPORTRANGE(""https://docs.google.com/spreadsheets/d/1IYY_tgx_IHuhSq3AJ5eI5OnqOPBNLWSHKh2a30DoXe8/edit?usp=sharing"",""พัทลุง!I529"")"),1220000)</f>
        <v>1220000</v>
      </c>
      <c r="J634" s="347">
        <f ca="1">IFERROR(__xludf.DUMMYFUNCTION("IMPORTRANGE(""https://docs.google.com/spreadsheets/d/1IYY_tgx_IHuhSq3AJ5eI5OnqOPBNLWSHKh2a30DoXe8/edit?usp=sharing"",""พัทลุง!J529"")"),0)</f>
        <v>0</v>
      </c>
      <c r="K634" s="348">
        <f t="shared" ca="1" si="129"/>
        <v>0</v>
      </c>
      <c r="L634" s="348"/>
      <c r="M634" s="348"/>
      <c r="N634" s="348"/>
      <c r="O634" s="176"/>
      <c r="P634" s="176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IFERROR(__xludf.DUMMYFUNCTION("IMPORTRANGE(""https://docs.google.com/spreadsheets/d/1IYY_tgx_IHuhSq3AJ5eI5OnqOPBNLWSHKh2a30DoXe8/edit?usp=sharing"",""พัทลุง!I530"")"),41)</f>
        <v>41</v>
      </c>
      <c r="J635" s="517">
        <f ca="1">IFERROR(__xludf.DUMMYFUNCTION("IMPORTRANGE(""https://docs.google.com/spreadsheets/d/1IYY_tgx_IHuhSq3AJ5eI5OnqOPBNLWSHKh2a30DoXe8/edit?usp=sharing"",""พัทลุง!J530"")"),0)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15</vt:i4>
      </vt:variant>
      <vt:variant>
        <vt:lpstr>ช่วงที่มีชื่อ</vt:lpstr>
      </vt:variant>
      <vt:variant>
        <vt:i4>15</vt:i4>
      </vt:variant>
    </vt:vector>
  </HeadingPairs>
  <TitlesOfParts>
    <vt:vector size="30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BarbiezZesT Phanumphai</cp:lastModifiedBy>
  <cp:lastPrinted>2022-03-17T08:00:10Z</cp:lastPrinted>
  <dcterms:modified xsi:type="dcterms:W3CDTF">2022-03-17T08:05:21Z</dcterms:modified>
</cp:coreProperties>
</file>